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25" tabRatio="750" activeTab="0"/>
  </bookViews>
  <sheets>
    <sheet name="tot-0401" sheetId="1" r:id="rId1"/>
    <sheet name="LI-0401" sheetId="2" r:id="rId2"/>
    <sheet name="LIN-YACY" sheetId="3" r:id="rId3"/>
    <sheet name="LIN-LITSA" sheetId="4" r:id="rId4"/>
    <sheet name="TRAFO-TIBA" sheetId="5" r:id="rId5"/>
    <sheet name="TRAFO-ENECOR" sheetId="6" r:id="rId6"/>
    <sheet name="SALIDA-TIBA" sheetId="7" r:id="rId7"/>
    <sheet name="SALIDA-ENECOR" sheetId="8" r:id="rId8"/>
    <sheet name="RE-0401" sheetId="9" r:id="rId9"/>
  </sheets>
  <externalReferences>
    <externalReference r:id="rId12"/>
  </externalReferences>
  <definedNames>
    <definedName name="_xlnm.Print_Area" localSheetId="1">'LI-0401'!$A$1:$AD$43</definedName>
    <definedName name="_xlnm.Print_Area" localSheetId="3">'LIN-LITSA'!$A$1:$AE$44</definedName>
    <definedName name="_xlnm.Print_Area" localSheetId="2">'LIN-YACY'!$A$1:$X$43</definedName>
    <definedName name="_xlnm.Print_Area" localSheetId="8">'RE-0401'!$A$1:$V$45</definedName>
    <definedName name="_xlnm.Print_Area" localSheetId="7">'SALIDA-ENECOR'!$A$1:$U$45</definedName>
    <definedName name="_xlnm.Print_Area" localSheetId="6">'SALIDA-TIBA'!$A$1:$U$45</definedName>
    <definedName name="_xlnm.Print_Area" localSheetId="0">'tot-0401'!$A$1:$K$36</definedName>
    <definedName name="_xlnm.Print_Area" localSheetId="5">'TRAFO-ENECOR'!$A$1:$AB$43</definedName>
    <definedName name="_xlnm.Print_Area" localSheetId="4">'TRAFO-TIBA'!$A$1:$AB$43</definedName>
    <definedName name="INICIO" localSheetId="1">'LI-0401'!INICIO</definedName>
    <definedName name="INICIO" localSheetId="8">'RE-0401'!INICIO</definedName>
    <definedName name="INICIO">[0]!INICIO</definedName>
  </definedNames>
  <calcPr fullCalcOnLoad="1"/>
</workbook>
</file>

<file path=xl/sharedStrings.xml><?xml version="1.0" encoding="utf-8"?>
<sst xmlns="http://schemas.openxmlformats.org/spreadsheetml/2006/main" count="351" uniqueCount="132">
  <si>
    <t>SISTEMA DE TRANSPORTE DE ENERGÍA ELÉCTRICA EN ALTA TENSIÓN</t>
  </si>
  <si>
    <t>C</t>
  </si>
  <si>
    <t>RINCON - SALTO GRANDE</t>
  </si>
  <si>
    <t>500/132</t>
  </si>
  <si>
    <t>TRAFO</t>
  </si>
  <si>
    <t>500/132/33</t>
  </si>
  <si>
    <t>CAMPANA 500</t>
  </si>
  <si>
    <t>AUTOTRAFO T1CA</t>
  </si>
  <si>
    <t>LÍNEA A CAMPANA</t>
  </si>
  <si>
    <t>LÍNEA A SIDERCA 0</t>
  </si>
  <si>
    <t>EQUIPO</t>
  </si>
  <si>
    <t xml:space="preserve">ENTE NACIONAL REGULADOR </t>
  </si>
  <si>
    <t>DE LA ELECTRICIDAD</t>
  </si>
  <si>
    <t>1.-</t>
  </si>
  <si>
    <t>LÍNEAS</t>
  </si>
  <si>
    <t>Transportista Independiente YACYLEC S.A.</t>
  </si>
  <si>
    <t>Transportista Independiente LITSA</t>
  </si>
  <si>
    <t>2.-</t>
  </si>
  <si>
    <t>CONEXIÓN</t>
  </si>
  <si>
    <t>Transformación</t>
  </si>
  <si>
    <t>Transportista Independiente TIBA</t>
  </si>
  <si>
    <t>Salidas</t>
  </si>
  <si>
    <t xml:space="preserve">TOTAL </t>
  </si>
  <si>
    <t>SISTEMA DE TRANSPORTE DE ENERGÍA ELÉCTRICA EN ALTA TENSIÓN - TRANSENER S.A.</t>
  </si>
  <si>
    <t>N°</t>
  </si>
  <si>
    <t>U
[kV]</t>
  </si>
  <si>
    <t>Long.
[km]</t>
  </si>
  <si>
    <t>CL</t>
  </si>
  <si>
    <t>K</t>
  </si>
  <si>
    <t>$/h</t>
  </si>
  <si>
    <t>Salida</t>
  </si>
  <si>
    <t>Entrada</t>
  </si>
  <si>
    <t>Hs.
Indisp.</t>
  </si>
  <si>
    <t>Mtos.
Indisp.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</si>
  <si>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</si>
  <si>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Rest.
%</t>
  </si>
  <si>
    <t>R.D.</t>
  </si>
  <si>
    <t>AUT.</t>
  </si>
  <si>
    <t>PENALIZ.
PROGRAM.</t>
  </si>
  <si>
    <t>REDUCC.
PROGRAM.</t>
  </si>
  <si>
    <t>RESTANTE
FORZADA</t>
  </si>
  <si>
    <t>REDUCCIÓN
RESTANTE</t>
  </si>
  <si>
    <t>Informó
enTérm.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</si>
  <si>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</si>
  <si>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</si>
  <si>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P - PROGRAMADA                    RP - REDUCCIÓN PROGRAMADA                    RR - REDUCCIÓN RESTANTE ( proveniente de horas anteriores )</t>
  </si>
  <si>
    <t>F - FORZADA                       R - REDUCCIÓN FORZADA                        RF - RESTANTE FORZADA ( proveniente de horas anteriores )</t>
  </si>
  <si>
    <t xml:space="preserve">$/km-h : LINEAS 500 kV </t>
  </si>
  <si>
    <t xml:space="preserve">$/km-h : LINEAS 220 kV </t>
  </si>
  <si>
    <t>REDUCC.
RESTANTE</t>
  </si>
  <si>
    <t>1.2.-  Líneas de la Transportista Independiente YACYLEC S.A.</t>
  </si>
  <si>
    <t>VALOR MENSUAL DEL CANON =</t>
  </si>
  <si>
    <t>PENALIZAC.
PROGRAM.</t>
  </si>
  <si>
    <t>PENALIZACIÓN FORZADA
1ras 5 hs.        hs. Restantes</t>
  </si>
  <si>
    <t>REDUCC. FORZADA.
1ras 5 hs.           hs. Restantes</t>
  </si>
  <si>
    <t>PUNTOS
PENALIZAC.</t>
  </si>
  <si>
    <t>Multiplicador =</t>
  </si>
  <si>
    <t>PENALIZACION FORZADA
Por Salida      1ras 5 hs.     hs. Restantes</t>
  </si>
  <si>
    <t>PENAL.REDUC. A LA CAP. DE TRANSP.
Por Salida        1ras hs.      hs. Restantes</t>
  </si>
  <si>
    <t>ENTE NACIONAL REGULADOR</t>
  </si>
  <si>
    <t>Por Transformador por cada MVA    $ =</t>
  </si>
  <si>
    <t>Coeficiente de penalización por salida forzada   =</t>
  </si>
  <si>
    <t>ESTACIÓN
TRANSFORMADORA</t>
  </si>
  <si>
    <t>POT.
[MVA]</t>
  </si>
  <si>
    <t>Hs
Indisp.</t>
  </si>
  <si>
    <t>E.N.S.</t>
  </si>
  <si>
    <t>PENALIZAC. FORZADA
Por Salida         hs. Restantes</t>
  </si>
  <si>
    <t>REDUCC. FORZADA
Por Salida         hs. Restantes</t>
  </si>
  <si>
    <t>Coef</t>
  </si>
  <si>
    <t xml:space="preserve">Salida en 500 kV  en $/h </t>
  </si>
  <si>
    <t>Salida en 220 kV en $/h</t>
  </si>
  <si>
    <t>Salida en 132 kV  en $/h</t>
  </si>
  <si>
    <t>PENALIZAC. FORZADA
Por Salida       hs. Restantes</t>
  </si>
  <si>
    <t xml:space="preserve"> 2.2.2.- Transportista Independiente T.I.B.A.</t>
  </si>
  <si>
    <t>RINCON - PASO DE LA PATRIA</t>
  </si>
  <si>
    <t>PASO DE LA PATRIA</t>
  </si>
  <si>
    <t>SALIDA STA. CATALINA 1</t>
  </si>
  <si>
    <t>SALIDA STA. CATALINA 2</t>
  </si>
  <si>
    <t>Transportista Independiente ENECOR S.A.</t>
  </si>
  <si>
    <t xml:space="preserve"> 2.2.3.- Transportista Independiente ENECOR S.A.</t>
  </si>
  <si>
    <t>RESOLUCION ENRE Nº 1200/99</t>
  </si>
  <si>
    <t>Tasa de falla de LITSA =</t>
  </si>
  <si>
    <t>Duración Prom. anual móvil por salida forzada =</t>
  </si>
  <si>
    <t>Factor multiplicativo del mayoramiento =</t>
  </si>
  <si>
    <t>F</t>
  </si>
  <si>
    <t>Valores remuneratorios según Res. ENRE N° 618/01 - 544/01 - 533/01</t>
  </si>
  <si>
    <t>I</t>
  </si>
  <si>
    <t>P</t>
  </si>
  <si>
    <t>II</t>
  </si>
  <si>
    <t>III</t>
  </si>
  <si>
    <t>IV</t>
  </si>
  <si>
    <t>V</t>
  </si>
  <si>
    <t>Desde el 01 al 31 de enero de 2004</t>
  </si>
  <si>
    <t>1.3.- Transportista Independiente L.I.T.S.A.</t>
  </si>
  <si>
    <t>RF</t>
  </si>
  <si>
    <t>2.1.2.- Transportista Independiente T.I.B.A.</t>
  </si>
  <si>
    <t>2.1.3.- Transportista Independiente ENECOR S.A.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</si>
  <si>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</si>
  <si>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</si>
  <si>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</si>
  <si>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</si>
  <si>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</si>
  <si>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</si>
  <si>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</si>
  <si>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</si>
  <si>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</si>
  <si>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</si>
  <si>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</si>
  <si>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TOTAL DE PENALIZACIONES A APLICAR</t>
  </si>
  <si>
    <t>TRANSENER S.A. - TRANSPORTISTAS INDEPENDIENTES</t>
  </si>
  <si>
    <t>1.1,-</t>
  </si>
  <si>
    <t>IV LINEA</t>
  </si>
  <si>
    <t>1.- LÍNEAS</t>
  </si>
  <si>
    <t>1.1.- Líneas propias</t>
  </si>
  <si>
    <t xml:space="preserve">$/100 km-h : LINEAS 500 kV </t>
  </si>
  <si>
    <t xml:space="preserve">$/100 km-h : LINEAS 220 kV </t>
  </si>
  <si>
    <t>PENALIZACIÓN FORZADA
Por Salida    1ras 5 hs.   hs. Restantes</t>
  </si>
  <si>
    <t>REDUCCIÓN FORZADA
Por Salida       1ras 5 hs.     hs. Restantes</t>
  </si>
  <si>
    <t>9*</t>
  </si>
  <si>
    <t>ABASTO - OLAVARRIA 2</t>
  </si>
  <si>
    <t>A</t>
  </si>
  <si>
    <t>TRACOBAT</t>
  </si>
  <si>
    <t>SISTEMA DE TRANSPORTE DE ENERGÍA ELÉCTRICA EN ALTA TENSIÓN  -  TRANSENER S.A.</t>
  </si>
  <si>
    <t>3.- POTENCIA REACTIVA</t>
  </si>
  <si>
    <t>3.1.- Equipamiento propio</t>
  </si>
  <si>
    <t>PENALIZACIÓN FORZADA
Por Salida     hs. Restantes</t>
  </si>
  <si>
    <t>43*</t>
  </si>
  <si>
    <t>CHOELE CHOEL</t>
  </si>
  <si>
    <t>R3L5CL</t>
  </si>
  <si>
    <t>3.-</t>
  </si>
  <si>
    <t>POTENCIA REACTIVA</t>
  </si>
  <si>
    <t>ANEXO I-2a a la Resolución ENRE N° 686 /2007.-</t>
  </si>
</sst>
</file>

<file path=xl/styles.xml><?xml version="1.0" encoding="utf-8"?>
<styleSheet xmlns="http://schemas.openxmlformats.org/spreadsheetml/2006/main">
  <numFmts count="4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0.0_)"/>
    <numFmt numFmtId="174" formatCode="0.0000000_)"/>
    <numFmt numFmtId="175" formatCode="#,##0.0000"/>
    <numFmt numFmtId="176" formatCode="0.00_)"/>
    <numFmt numFmtId="177" formatCode="#,##0.00000"/>
    <numFmt numFmtId="178" formatCode="0.0"/>
    <numFmt numFmtId="179" formatCode="0.000_)"/>
    <numFmt numFmtId="180" formatCode="0.000"/>
    <numFmt numFmtId="181" formatCode="&quot;$&quot;#,##0.00;&quot;$&quot;\-#,##0.00"/>
    <numFmt numFmtId="182" formatCode="&quot;$&quot;#,##0.00"/>
    <numFmt numFmtId="183" formatCode="#&quot;.&quot;#&quot;.-&quot;"/>
    <numFmt numFmtId="184" formatCode="#&quot;.&quot;#&quot;.&quot;#&quot;.-&quot;"/>
    <numFmt numFmtId="185" formatCode="#,##0;[Red]#,##0"/>
    <numFmt numFmtId="186" formatCode="#,##0.000000"/>
    <numFmt numFmtId="187" formatCode="#,##0.00;[Red]#,##0.00"/>
    <numFmt numFmtId="188" formatCode="&quot;$&quot;\ #,##0.00"/>
    <numFmt numFmtId="189" formatCode="mmm\-yyyy"/>
    <numFmt numFmtId="190" formatCode="&quot;$&quot;\ #,##0.0;&quot;$&quot;\ \-#,##0.0"/>
    <numFmt numFmtId="191" formatCode="&quot;$&quot;\ #,##0.000;&quot;$&quot;\ \-#,##0.000"/>
    <numFmt numFmtId="192" formatCode="&quot;$&quot;\ #,##0.0000;&quot;$&quot;\ \-#,##0.0000"/>
    <numFmt numFmtId="193" formatCode="&quot;$&quot;\ #,##0.00000;&quot;$&quot;\ \-#,##0.00000"/>
    <numFmt numFmtId="194" formatCode="&quot;$&quot;\ #,##0.000000;&quot;$&quot;\ \-#,##0.000000"/>
    <numFmt numFmtId="195" formatCode="&quot;$&quot;#,##0.0;&quot;$&quot;\-#,##0.0"/>
    <numFmt numFmtId="196" formatCode="&quot;$&quot;#,##0;&quot;$&quot;\-#,##0"/>
    <numFmt numFmtId="197" formatCode="&quot;$&quot;\ #,##0.0000000;&quot;$&quot;\ \-#,##0.000000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#,##0.000_);[Red]\(#,##0.000\)"/>
    <numFmt numFmtId="202" formatCode="#,##0.0000_);[Red]\(#,##0.0000\)"/>
    <numFmt numFmtId="203" formatCode="#,##0.00000_);[Red]\(#,##0.00000\)"/>
    <numFmt numFmtId="204" formatCode="#,##0.000000_);[Red]\(#,##0.000000\)"/>
  </numFmts>
  <fonts count="9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8"/>
      <name val="Times New Roman"/>
      <family val="1"/>
    </font>
    <font>
      <b/>
      <u val="single"/>
      <sz val="20"/>
      <name val="Times New Roman"/>
      <family val="1"/>
    </font>
    <font>
      <sz val="10"/>
      <name val="Arial"/>
      <family val="0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i/>
      <u val="single"/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0"/>
      <color indexed="13"/>
      <name val="Times New Roman"/>
      <family val="1"/>
    </font>
    <font>
      <b/>
      <u val="single"/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20"/>
      <name val="Times New Roman"/>
      <family val="1"/>
    </font>
    <font>
      <sz val="20"/>
      <name val="MS Sans Serif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0"/>
    </font>
    <font>
      <b/>
      <i/>
      <u val="single"/>
      <sz val="10"/>
      <name val="Times New Roman"/>
      <family val="1"/>
    </font>
    <font>
      <sz val="11"/>
      <name val="MS Sans Serif"/>
      <family val="2"/>
    </font>
    <font>
      <b/>
      <i/>
      <sz val="14"/>
      <name val="Times New Roman"/>
      <family val="1"/>
    </font>
    <font>
      <sz val="11"/>
      <color indexed="13"/>
      <name val="Times New Roman"/>
      <family val="1"/>
    </font>
    <font>
      <sz val="11"/>
      <color indexed="18"/>
      <name val="Times New Roman"/>
      <family val="1"/>
    </font>
    <font>
      <sz val="11"/>
      <color indexed="8"/>
      <name val="MS Sans Serif"/>
      <family val="2"/>
    </font>
    <font>
      <b/>
      <u val="single"/>
      <sz val="14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7"/>
      <color indexed="10"/>
      <name val="Times New Roman"/>
      <family val="1"/>
    </font>
    <font>
      <sz val="7"/>
      <color indexed="14"/>
      <name val="Times New Roman"/>
      <family val="1"/>
    </font>
    <font>
      <b/>
      <sz val="7"/>
      <name val="Times New Roman"/>
      <family val="1"/>
    </font>
    <font>
      <b/>
      <u val="single"/>
      <sz val="7"/>
      <name val="Times New Roman"/>
      <family val="1"/>
    </font>
    <font>
      <b/>
      <sz val="7"/>
      <color indexed="8"/>
      <name val="Times New Roman"/>
      <family val="1"/>
    </font>
    <font>
      <b/>
      <sz val="11"/>
      <name val="Times New Roman"/>
      <family val="0"/>
    </font>
    <font>
      <b/>
      <i/>
      <u val="single"/>
      <sz val="16"/>
      <name val="Times New Roman"/>
      <family val="1"/>
    </font>
    <font>
      <sz val="7"/>
      <name val="MS Sans Serif"/>
      <family val="0"/>
    </font>
    <font>
      <sz val="10"/>
      <color indexed="50"/>
      <name val="Times New Roman"/>
      <family val="1"/>
    </font>
    <font>
      <b/>
      <sz val="10"/>
      <color indexed="50"/>
      <name val="Times New Roman"/>
      <family val="0"/>
    </font>
    <font>
      <b/>
      <sz val="10"/>
      <color indexed="10"/>
      <name val="Times New Roman"/>
      <family val="0"/>
    </font>
    <font>
      <sz val="11"/>
      <color indexed="50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sz val="11"/>
      <color indexed="52"/>
      <name val="MS Sans Serif"/>
      <family val="2"/>
    </font>
    <font>
      <sz val="10"/>
      <color indexed="52"/>
      <name val="MS Sans Serif"/>
      <family val="2"/>
    </font>
    <font>
      <b/>
      <sz val="10"/>
      <color indexed="52"/>
      <name val="Times New Roman"/>
      <family val="0"/>
    </font>
    <font>
      <sz val="11"/>
      <color indexed="26"/>
      <name val="MS Sans Serif"/>
      <family val="2"/>
    </font>
    <font>
      <sz val="11"/>
      <color indexed="60"/>
      <name val="MS Sans Serif"/>
      <family val="2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sz val="11"/>
      <color indexed="11"/>
      <name val="MS Sans Serif"/>
      <family val="2"/>
    </font>
    <font>
      <sz val="10"/>
      <color indexed="11"/>
      <name val="Times New Roman"/>
      <family val="1"/>
    </font>
    <font>
      <b/>
      <sz val="10"/>
      <color indexed="11"/>
      <name val="Times New Roman"/>
      <family val="1"/>
    </font>
    <font>
      <b/>
      <sz val="10"/>
      <color indexed="26"/>
      <name val="Times New Roman"/>
      <family val="1"/>
    </font>
    <font>
      <sz val="11"/>
      <color indexed="9"/>
      <name val="MS Sans Serif"/>
      <family val="2"/>
    </font>
    <font>
      <b/>
      <sz val="10"/>
      <color indexed="9"/>
      <name val="Times New Roman"/>
      <family val="0"/>
    </font>
    <font>
      <sz val="11"/>
      <color indexed="13"/>
      <name val="MS Sans Serif"/>
      <family val="2"/>
    </font>
    <font>
      <b/>
      <sz val="12"/>
      <color indexed="13"/>
      <name val="Times New Roman"/>
      <family val="1"/>
    </font>
    <font>
      <sz val="10"/>
      <color indexed="9"/>
      <name val="Times New Roman"/>
      <family val="1"/>
    </font>
    <font>
      <sz val="11"/>
      <color indexed="61"/>
      <name val="MS Sans Serif"/>
      <family val="2"/>
    </font>
    <font>
      <b/>
      <sz val="10"/>
      <color indexed="61"/>
      <name val="Times New Roman"/>
      <family val="0"/>
    </font>
    <font>
      <sz val="11"/>
      <color indexed="54"/>
      <name val="MS Sans Serif"/>
      <family val="2"/>
    </font>
    <font>
      <b/>
      <sz val="10"/>
      <color indexed="54"/>
      <name val="Times New Roman"/>
      <family val="0"/>
    </font>
    <font>
      <sz val="11"/>
      <color indexed="56"/>
      <name val="MS Sans Serif"/>
      <family val="2"/>
    </font>
    <font>
      <b/>
      <sz val="10"/>
      <color indexed="56"/>
      <name val="Times New Roman"/>
      <family val="1"/>
    </font>
    <font>
      <sz val="11"/>
      <color indexed="58"/>
      <name val="MS Sans Serif"/>
      <family val="2"/>
    </font>
    <font>
      <b/>
      <sz val="10"/>
      <color indexed="58"/>
      <name val="Times New Roman"/>
      <family val="1"/>
    </font>
    <font>
      <b/>
      <sz val="10"/>
      <color indexed="8"/>
      <name val="Times New Roman"/>
      <family val="0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sz val="11"/>
      <color indexed="27"/>
      <name val="MS Sans Serif"/>
      <family val="2"/>
    </font>
    <font>
      <sz val="11"/>
      <color indexed="47"/>
      <name val="MS Sans Serif"/>
      <family val="2"/>
    </font>
    <font>
      <sz val="11"/>
      <color indexed="62"/>
      <name val="MS Sans Serif"/>
      <family val="2"/>
    </font>
    <font>
      <sz val="10"/>
      <color indexed="62"/>
      <name val="MS Sans Serif"/>
      <family val="2"/>
    </font>
    <font>
      <sz val="10"/>
      <color indexed="27"/>
      <name val="Times New Roman"/>
      <family val="1"/>
    </font>
    <font>
      <sz val="10"/>
      <color indexed="47"/>
      <name val="Times New Roman"/>
      <family val="1"/>
    </font>
    <font>
      <sz val="10"/>
      <color indexed="26"/>
      <name val="Times New Roman"/>
      <family val="1"/>
    </font>
    <font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sz val="10"/>
      <name val="Courier New"/>
      <family val="3"/>
    </font>
    <font>
      <b/>
      <i/>
      <u val="single"/>
      <sz val="10"/>
      <color indexed="1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</fills>
  <borders count="61">
    <border>
      <left/>
      <right/>
      <top/>
      <bottom/>
      <diagonal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20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22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76" fontId="4" fillId="0" borderId="1" xfId="0" applyNumberFormat="1" applyFont="1" applyBorder="1" applyAlignment="1" applyProtection="1">
      <alignment horizontal="center"/>
      <protection/>
    </xf>
    <xf numFmtId="4" fontId="4" fillId="2" borderId="1" xfId="0" applyNumberFormat="1" applyFont="1" applyFill="1" applyBorder="1" applyAlignment="1" applyProtection="1" quotePrefix="1">
      <alignment horizontal="center"/>
      <protection/>
    </xf>
    <xf numFmtId="172" fontId="4" fillId="2" borderId="1" xfId="0" applyNumberFormat="1" applyFont="1" applyFill="1" applyBorder="1" applyAlignment="1" applyProtection="1" quotePrefix="1">
      <alignment horizontal="center"/>
      <protection/>
    </xf>
    <xf numFmtId="4" fontId="16" fillId="0" borderId="2" xfId="0" applyNumberFormat="1" applyFont="1" applyFill="1" applyBorder="1" applyAlignment="1">
      <alignment horizontal="right"/>
    </xf>
    <xf numFmtId="172" fontId="4" fillId="0" borderId="1" xfId="0" applyNumberFormat="1" applyFont="1" applyFill="1" applyBorder="1" applyAlignment="1" applyProtection="1" quotePrefix="1">
      <alignment horizontal="center"/>
      <protection/>
    </xf>
    <xf numFmtId="176" fontId="4" fillId="0" borderId="4" xfId="0" applyNumberFormat="1" applyFont="1" applyBorder="1" applyAlignment="1" applyProtection="1">
      <alignment horizontal="center"/>
      <protection/>
    </xf>
    <xf numFmtId="2" fontId="16" fillId="0" borderId="5" xfId="0" applyNumberFormat="1" applyFont="1" applyFill="1" applyBorder="1" applyAlignment="1">
      <alignment horizontal="right"/>
    </xf>
    <xf numFmtId="0" fontId="4" fillId="0" borderId="0" xfId="0" applyFont="1" applyBorder="1" applyAlignment="1" quotePrefix="1">
      <alignment horizontal="center"/>
    </xf>
    <xf numFmtId="172" fontId="5" fillId="0" borderId="0" xfId="0" applyNumberFormat="1" applyFont="1" applyBorder="1" applyAlignment="1" applyProtection="1">
      <alignment horizontal="center"/>
      <protection/>
    </xf>
    <xf numFmtId="173" fontId="4" fillId="0" borderId="0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center"/>
      <protection/>
    </xf>
    <xf numFmtId="179" fontId="4" fillId="0" borderId="0" xfId="0" applyNumberFormat="1" applyFont="1" applyBorder="1" applyAlignment="1" applyProtection="1" quotePrefix="1">
      <alignment horizontal="center"/>
      <protection/>
    </xf>
    <xf numFmtId="2" fontId="15" fillId="0" borderId="6" xfId="0" applyNumberFormat="1" applyFont="1" applyBorder="1" applyAlignment="1" applyProtection="1">
      <alignment horizontal="center"/>
      <protection/>
    </xf>
    <xf numFmtId="0" fontId="10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4" fillId="0" borderId="7" xfId="0" applyFont="1" applyFill="1" applyBorder="1" applyAlignment="1">
      <alignment horizontal="center"/>
    </xf>
    <xf numFmtId="172" fontId="4" fillId="0" borderId="7" xfId="0" applyNumberFormat="1" applyFont="1" applyFill="1" applyBorder="1" applyAlignment="1" applyProtection="1">
      <alignment horizontal="center"/>
      <protection/>
    </xf>
    <xf numFmtId="0" fontId="4" fillId="0" borderId="8" xfId="0" applyFont="1" applyFill="1" applyBorder="1" applyAlignment="1">
      <alignment horizontal="center"/>
    </xf>
    <xf numFmtId="4" fontId="4" fillId="0" borderId="1" xfId="0" applyNumberFormat="1" applyFont="1" applyFill="1" applyBorder="1" applyAlignment="1" applyProtection="1">
      <alignment horizontal="center"/>
      <protection/>
    </xf>
    <xf numFmtId="3" fontId="4" fillId="0" borderId="1" xfId="0" applyNumberFormat="1" applyFont="1" applyFill="1" applyBorder="1" applyAlignment="1" applyProtection="1">
      <alignment horizontal="center"/>
      <protection/>
    </xf>
    <xf numFmtId="38" fontId="4" fillId="0" borderId="4" xfId="0" applyNumberFormat="1" applyFont="1" applyFill="1" applyBorder="1" applyAlignment="1" applyProtection="1">
      <alignment horizontal="center"/>
      <protection/>
    </xf>
    <xf numFmtId="172" fontId="4" fillId="0" borderId="4" xfId="0" applyNumberFormat="1" applyFont="1" applyFill="1" applyBorder="1" applyAlignment="1" applyProtection="1" quotePrefix="1">
      <alignment horizont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22" fontId="4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6" fillId="0" borderId="1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center"/>
      <protection/>
    </xf>
    <xf numFmtId="2" fontId="4" fillId="0" borderId="1" xfId="0" applyNumberFormat="1" applyFont="1" applyFill="1" applyBorder="1" applyAlignment="1" applyProtection="1" quotePrefix="1">
      <alignment horizontal="center"/>
      <protection/>
    </xf>
    <xf numFmtId="172" fontId="4" fillId="0" borderId="3" xfId="0" applyNumberFormat="1" applyFont="1" applyBorder="1" applyAlignment="1" applyProtection="1">
      <alignment horizontal="center"/>
      <protection/>
    </xf>
    <xf numFmtId="4" fontId="18" fillId="0" borderId="1" xfId="0" applyNumberFormat="1" applyFont="1" applyFill="1" applyBorder="1" applyAlignment="1">
      <alignment horizontal="right"/>
    </xf>
    <xf numFmtId="176" fontId="4" fillId="0" borderId="10" xfId="0" applyNumberFormat="1" applyFont="1" applyBorder="1" applyAlignment="1" applyProtection="1">
      <alignment horizontal="center"/>
      <protection/>
    </xf>
    <xf numFmtId="4" fontId="20" fillId="0" borderId="0" xfId="0" applyNumberFormat="1" applyFont="1" applyFill="1" applyBorder="1" applyAlignment="1">
      <alignment horizontal="center"/>
    </xf>
    <xf numFmtId="7" fontId="12" fillId="0" borderId="11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6" fillId="0" borderId="3" xfId="0" applyFont="1" applyBorder="1" applyAlignment="1" applyProtection="1">
      <alignment horizontal="center"/>
      <protection/>
    </xf>
    <xf numFmtId="7" fontId="12" fillId="0" borderId="12" xfId="0" applyNumberFormat="1" applyFont="1" applyFill="1" applyBorder="1" applyAlignment="1" applyProtection="1">
      <alignment horizontal="right"/>
      <protection/>
    </xf>
    <xf numFmtId="7" fontId="12" fillId="0" borderId="12" xfId="0" applyNumberFormat="1" applyFont="1" applyFill="1" applyBorder="1" applyAlignment="1">
      <alignment horizontal="right"/>
    </xf>
    <xf numFmtId="0" fontId="23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5" fillId="0" borderId="0" xfId="0" applyFont="1" applyFill="1" applyBorder="1" applyAlignment="1" applyProtection="1">
      <alignment horizontal="centerContinuous"/>
      <protection/>
    </xf>
    <xf numFmtId="0" fontId="26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Fill="1" applyBorder="1" applyAlignment="1" applyProtection="1">
      <alignment horizontal="left"/>
      <protection/>
    </xf>
    <xf numFmtId="0" fontId="23" fillId="0" borderId="0" xfId="0" applyFont="1" applyBorder="1" applyAlignment="1">
      <alignment/>
    </xf>
    <xf numFmtId="0" fontId="2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5" xfId="0" applyFont="1" applyBorder="1" applyAlignment="1">
      <alignment/>
    </xf>
    <xf numFmtId="0" fontId="11" fillId="0" borderId="16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4" fillId="0" borderId="0" xfId="0" applyNumberFormat="1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4" fillId="0" borderId="17" xfId="0" applyFont="1" applyBorder="1" applyAlignment="1">
      <alignment horizontal="centerContinuous"/>
    </xf>
    <xf numFmtId="0" fontId="14" fillId="0" borderId="0" xfId="0" applyFont="1" applyBorder="1" applyAlignment="1">
      <alignment/>
    </xf>
    <xf numFmtId="0" fontId="14" fillId="0" borderId="16" xfId="0" applyFont="1" applyBorder="1" applyAlignment="1">
      <alignment/>
    </xf>
    <xf numFmtId="0" fontId="13" fillId="0" borderId="0" xfId="0" applyNumberFormat="1" applyFont="1" applyBorder="1" applyAlignment="1">
      <alignment horizontal="right"/>
    </xf>
    <xf numFmtId="0" fontId="14" fillId="0" borderId="17" xfId="0" applyFont="1" applyBorder="1" applyAlignment="1">
      <alignment/>
    </xf>
    <xf numFmtId="0" fontId="13" fillId="0" borderId="0" xfId="0" applyNumberFormat="1" applyFont="1" applyBorder="1" applyAlignment="1">
      <alignment horizontal="right"/>
    </xf>
    <xf numFmtId="7" fontId="13" fillId="0" borderId="0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0" fontId="31" fillId="0" borderId="0" xfId="0" applyNumberFormat="1" applyFont="1" applyBorder="1" applyAlignment="1">
      <alignment horizontal="right"/>
    </xf>
    <xf numFmtId="0" fontId="32" fillId="0" borderId="0" xfId="0" applyFont="1" applyBorder="1" applyAlignment="1">
      <alignment/>
    </xf>
    <xf numFmtId="7" fontId="31" fillId="0" borderId="0" xfId="0" applyNumberFormat="1" applyFont="1" applyBorder="1" applyAlignment="1">
      <alignment horizontal="right"/>
    </xf>
    <xf numFmtId="0" fontId="4" fillId="0" borderId="17" xfId="0" applyFont="1" applyBorder="1" applyAlignment="1">
      <alignment/>
    </xf>
    <xf numFmtId="0" fontId="13" fillId="0" borderId="18" xfId="0" applyFont="1" applyBorder="1" applyAlignment="1">
      <alignment horizontal="center"/>
    </xf>
    <xf numFmtId="7" fontId="13" fillId="0" borderId="19" xfId="0" applyNumberFormat="1" applyFont="1" applyBorder="1" applyAlignment="1">
      <alignment horizontal="center"/>
    </xf>
    <xf numFmtId="0" fontId="29" fillId="0" borderId="20" xfId="0" applyFont="1" applyBorder="1" applyAlignment="1">
      <alignment/>
    </xf>
    <xf numFmtId="0" fontId="29" fillId="0" borderId="21" xfId="0" applyNumberFormat="1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22" xfId="0" applyFont="1" applyBorder="1" applyAlignment="1">
      <alignment/>
    </xf>
    <xf numFmtId="0" fontId="29" fillId="0" borderId="0" xfId="0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7" fontId="29" fillId="0" borderId="0" xfId="0" applyNumberFormat="1" applyFont="1" applyBorder="1" applyAlignment="1">
      <alignment/>
    </xf>
    <xf numFmtId="176" fontId="29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31" fillId="0" borderId="0" xfId="0" applyNumberFormat="1" applyFont="1" applyBorder="1" applyAlignment="1">
      <alignment horizontal="center"/>
    </xf>
    <xf numFmtId="0" fontId="23" fillId="0" borderId="0" xfId="0" applyFont="1" applyFill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 applyProtection="1">
      <alignment horizontal="left"/>
      <protection/>
    </xf>
    <xf numFmtId="0" fontId="4" fillId="0" borderId="15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Border="1" applyAlignment="1" applyProtection="1">
      <alignment/>
      <protection/>
    </xf>
    <xf numFmtId="22" fontId="4" fillId="0" borderId="0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7" xfId="0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10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7" xfId="0" applyFont="1" applyFill="1" applyBorder="1" applyAlignment="1">
      <alignment/>
    </xf>
    <xf numFmtId="0" fontId="11" fillId="0" borderId="0" xfId="0" applyFont="1" applyAlignment="1">
      <alignment horizontal="centerContinuous"/>
    </xf>
    <xf numFmtId="0" fontId="11" fillId="0" borderId="17" xfId="0" applyFont="1" applyFill="1" applyBorder="1" applyAlignment="1">
      <alignment horizontal="centerContinuous"/>
    </xf>
    <xf numFmtId="0" fontId="0" fillId="0" borderId="18" xfId="0" applyFont="1" applyBorder="1" applyAlignment="1" applyProtection="1">
      <alignment horizontal="center"/>
      <protection/>
    </xf>
    <xf numFmtId="0" fontId="33" fillId="0" borderId="12" xfId="0" applyFont="1" applyBorder="1" applyAlignment="1">
      <alignment horizontal="center" vertical="center"/>
    </xf>
    <xf numFmtId="0" fontId="33" fillId="0" borderId="24" xfId="0" applyFont="1" applyBorder="1" applyAlignment="1" applyProtection="1">
      <alignment horizontal="center" vertical="center"/>
      <protection/>
    </xf>
    <xf numFmtId="176" fontId="33" fillId="0" borderId="12" xfId="0" applyNumberFormat="1" applyFont="1" applyBorder="1" applyAlignment="1" applyProtection="1">
      <alignment horizontal="center" vertical="center"/>
      <protection/>
    </xf>
    <xf numFmtId="0" fontId="33" fillId="0" borderId="12" xfId="0" applyFont="1" applyBorder="1" applyAlignment="1" applyProtection="1">
      <alignment horizontal="center" vertical="center"/>
      <protection/>
    </xf>
    <xf numFmtId="0" fontId="33" fillId="0" borderId="18" xfId="0" applyFont="1" applyBorder="1" applyAlignment="1" applyProtection="1">
      <alignment horizontal="center" vertical="center"/>
      <protection/>
    </xf>
    <xf numFmtId="0" fontId="33" fillId="0" borderId="19" xfId="0" applyFont="1" applyBorder="1" applyAlignment="1" applyProtection="1">
      <alignment horizontal="center" vertical="center"/>
      <protection/>
    </xf>
    <xf numFmtId="172" fontId="33" fillId="0" borderId="19" xfId="0" applyNumberFormat="1" applyFont="1" applyBorder="1" applyAlignment="1" applyProtection="1">
      <alignment horizontal="center" vertical="center" wrapText="1"/>
      <protection/>
    </xf>
    <xf numFmtId="0" fontId="33" fillId="0" borderId="25" xfId="0" applyFont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 vertical="center" wrapText="1"/>
      <protection/>
    </xf>
    <xf numFmtId="0" fontId="33" fillId="0" borderId="12" xfId="0" applyFont="1" applyBorder="1" applyAlignment="1" applyProtection="1">
      <alignment horizontal="center" vertical="center" wrapText="1"/>
      <protection/>
    </xf>
    <xf numFmtId="0" fontId="33" fillId="0" borderId="12" xfId="0" applyFont="1" applyBorder="1" applyAlignment="1">
      <alignment horizontal="center" vertical="center" wrapText="1"/>
    </xf>
    <xf numFmtId="0" fontId="16" fillId="0" borderId="2" xfId="0" applyFont="1" applyBorder="1" applyAlignment="1">
      <alignment/>
    </xf>
    <xf numFmtId="0" fontId="26" fillId="0" borderId="0" xfId="0" applyFont="1" applyAlignment="1">
      <alignment horizontal="centerContinuous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31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Continuous"/>
    </xf>
    <xf numFmtId="0" fontId="2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16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1" fillId="0" borderId="16" xfId="0" applyFont="1" applyFill="1" applyBorder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1" fillId="0" borderId="0" xfId="0" applyFont="1" applyFill="1" applyBorder="1" applyAlignment="1">
      <alignment horizontal="centerContinuous"/>
    </xf>
    <xf numFmtId="0" fontId="34" fillId="0" borderId="17" xfId="0" applyFont="1" applyFill="1" applyBorder="1" applyAlignment="1">
      <alignment horizontal="centerContinuous"/>
    </xf>
    <xf numFmtId="0" fontId="0" fillId="0" borderId="18" xfId="0" applyFont="1" applyFill="1" applyBorder="1" applyAlignment="1" applyProtection="1" quotePrefix="1">
      <alignment horizontal="left"/>
      <protection/>
    </xf>
    <xf numFmtId="0" fontId="0" fillId="0" borderId="25" xfId="0" applyFont="1" applyFill="1" applyBorder="1" applyAlignment="1" applyProtection="1">
      <alignment horizontal="center"/>
      <protection/>
    </xf>
    <xf numFmtId="172" fontId="0" fillId="0" borderId="19" xfId="0" applyNumberFormat="1" applyFont="1" applyFill="1" applyBorder="1" applyAlignment="1" applyProtection="1">
      <alignment horizontal="center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 applyProtection="1">
      <alignment horizontal="center" vertical="center"/>
      <protection/>
    </xf>
    <xf numFmtId="0" fontId="33" fillId="0" borderId="18" xfId="0" applyFont="1" applyFill="1" applyBorder="1" applyAlignment="1" applyProtection="1">
      <alignment horizontal="center" vertical="center"/>
      <protection/>
    </xf>
    <xf numFmtId="0" fontId="33" fillId="0" borderId="12" xfId="0" applyFont="1" applyFill="1" applyBorder="1" applyAlignment="1" applyProtection="1">
      <alignment horizontal="center" vertical="center" wrapText="1"/>
      <protection/>
    </xf>
    <xf numFmtId="0" fontId="33" fillId="0" borderId="12" xfId="0" applyFont="1" applyFill="1" applyBorder="1" applyAlignment="1" applyProtection="1" quotePrefix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/>
    </xf>
    <xf numFmtId="4" fontId="18" fillId="0" borderId="2" xfId="0" applyNumberFormat="1" applyFont="1" applyFill="1" applyBorder="1" applyAlignment="1">
      <alignment horizontal="right"/>
    </xf>
    <xf numFmtId="176" fontId="35" fillId="0" borderId="26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4" fillId="0" borderId="15" xfId="0" applyFont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172" fontId="5" fillId="0" borderId="3" xfId="0" applyNumberFormat="1" applyFont="1" applyBorder="1" applyAlignment="1" applyProtection="1">
      <alignment horizontal="center"/>
      <protection/>
    </xf>
    <xf numFmtId="176" fontId="4" fillId="0" borderId="3" xfId="0" applyNumberFormat="1" applyFont="1" applyBorder="1" applyAlignment="1" applyProtection="1">
      <alignment horizontal="center"/>
      <protection/>
    </xf>
    <xf numFmtId="2" fontId="15" fillId="0" borderId="3" xfId="0" applyNumberFormat="1" applyFont="1" applyBorder="1" applyAlignment="1">
      <alignment horizontal="center"/>
    </xf>
    <xf numFmtId="176" fontId="5" fillId="0" borderId="3" xfId="0" applyNumberFormat="1" applyFont="1" applyBorder="1" applyAlignment="1" applyProtection="1" quotePrefix="1">
      <alignment horizontal="center"/>
      <protection/>
    </xf>
    <xf numFmtId="176" fontId="4" fillId="0" borderId="3" xfId="0" applyNumberFormat="1" applyFont="1" applyBorder="1" applyAlignment="1">
      <alignment horizontal="center"/>
    </xf>
    <xf numFmtId="176" fontId="19" fillId="0" borderId="3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Continuous"/>
      <protection/>
    </xf>
    <xf numFmtId="0" fontId="11" fillId="0" borderId="17" xfId="0" applyFont="1" applyBorder="1" applyAlignment="1">
      <alignment horizontal="centerContinuous"/>
    </xf>
    <xf numFmtId="0" fontId="32" fillId="0" borderId="16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 applyAlignment="1" applyProtection="1">
      <alignment horizontal="centerContinuous"/>
      <protection/>
    </xf>
    <xf numFmtId="0" fontId="32" fillId="0" borderId="17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33" fillId="0" borderId="19" xfId="0" applyFont="1" applyBorder="1" applyAlignment="1" applyProtection="1">
      <alignment horizontal="center" vertical="center" wrapText="1"/>
      <protection/>
    </xf>
    <xf numFmtId="176" fontId="18" fillId="0" borderId="1" xfId="0" applyNumberFormat="1" applyFont="1" applyFill="1" applyBorder="1" applyAlignment="1">
      <alignment horizontal="center"/>
    </xf>
    <xf numFmtId="7" fontId="35" fillId="0" borderId="5" xfId="0" applyNumberFormat="1" applyFont="1" applyFill="1" applyBorder="1" applyAlignment="1">
      <alignment horizontal="right"/>
    </xf>
    <xf numFmtId="0" fontId="10" fillId="0" borderId="0" xfId="0" applyFont="1" applyBorder="1" applyAlignment="1" applyProtection="1">
      <alignment/>
      <protection/>
    </xf>
    <xf numFmtId="7" fontId="13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40" fillId="0" borderId="27" xfId="0" applyFont="1" applyBorder="1" applyAlignment="1">
      <alignment horizontal="center"/>
    </xf>
    <xf numFmtId="0" fontId="42" fillId="0" borderId="0" xfId="0" applyFont="1" applyBorder="1" applyAlignment="1" applyProtection="1">
      <alignment horizontal="left"/>
      <protection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 quotePrefix="1">
      <alignment horizontal="center"/>
    </xf>
    <xf numFmtId="0" fontId="42" fillId="0" borderId="0" xfId="0" applyFont="1" applyBorder="1" applyAlignment="1" applyProtection="1">
      <alignment horizontal="left" vertical="top"/>
      <protection/>
    </xf>
    <xf numFmtId="0" fontId="40" fillId="0" borderId="0" xfId="0" applyFont="1" applyAlignment="1">
      <alignment/>
    </xf>
    <xf numFmtId="0" fontId="40" fillId="0" borderId="16" xfId="0" applyFont="1" applyBorder="1" applyAlignment="1">
      <alignment/>
    </xf>
    <xf numFmtId="172" fontId="43" fillId="0" borderId="0" xfId="0" applyNumberFormat="1" applyFont="1" applyBorder="1" applyAlignment="1" applyProtection="1">
      <alignment horizontal="center"/>
      <protection/>
    </xf>
    <xf numFmtId="0" fontId="40" fillId="0" borderId="0" xfId="0" applyFont="1" applyBorder="1" applyAlignment="1" applyProtection="1">
      <alignment horizontal="center"/>
      <protection/>
    </xf>
    <xf numFmtId="173" fontId="40" fillId="0" borderId="0" xfId="0" applyNumberFormat="1" applyFont="1" applyBorder="1" applyAlignment="1" applyProtection="1">
      <alignment horizontal="center"/>
      <protection/>
    </xf>
    <xf numFmtId="176" fontId="40" fillId="0" borderId="0" xfId="0" applyNumberFormat="1" applyFont="1" applyBorder="1" applyAlignment="1" applyProtection="1">
      <alignment horizontal="center"/>
      <protection/>
    </xf>
    <xf numFmtId="179" fontId="40" fillId="0" borderId="0" xfId="0" applyNumberFormat="1" applyFont="1" applyBorder="1" applyAlignment="1" applyProtection="1" quotePrefix="1">
      <alignment horizontal="center"/>
      <protection/>
    </xf>
    <xf numFmtId="2" fontId="44" fillId="0" borderId="0" xfId="0" applyNumberFormat="1" applyFont="1" applyBorder="1" applyAlignment="1" applyProtection="1">
      <alignment horizontal="center"/>
      <protection/>
    </xf>
    <xf numFmtId="7" fontId="45" fillId="0" borderId="0" xfId="0" applyNumberFormat="1" applyFont="1" applyFill="1" applyBorder="1" applyAlignment="1" applyProtection="1">
      <alignment horizontal="right"/>
      <protection/>
    </xf>
    <xf numFmtId="4" fontId="40" fillId="0" borderId="17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40" fillId="0" borderId="16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22" fontId="40" fillId="0" borderId="0" xfId="0" applyNumberFormat="1" applyFont="1" applyFill="1" applyBorder="1" applyAlignment="1">
      <alignment/>
    </xf>
    <xf numFmtId="7" fontId="47" fillId="0" borderId="0" xfId="0" applyNumberFormat="1" applyFont="1" applyFill="1" applyBorder="1" applyAlignment="1">
      <alignment horizontal="right"/>
    </xf>
    <xf numFmtId="4" fontId="46" fillId="0" borderId="0" xfId="0" applyNumberFormat="1" applyFont="1" applyFill="1" applyBorder="1" applyAlignment="1">
      <alignment horizontal="center"/>
    </xf>
    <xf numFmtId="0" fontId="40" fillId="0" borderId="17" xfId="0" applyFont="1" applyFill="1" applyBorder="1" applyAlignment="1">
      <alignment/>
    </xf>
    <xf numFmtId="0" fontId="40" fillId="0" borderId="0" xfId="0" applyFont="1" applyBorder="1" applyAlignment="1">
      <alignment/>
    </xf>
    <xf numFmtId="7" fontId="45" fillId="0" borderId="0" xfId="0" applyNumberFormat="1" applyFont="1" applyFill="1" applyBorder="1" applyAlignment="1">
      <alignment horizontal="right"/>
    </xf>
    <xf numFmtId="0" fontId="40" fillId="0" borderId="17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8" fillId="0" borderId="0" xfId="0" applyFont="1" applyAlignment="1">
      <alignment horizontal="centerContinuous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8" fillId="0" borderId="0" xfId="0" applyFont="1" applyBorder="1" applyAlignment="1">
      <alignment horizontal="centerContinuous"/>
    </xf>
    <xf numFmtId="0" fontId="8" fillId="0" borderId="17" xfId="0" applyFont="1" applyFill="1" applyBorder="1" applyAlignment="1">
      <alignment horizontal="centerContinuous"/>
    </xf>
    <xf numFmtId="0" fontId="17" fillId="0" borderId="0" xfId="0" applyFont="1" applyBorder="1" applyAlignment="1">
      <alignment horizontal="left"/>
    </xf>
    <xf numFmtId="0" fontId="8" fillId="0" borderId="17" xfId="0" applyFont="1" applyFill="1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49" fillId="0" borderId="16" xfId="0" applyFont="1" applyBorder="1" applyAlignment="1">
      <alignment horizontal="centerContinuous"/>
    </xf>
    <xf numFmtId="22" fontId="8" fillId="0" borderId="0" xfId="0" applyNumberFormat="1" applyFont="1" applyBorder="1" applyAlignment="1">
      <alignment/>
    </xf>
    <xf numFmtId="0" fontId="8" fillId="0" borderId="23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" fontId="16" fillId="0" borderId="1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center"/>
    </xf>
    <xf numFmtId="176" fontId="4" fillId="2" borderId="4" xfId="0" applyNumberFormat="1" applyFont="1" applyFill="1" applyBorder="1" applyAlignment="1" applyProtection="1">
      <alignment horizontal="center"/>
      <protection/>
    </xf>
    <xf numFmtId="179" fontId="4" fillId="0" borderId="0" xfId="0" applyNumberFormat="1" applyFont="1" applyBorder="1" applyAlignment="1" applyProtection="1" quotePrefix="1">
      <alignment horizontal="center"/>
      <protection/>
    </xf>
    <xf numFmtId="176" fontId="4" fillId="0" borderId="0" xfId="0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0" fontId="50" fillId="0" borderId="16" xfId="0" applyFont="1" applyBorder="1" applyAlignment="1">
      <alignment/>
    </xf>
    <xf numFmtId="179" fontId="40" fillId="0" borderId="0" xfId="0" applyNumberFormat="1" applyFont="1" applyBorder="1" applyAlignment="1" applyProtection="1" quotePrefix="1">
      <alignment horizontal="center"/>
      <protection/>
    </xf>
    <xf numFmtId="176" fontId="43" fillId="0" borderId="0" xfId="0" applyNumberFormat="1" applyFont="1" applyBorder="1" applyAlignment="1" applyProtection="1" quotePrefix="1">
      <alignment horizontal="center"/>
      <protection/>
    </xf>
    <xf numFmtId="4" fontId="43" fillId="0" borderId="0" xfId="0" applyNumberFormat="1" applyFont="1" applyBorder="1" applyAlignment="1" applyProtection="1">
      <alignment horizontal="center"/>
      <protection/>
    </xf>
    <xf numFmtId="176" fontId="40" fillId="0" borderId="0" xfId="0" applyNumberFormat="1" applyFont="1" applyFill="1" applyBorder="1" applyAlignment="1">
      <alignment horizontal="center"/>
    </xf>
    <xf numFmtId="4" fontId="50" fillId="0" borderId="17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0" fontId="55" fillId="3" borderId="18" xfId="0" applyFont="1" applyFill="1" applyBorder="1" applyAlignment="1" applyProtection="1">
      <alignment horizontal="centerContinuous" vertical="center" wrapText="1"/>
      <protection/>
    </xf>
    <xf numFmtId="0" fontId="56" fillId="3" borderId="25" xfId="0" applyFont="1" applyFill="1" applyBorder="1" applyAlignment="1">
      <alignment horizontal="centerContinuous"/>
    </xf>
    <xf numFmtId="0" fontId="55" fillId="3" borderId="19" xfId="0" applyFont="1" applyFill="1" applyBorder="1" applyAlignment="1">
      <alignment horizontal="centerContinuous" vertical="center"/>
    </xf>
    <xf numFmtId="0" fontId="57" fillId="3" borderId="12" xfId="0" applyFont="1" applyFill="1" applyBorder="1" applyAlignment="1" applyProtection="1">
      <alignment horizontal="center" vertical="center"/>
      <protection/>
    </xf>
    <xf numFmtId="0" fontId="58" fillId="3" borderId="1" xfId="0" applyFont="1" applyFill="1" applyBorder="1" applyAlignment="1">
      <alignment/>
    </xf>
    <xf numFmtId="176" fontId="58" fillId="3" borderId="1" xfId="0" applyNumberFormat="1" applyFont="1" applyFill="1" applyBorder="1" applyAlignment="1" applyProtection="1">
      <alignment horizontal="center"/>
      <protection/>
    </xf>
    <xf numFmtId="0" fontId="58" fillId="3" borderId="4" xfId="0" applyFont="1" applyFill="1" applyBorder="1" applyAlignment="1" applyProtection="1">
      <alignment horizontal="center"/>
      <protection/>
    </xf>
    <xf numFmtId="176" fontId="58" fillId="3" borderId="4" xfId="0" applyNumberFormat="1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4" fillId="0" borderId="27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>
      <alignment horizontal="center"/>
    </xf>
    <xf numFmtId="0" fontId="58" fillId="3" borderId="7" xfId="0" applyFont="1" applyFill="1" applyBorder="1" applyAlignment="1">
      <alignment horizontal="center"/>
    </xf>
    <xf numFmtId="7" fontId="21" fillId="0" borderId="12" xfId="0" applyNumberFormat="1" applyFont="1" applyFill="1" applyBorder="1" applyAlignment="1">
      <alignment horizontal="right"/>
    </xf>
    <xf numFmtId="0" fontId="58" fillId="3" borderId="1" xfId="0" applyFont="1" applyFill="1" applyBorder="1" applyAlignment="1" applyProtection="1">
      <alignment horizontal="center"/>
      <protection/>
    </xf>
    <xf numFmtId="0" fontId="58" fillId="3" borderId="9" xfId="0" applyFont="1" applyFill="1" applyBorder="1" applyAlignment="1" applyProtection="1">
      <alignment horizontal="center"/>
      <protection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/>
    </xf>
    <xf numFmtId="0" fontId="14" fillId="0" borderId="17" xfId="0" applyFont="1" applyFill="1" applyBorder="1" applyAlignment="1">
      <alignment/>
    </xf>
    <xf numFmtId="0" fontId="48" fillId="0" borderId="0" xfId="0" applyFont="1" applyBorder="1" applyAlignment="1">
      <alignment horizontal="center"/>
    </xf>
    <xf numFmtId="0" fontId="33" fillId="0" borderId="12" xfId="21" applyFont="1" applyBorder="1" applyAlignment="1">
      <alignment horizontal="center" vertical="center"/>
      <protection/>
    </xf>
    <xf numFmtId="176" fontId="53" fillId="3" borderId="30" xfId="0" applyNumberFormat="1" applyFont="1" applyFill="1" applyBorder="1" applyAlignment="1" applyProtection="1" quotePrefix="1">
      <alignment horizontal="center"/>
      <protection/>
    </xf>
    <xf numFmtId="4" fontId="53" fillId="3" borderId="2" xfId="0" applyNumberFormat="1" applyFont="1" applyFill="1" applyBorder="1" applyAlignment="1" applyProtection="1">
      <alignment horizontal="center"/>
      <protection/>
    </xf>
    <xf numFmtId="176" fontId="53" fillId="3" borderId="31" xfId="0" applyNumberFormat="1" applyFont="1" applyFill="1" applyBorder="1" applyAlignment="1" applyProtection="1" quotePrefix="1">
      <alignment horizontal="center"/>
      <protection/>
    </xf>
    <xf numFmtId="0" fontId="4" fillId="0" borderId="32" xfId="0" applyFont="1" applyBorder="1" applyAlignment="1">
      <alignment/>
    </xf>
    <xf numFmtId="0" fontId="64" fillId="4" borderId="32" xfId="0" applyFont="1" applyFill="1" applyBorder="1" applyAlignment="1">
      <alignment/>
    </xf>
    <xf numFmtId="4" fontId="64" fillId="4" borderId="1" xfId="0" applyNumberFormat="1" applyFont="1" applyFill="1" applyBorder="1" applyAlignment="1" applyProtection="1">
      <alignment horizontal="center"/>
      <protection/>
    </xf>
    <xf numFmtId="0" fontId="63" fillId="4" borderId="12" xfId="0" applyFont="1" applyFill="1" applyBorder="1" applyAlignment="1">
      <alignment horizontal="center" vertical="center" wrapText="1"/>
    </xf>
    <xf numFmtId="0" fontId="66" fillId="5" borderId="12" xfId="0" applyFont="1" applyFill="1" applyBorder="1" applyAlignment="1">
      <alignment horizontal="center" vertical="center" wrapText="1"/>
    </xf>
    <xf numFmtId="0" fontId="67" fillId="5" borderId="32" xfId="0" applyFont="1" applyFill="1" applyBorder="1" applyAlignment="1">
      <alignment/>
    </xf>
    <xf numFmtId="4" fontId="67" fillId="5" borderId="1" xfId="0" applyNumberFormat="1" applyFont="1" applyFill="1" applyBorder="1" applyAlignment="1" applyProtection="1">
      <alignment horizontal="center"/>
      <protection/>
    </xf>
    <xf numFmtId="2" fontId="65" fillId="4" borderId="12" xfId="0" applyNumberFormat="1" applyFont="1" applyFill="1" applyBorder="1" applyAlignment="1" applyProtection="1">
      <alignment horizontal="center"/>
      <protection/>
    </xf>
    <xf numFmtId="2" fontId="68" fillId="5" borderId="12" xfId="0" applyNumberFormat="1" applyFont="1" applyFill="1" applyBorder="1" applyAlignment="1" applyProtection="1">
      <alignment horizontal="center"/>
      <protection/>
    </xf>
    <xf numFmtId="0" fontId="4" fillId="0" borderId="32" xfId="0" applyFont="1" applyBorder="1" applyAlignment="1">
      <alignment horizontal="center"/>
    </xf>
    <xf numFmtId="176" fontId="57" fillId="3" borderId="12" xfId="0" applyNumberFormat="1" applyFont="1" applyFill="1" applyBorder="1" applyAlignment="1" applyProtection="1">
      <alignment horizontal="center" vertical="center"/>
      <protection/>
    </xf>
    <xf numFmtId="0" fontId="58" fillId="3" borderId="32" xfId="0" applyFont="1" applyFill="1" applyBorder="1" applyAlignment="1">
      <alignment/>
    </xf>
    <xf numFmtId="0" fontId="37" fillId="6" borderId="12" xfId="0" applyFont="1" applyFill="1" applyBorder="1" applyAlignment="1" applyProtection="1">
      <alignment horizontal="center" vertical="center"/>
      <protection/>
    </xf>
    <xf numFmtId="0" fontId="22" fillId="6" borderId="32" xfId="0" applyFont="1" applyFill="1" applyBorder="1" applyAlignment="1">
      <alignment/>
    </xf>
    <xf numFmtId="0" fontId="22" fillId="6" borderId="1" xfId="0" applyFont="1" applyFill="1" applyBorder="1" applyAlignment="1">
      <alignment/>
    </xf>
    <xf numFmtId="176" fontId="22" fillId="6" borderId="4" xfId="0" applyNumberFormat="1" applyFont="1" applyFill="1" applyBorder="1" applyAlignment="1" applyProtection="1">
      <alignment horizontal="center"/>
      <protection/>
    </xf>
    <xf numFmtId="0" fontId="71" fillId="7" borderId="32" xfId="0" applyFont="1" applyFill="1" applyBorder="1" applyAlignment="1">
      <alignment/>
    </xf>
    <xf numFmtId="2" fontId="71" fillId="7" borderId="12" xfId="0" applyNumberFormat="1" applyFont="1" applyFill="1" applyBorder="1" applyAlignment="1" applyProtection="1">
      <alignment horizontal="center"/>
      <protection/>
    </xf>
    <xf numFmtId="0" fontId="70" fillId="7" borderId="12" xfId="0" applyFont="1" applyFill="1" applyBorder="1" applyAlignment="1">
      <alignment horizontal="center" vertical="center" wrapText="1"/>
    </xf>
    <xf numFmtId="0" fontId="71" fillId="7" borderId="1" xfId="0" applyFont="1" applyFill="1" applyBorder="1" applyAlignment="1">
      <alignment/>
    </xf>
    <xf numFmtId="2" fontId="71" fillId="7" borderId="1" xfId="0" applyNumberFormat="1" applyFont="1" applyFill="1" applyBorder="1" applyAlignment="1" applyProtection="1">
      <alignment horizontal="center"/>
      <protection/>
    </xf>
    <xf numFmtId="0" fontId="54" fillId="8" borderId="19" xfId="0" applyFont="1" applyFill="1" applyBorder="1" applyAlignment="1">
      <alignment horizontal="center" vertical="center" wrapText="1"/>
    </xf>
    <xf numFmtId="0" fontId="52" fillId="8" borderId="32" xfId="0" applyFont="1" applyFill="1" applyBorder="1" applyAlignment="1">
      <alignment/>
    </xf>
    <xf numFmtId="0" fontId="52" fillId="8" borderId="2" xfId="0" applyFont="1" applyFill="1" applyBorder="1" applyAlignment="1">
      <alignment/>
    </xf>
    <xf numFmtId="2" fontId="52" fillId="8" borderId="12" xfId="0" applyNumberFormat="1" applyFont="1" applyFill="1" applyBorder="1" applyAlignment="1" applyProtection="1">
      <alignment horizontal="center"/>
      <protection/>
    </xf>
    <xf numFmtId="176" fontId="53" fillId="3" borderId="33" xfId="0" applyNumberFormat="1" applyFont="1" applyFill="1" applyBorder="1" applyAlignment="1" applyProtection="1" quotePrefix="1">
      <alignment horizontal="center"/>
      <protection/>
    </xf>
    <xf numFmtId="176" fontId="53" fillId="3" borderId="34" xfId="0" applyNumberFormat="1" applyFont="1" applyFill="1" applyBorder="1" applyAlignment="1" applyProtection="1" quotePrefix="1">
      <alignment horizontal="center"/>
      <protection/>
    </xf>
    <xf numFmtId="4" fontId="53" fillId="3" borderId="28" xfId="0" applyNumberFormat="1" applyFont="1" applyFill="1" applyBorder="1" applyAlignment="1" applyProtection="1">
      <alignment horizontal="center"/>
      <protection/>
    </xf>
    <xf numFmtId="2" fontId="53" fillId="3" borderId="35" xfId="0" applyNumberFormat="1" applyFont="1" applyFill="1" applyBorder="1" applyAlignment="1" applyProtection="1">
      <alignment horizontal="center"/>
      <protection/>
    </xf>
    <xf numFmtId="2" fontId="53" fillId="3" borderId="36" xfId="0" applyNumberFormat="1" applyFont="1" applyFill="1" applyBorder="1" applyAlignment="1" applyProtection="1">
      <alignment horizontal="center"/>
      <protection/>
    </xf>
    <xf numFmtId="2" fontId="53" fillId="3" borderId="37" xfId="0" applyNumberFormat="1" applyFont="1" applyFill="1" applyBorder="1" applyAlignment="1" applyProtection="1">
      <alignment horizontal="center"/>
      <protection/>
    </xf>
    <xf numFmtId="0" fontId="59" fillId="9" borderId="18" xfId="0" applyFont="1" applyFill="1" applyBorder="1" applyAlignment="1">
      <alignment horizontal="centerContinuous" vertical="center" wrapText="1"/>
    </xf>
    <xf numFmtId="0" fontId="60" fillId="9" borderId="25" xfId="0" applyFont="1" applyFill="1" applyBorder="1" applyAlignment="1">
      <alignment horizontal="centerContinuous"/>
    </xf>
    <xf numFmtId="0" fontId="59" fillId="9" borderId="19" xfId="0" applyFont="1" applyFill="1" applyBorder="1" applyAlignment="1">
      <alignment horizontal="centerContinuous" vertical="center"/>
    </xf>
    <xf numFmtId="176" fontId="61" fillId="9" borderId="34" xfId="0" applyNumberFormat="1" applyFont="1" applyFill="1" applyBorder="1" applyAlignment="1" applyProtection="1" quotePrefix="1">
      <alignment horizontal="center"/>
      <protection/>
    </xf>
    <xf numFmtId="4" fontId="61" fillId="9" borderId="28" xfId="0" applyNumberFormat="1" applyFont="1" applyFill="1" applyBorder="1" applyAlignment="1" applyProtection="1">
      <alignment horizontal="center"/>
      <protection/>
    </xf>
    <xf numFmtId="176" fontId="61" fillId="9" borderId="30" xfId="0" applyNumberFormat="1" applyFont="1" applyFill="1" applyBorder="1" applyAlignment="1" applyProtection="1" quotePrefix="1">
      <alignment horizontal="center"/>
      <protection/>
    </xf>
    <xf numFmtId="4" fontId="61" fillId="9" borderId="2" xfId="0" applyNumberFormat="1" applyFont="1" applyFill="1" applyBorder="1" applyAlignment="1" applyProtection="1">
      <alignment horizontal="center"/>
      <protection/>
    </xf>
    <xf numFmtId="2" fontId="61" fillId="9" borderId="35" xfId="0" applyNumberFormat="1" applyFont="1" applyFill="1" applyBorder="1" applyAlignment="1" applyProtection="1">
      <alignment horizontal="center"/>
      <protection/>
    </xf>
    <xf numFmtId="2" fontId="61" fillId="9" borderId="36" xfId="0" applyNumberFormat="1" applyFont="1" applyFill="1" applyBorder="1" applyAlignment="1" applyProtection="1">
      <alignment horizontal="center"/>
      <protection/>
    </xf>
    <xf numFmtId="2" fontId="61" fillId="9" borderId="37" xfId="0" applyNumberFormat="1" applyFont="1" applyFill="1" applyBorder="1" applyAlignment="1" applyProtection="1">
      <alignment horizontal="center"/>
      <protection/>
    </xf>
    <xf numFmtId="0" fontId="72" fillId="10" borderId="12" xfId="0" applyFont="1" applyFill="1" applyBorder="1" applyAlignment="1">
      <alignment horizontal="center" vertical="center" wrapText="1"/>
    </xf>
    <xf numFmtId="7" fontId="73" fillId="10" borderId="12" xfId="0" applyNumberFormat="1" applyFont="1" applyFill="1" applyBorder="1" applyAlignment="1" applyProtection="1">
      <alignment horizontal="right"/>
      <protection/>
    </xf>
    <xf numFmtId="0" fontId="35" fillId="10" borderId="1" xfId="0" applyFont="1" applyFill="1" applyBorder="1" applyAlignment="1">
      <alignment/>
    </xf>
    <xf numFmtId="4" fontId="35" fillId="10" borderId="1" xfId="0" applyNumberFormat="1" applyFont="1" applyFill="1" applyBorder="1" applyAlignment="1">
      <alignment horizontal="right"/>
    </xf>
    <xf numFmtId="2" fontId="35" fillId="10" borderId="4" xfId="0" applyNumberFormat="1" applyFont="1" applyFill="1" applyBorder="1" applyAlignment="1">
      <alignment horizontal="right"/>
    </xf>
    <xf numFmtId="0" fontId="58" fillId="3" borderId="38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172" fontId="4" fillId="0" borderId="38" xfId="0" applyNumberFormat="1" applyFont="1" applyFill="1" applyBorder="1" applyAlignment="1" applyProtection="1">
      <alignment horizontal="center"/>
      <protection/>
    </xf>
    <xf numFmtId="0" fontId="4" fillId="0" borderId="39" xfId="0" applyFont="1" applyFill="1" applyBorder="1" applyAlignment="1">
      <alignment horizontal="center"/>
    </xf>
    <xf numFmtId="0" fontId="70" fillId="11" borderId="12" xfId="0" applyFont="1" applyFill="1" applyBorder="1" applyAlignment="1" applyProtection="1">
      <alignment horizontal="center" vertical="center"/>
      <protection/>
    </xf>
    <xf numFmtId="0" fontId="74" fillId="11" borderId="38" xfId="0" applyFont="1" applyFill="1" applyBorder="1" applyAlignment="1">
      <alignment horizontal="center"/>
    </xf>
    <xf numFmtId="0" fontId="74" fillId="11" borderId="7" xfId="0" applyFont="1" applyFill="1" applyBorder="1" applyAlignment="1">
      <alignment horizontal="center"/>
    </xf>
    <xf numFmtId="0" fontId="75" fillId="4" borderId="12" xfId="0" applyFont="1" applyFill="1" applyBorder="1" applyAlignment="1">
      <alignment horizontal="center" vertical="center" wrapText="1"/>
    </xf>
    <xf numFmtId="0" fontId="76" fillId="4" borderId="38" xfId="0" applyFont="1" applyFill="1" applyBorder="1" applyAlignment="1">
      <alignment horizontal="center"/>
    </xf>
    <xf numFmtId="0" fontId="76" fillId="4" borderId="7" xfId="0" applyFont="1" applyFill="1" applyBorder="1" applyAlignment="1">
      <alignment horizontal="center"/>
    </xf>
    <xf numFmtId="4" fontId="76" fillId="4" borderId="12" xfId="0" applyNumberFormat="1" applyFont="1" applyFill="1" applyBorder="1" applyAlignment="1">
      <alignment horizontal="center"/>
    </xf>
    <xf numFmtId="0" fontId="77" fillId="8" borderId="12" xfId="0" applyFont="1" applyFill="1" applyBorder="1" applyAlignment="1">
      <alignment horizontal="center" vertical="center" wrapText="1"/>
    </xf>
    <xf numFmtId="0" fontId="78" fillId="8" borderId="38" xfId="0" applyFont="1" applyFill="1" applyBorder="1" applyAlignment="1">
      <alignment horizontal="center"/>
    </xf>
    <xf numFmtId="0" fontId="78" fillId="8" borderId="7" xfId="0" applyFont="1" applyFill="1" applyBorder="1" applyAlignment="1">
      <alignment horizontal="center"/>
    </xf>
    <xf numFmtId="4" fontId="78" fillId="8" borderId="12" xfId="0" applyNumberFormat="1" applyFont="1" applyFill="1" applyBorder="1" applyAlignment="1">
      <alignment horizontal="center"/>
    </xf>
    <xf numFmtId="0" fontId="53" fillId="3" borderId="33" xfId="0" applyFont="1" applyFill="1" applyBorder="1" applyAlignment="1">
      <alignment horizontal="center"/>
    </xf>
    <xf numFmtId="0" fontId="53" fillId="3" borderId="40" xfId="0" applyFont="1" applyFill="1" applyBorder="1" applyAlignment="1">
      <alignment horizontal="center"/>
    </xf>
    <xf numFmtId="0" fontId="53" fillId="3" borderId="41" xfId="0" applyFont="1" applyFill="1" applyBorder="1" applyAlignment="1">
      <alignment horizontal="center"/>
    </xf>
    <xf numFmtId="0" fontId="53" fillId="3" borderId="42" xfId="0" applyFont="1" applyFill="1" applyBorder="1" applyAlignment="1">
      <alignment horizontal="center"/>
    </xf>
    <xf numFmtId="4" fontId="53" fillId="3" borderId="35" xfId="0" applyNumberFormat="1" applyFont="1" applyFill="1" applyBorder="1" applyAlignment="1">
      <alignment horizontal="center"/>
    </xf>
    <xf numFmtId="4" fontId="53" fillId="3" borderId="19" xfId="0" applyNumberFormat="1" applyFont="1" applyFill="1" applyBorder="1" applyAlignment="1">
      <alignment horizontal="center"/>
    </xf>
    <xf numFmtId="0" fontId="79" fillId="6" borderId="18" xfId="0" applyFont="1" applyFill="1" applyBorder="1" applyAlignment="1" applyProtection="1">
      <alignment horizontal="centerContinuous" vertical="center" wrapText="1"/>
      <protection/>
    </xf>
    <xf numFmtId="0" fontId="79" fillId="6" borderId="19" xfId="0" applyFont="1" applyFill="1" applyBorder="1" applyAlignment="1">
      <alignment horizontal="centerContinuous" vertical="center"/>
    </xf>
    <xf numFmtId="0" fontId="80" fillId="6" borderId="43" xfId="0" applyFont="1" applyFill="1" applyBorder="1" applyAlignment="1">
      <alignment horizontal="center"/>
    </xf>
    <xf numFmtId="0" fontId="80" fillId="6" borderId="44" xfId="0" applyFont="1" applyFill="1" applyBorder="1" applyAlignment="1">
      <alignment horizontal="center"/>
    </xf>
    <xf numFmtId="0" fontId="80" fillId="6" borderId="41" xfId="0" applyFont="1" applyFill="1" applyBorder="1" applyAlignment="1">
      <alignment horizontal="center"/>
    </xf>
    <xf numFmtId="0" fontId="80" fillId="6" borderId="42" xfId="0" applyFont="1" applyFill="1" applyBorder="1" applyAlignment="1">
      <alignment horizontal="center"/>
    </xf>
    <xf numFmtId="4" fontId="80" fillId="6" borderId="35" xfId="0" applyNumberFormat="1" applyFont="1" applyFill="1" applyBorder="1" applyAlignment="1">
      <alignment horizontal="center"/>
    </xf>
    <xf numFmtId="4" fontId="80" fillId="6" borderId="37" xfId="0" applyNumberFormat="1" applyFont="1" applyFill="1" applyBorder="1" applyAlignment="1">
      <alignment horizontal="center"/>
    </xf>
    <xf numFmtId="0" fontId="79" fillId="6" borderId="12" xfId="0" applyFont="1" applyFill="1" applyBorder="1" applyAlignment="1">
      <alignment horizontal="center" vertical="center" wrapText="1"/>
    </xf>
    <xf numFmtId="0" fontId="62" fillId="12" borderId="12" xfId="0" applyFont="1" applyFill="1" applyBorder="1" applyAlignment="1">
      <alignment horizontal="center" vertical="center" wrapText="1"/>
    </xf>
    <xf numFmtId="0" fontId="69" fillId="12" borderId="38" xfId="0" applyFont="1" applyFill="1" applyBorder="1" applyAlignment="1">
      <alignment horizontal="center"/>
    </xf>
    <xf numFmtId="0" fontId="69" fillId="12" borderId="7" xfId="0" applyFont="1" applyFill="1" applyBorder="1" applyAlignment="1">
      <alignment horizontal="center"/>
    </xf>
    <xf numFmtId="0" fontId="81" fillId="4" borderId="12" xfId="0" applyFont="1" applyFill="1" applyBorder="1" applyAlignment="1">
      <alignment horizontal="center" vertical="center" wrapText="1"/>
    </xf>
    <xf numFmtId="0" fontId="82" fillId="4" borderId="38" xfId="0" applyFont="1" applyFill="1" applyBorder="1" applyAlignment="1">
      <alignment horizontal="center"/>
    </xf>
    <xf numFmtId="0" fontId="82" fillId="4" borderId="7" xfId="0" applyFont="1" applyFill="1" applyBorder="1" applyAlignment="1">
      <alignment horizontal="center"/>
    </xf>
    <xf numFmtId="0" fontId="74" fillId="7" borderId="1" xfId="0" applyFont="1" applyFill="1" applyBorder="1" applyAlignment="1" applyProtection="1">
      <alignment horizontal="center"/>
      <protection/>
    </xf>
    <xf numFmtId="0" fontId="70" fillId="7" borderId="12" xfId="0" applyFont="1" applyFill="1" applyBorder="1" applyAlignment="1" applyProtection="1">
      <alignment horizontal="center" vertical="center"/>
      <protection/>
    </xf>
    <xf numFmtId="0" fontId="74" fillId="7" borderId="32" xfId="0" applyFont="1" applyFill="1" applyBorder="1" applyAlignment="1" applyProtection="1">
      <alignment horizontal="center"/>
      <protection/>
    </xf>
    <xf numFmtId="0" fontId="80" fillId="6" borderId="1" xfId="0" applyFont="1" applyFill="1" applyBorder="1" applyAlignment="1" applyProtection="1">
      <alignment horizontal="center"/>
      <protection/>
    </xf>
    <xf numFmtId="0" fontId="80" fillId="6" borderId="32" xfId="0" applyFont="1" applyFill="1" applyBorder="1" applyAlignment="1" applyProtection="1">
      <alignment horizontal="center"/>
      <protection/>
    </xf>
    <xf numFmtId="4" fontId="80" fillId="6" borderId="12" xfId="0" applyNumberFormat="1" applyFont="1" applyFill="1" applyBorder="1" applyAlignment="1">
      <alignment horizontal="center"/>
    </xf>
    <xf numFmtId="0" fontId="54" fillId="8" borderId="18" xfId="0" applyFont="1" applyFill="1" applyBorder="1" applyAlignment="1" applyProtection="1">
      <alignment horizontal="centerContinuous" vertical="center" wrapText="1"/>
      <protection/>
    </xf>
    <xf numFmtId="0" fontId="54" fillId="8" borderId="19" xfId="0" applyFont="1" applyFill="1" applyBorder="1" applyAlignment="1">
      <alignment horizontal="centerContinuous" vertical="center"/>
    </xf>
    <xf numFmtId="176" fontId="52" fillId="8" borderId="33" xfId="0" applyNumberFormat="1" applyFont="1" applyFill="1" applyBorder="1" applyAlignment="1" applyProtection="1" quotePrefix="1">
      <alignment horizontal="center"/>
      <protection/>
    </xf>
    <xf numFmtId="176" fontId="52" fillId="8" borderId="40" xfId="0" applyNumberFormat="1" applyFont="1" applyFill="1" applyBorder="1" applyAlignment="1" applyProtection="1" quotePrefix="1">
      <alignment horizontal="center"/>
      <protection/>
    </xf>
    <xf numFmtId="176" fontId="52" fillId="8" borderId="31" xfId="0" applyNumberFormat="1" applyFont="1" applyFill="1" applyBorder="1" applyAlignment="1" applyProtection="1" quotePrefix="1">
      <alignment horizontal="center"/>
      <protection/>
    </xf>
    <xf numFmtId="176" fontId="52" fillId="8" borderId="45" xfId="0" applyNumberFormat="1" applyFont="1" applyFill="1" applyBorder="1" applyAlignment="1" applyProtection="1" quotePrefix="1">
      <alignment horizontal="center"/>
      <protection/>
    </xf>
    <xf numFmtId="4" fontId="52" fillId="8" borderId="35" xfId="0" applyNumberFormat="1" applyFont="1" applyFill="1" applyBorder="1" applyAlignment="1">
      <alignment horizontal="center"/>
    </xf>
    <xf numFmtId="4" fontId="52" fillId="8" borderId="37" xfId="0" applyNumberFormat="1" applyFont="1" applyFill="1" applyBorder="1" applyAlignment="1">
      <alignment horizontal="center"/>
    </xf>
    <xf numFmtId="176" fontId="71" fillId="13" borderId="1" xfId="0" applyNumberFormat="1" applyFont="1" applyFill="1" applyBorder="1" applyAlignment="1" applyProtection="1" quotePrefix="1">
      <alignment horizontal="center"/>
      <protection/>
    </xf>
    <xf numFmtId="4" fontId="71" fillId="13" borderId="12" xfId="0" applyNumberFormat="1" applyFont="1" applyFill="1" applyBorder="1" applyAlignment="1">
      <alignment horizontal="center"/>
    </xf>
    <xf numFmtId="0" fontId="70" fillId="13" borderId="12" xfId="0" applyFont="1" applyFill="1" applyBorder="1" applyAlignment="1">
      <alignment horizontal="center" vertical="center" wrapText="1"/>
    </xf>
    <xf numFmtId="176" fontId="71" fillId="13" borderId="32" xfId="0" applyNumberFormat="1" applyFont="1" applyFill="1" applyBorder="1" applyAlignment="1" applyProtection="1" quotePrefix="1">
      <alignment horizontal="center"/>
      <protection/>
    </xf>
    <xf numFmtId="0" fontId="4" fillId="0" borderId="9" xfId="0" applyFont="1" applyBorder="1" applyAlignment="1">
      <alignment horizontal="center"/>
    </xf>
    <xf numFmtId="176" fontId="4" fillId="2" borderId="1" xfId="0" applyNumberFormat="1" applyFont="1" applyFill="1" applyBorder="1" applyAlignment="1">
      <alignment horizontal="center"/>
    </xf>
    <xf numFmtId="0" fontId="4" fillId="0" borderId="28" xfId="0" applyFont="1" applyBorder="1" applyAlignment="1">
      <alignment/>
    </xf>
    <xf numFmtId="4" fontId="69" fillId="12" borderId="12" xfId="0" applyNumberFormat="1" applyFont="1" applyFill="1" applyBorder="1" applyAlignment="1">
      <alignment horizontal="center"/>
    </xf>
    <xf numFmtId="4" fontId="82" fillId="4" borderId="12" xfId="0" applyNumberFormat="1" applyFont="1" applyFill="1" applyBorder="1" applyAlignment="1">
      <alignment horizontal="center"/>
    </xf>
    <xf numFmtId="0" fontId="8" fillId="0" borderId="18" xfId="0" applyFont="1" applyBorder="1" applyAlignment="1">
      <alignment horizontal="right" vertical="center"/>
    </xf>
    <xf numFmtId="7" fontId="8" fillId="0" borderId="25" xfId="0" applyNumberFormat="1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37" fillId="6" borderId="12" xfId="0" applyFont="1" applyFill="1" applyBorder="1" applyAlignment="1" applyProtection="1">
      <alignment horizontal="center" vertical="center" wrapText="1"/>
      <protection/>
    </xf>
    <xf numFmtId="0" fontId="22" fillId="6" borderId="32" xfId="0" applyFont="1" applyFill="1" applyBorder="1" applyAlignment="1">
      <alignment horizontal="center"/>
    </xf>
    <xf numFmtId="0" fontId="22" fillId="6" borderId="1" xfId="0" applyFont="1" applyFill="1" applyBorder="1" applyAlignment="1">
      <alignment horizontal="center"/>
    </xf>
    <xf numFmtId="2" fontId="83" fillId="6" borderId="1" xfId="0" applyNumberFormat="1" applyFont="1" applyFill="1" applyBorder="1" applyAlignment="1" applyProtection="1">
      <alignment horizontal="center"/>
      <protection/>
    </xf>
    <xf numFmtId="2" fontId="22" fillId="6" borderId="4" xfId="0" applyNumberFormat="1" applyFont="1" applyFill="1" applyBorder="1" applyAlignment="1" applyProtection="1">
      <alignment horizontal="center"/>
      <protection/>
    </xf>
    <xf numFmtId="0" fontId="74" fillId="7" borderId="32" xfId="0" applyFont="1" applyFill="1" applyBorder="1" applyAlignment="1">
      <alignment horizontal="center"/>
    </xf>
    <xf numFmtId="0" fontId="74" fillId="7" borderId="1" xfId="0" applyFont="1" applyFill="1" applyBorder="1" applyAlignment="1">
      <alignment horizontal="center"/>
    </xf>
    <xf numFmtId="2" fontId="74" fillId="7" borderId="4" xfId="0" applyNumberFormat="1" applyFont="1" applyFill="1" applyBorder="1" applyAlignment="1" applyProtection="1">
      <alignment horizontal="center"/>
      <protection/>
    </xf>
    <xf numFmtId="0" fontId="70" fillId="13" borderId="18" xfId="0" applyFont="1" applyFill="1" applyBorder="1" applyAlignment="1" applyProtection="1">
      <alignment horizontal="centerContinuous" vertical="center" wrapText="1"/>
      <protection/>
    </xf>
    <xf numFmtId="0" fontId="70" fillId="13" borderId="19" xfId="0" applyFont="1" applyFill="1" applyBorder="1" applyAlignment="1" applyProtection="1">
      <alignment horizontal="centerContinuous" vertical="center" wrapText="1"/>
      <protection/>
    </xf>
    <xf numFmtId="0" fontId="74" fillId="13" borderId="33" xfId="0" applyFont="1" applyFill="1" applyBorder="1" applyAlignment="1">
      <alignment horizontal="center"/>
    </xf>
    <xf numFmtId="0" fontId="74" fillId="13" borderId="40" xfId="0" applyFont="1" applyFill="1" applyBorder="1" applyAlignment="1" applyProtection="1">
      <alignment horizontal="center"/>
      <protection/>
    </xf>
    <xf numFmtId="0" fontId="74" fillId="13" borderId="31" xfId="0" applyFont="1" applyFill="1" applyBorder="1" applyAlignment="1">
      <alignment horizontal="center"/>
    </xf>
    <xf numFmtId="0" fontId="74" fillId="13" borderId="2" xfId="0" applyFont="1" applyFill="1" applyBorder="1" applyAlignment="1" applyProtection="1">
      <alignment horizontal="center"/>
      <protection/>
    </xf>
    <xf numFmtId="176" fontId="71" fillId="13" borderId="31" xfId="0" applyNumberFormat="1" applyFont="1" applyFill="1" applyBorder="1" applyAlignment="1" applyProtection="1" quotePrefix="1">
      <alignment horizontal="center"/>
      <protection/>
    </xf>
    <xf numFmtId="176" fontId="71" fillId="13" borderId="2" xfId="0" applyNumberFormat="1" applyFont="1" applyFill="1" applyBorder="1" applyAlignment="1" applyProtection="1" quotePrefix="1">
      <alignment horizontal="center"/>
      <protection/>
    </xf>
    <xf numFmtId="176" fontId="74" fillId="13" borderId="46" xfId="0" applyNumberFormat="1" applyFont="1" applyFill="1" applyBorder="1" applyAlignment="1" applyProtection="1" quotePrefix="1">
      <alignment horizontal="center"/>
      <protection/>
    </xf>
    <xf numFmtId="176" fontId="74" fillId="13" borderId="10" xfId="0" applyNumberFormat="1" applyFont="1" applyFill="1" applyBorder="1" applyAlignment="1" applyProtection="1" quotePrefix="1">
      <alignment horizontal="center"/>
      <protection/>
    </xf>
    <xf numFmtId="0" fontId="54" fillId="8" borderId="19" xfId="0" applyFont="1" applyFill="1" applyBorder="1" applyAlignment="1" applyProtection="1">
      <alignment horizontal="centerContinuous" vertical="center" wrapText="1"/>
      <protection/>
    </xf>
    <xf numFmtId="0" fontId="51" fillId="8" borderId="33" xfId="0" applyFont="1" applyFill="1" applyBorder="1" applyAlignment="1">
      <alignment horizontal="left"/>
    </xf>
    <xf numFmtId="0" fontId="51" fillId="8" borderId="28" xfId="0" applyFont="1" applyFill="1" applyBorder="1" applyAlignment="1">
      <alignment horizontal="left"/>
    </xf>
    <xf numFmtId="0" fontId="51" fillId="8" borderId="31" xfId="0" applyFont="1" applyFill="1" applyBorder="1" applyAlignment="1">
      <alignment horizontal="left"/>
    </xf>
    <xf numFmtId="0" fontId="51" fillId="8" borderId="2" xfId="0" applyFont="1" applyFill="1" applyBorder="1" applyAlignment="1">
      <alignment horizontal="left"/>
    </xf>
    <xf numFmtId="176" fontId="52" fillId="8" borderId="2" xfId="0" applyNumberFormat="1" applyFont="1" applyFill="1" applyBorder="1" applyAlignment="1" applyProtection="1" quotePrefix="1">
      <alignment horizontal="center"/>
      <protection/>
    </xf>
    <xf numFmtId="4" fontId="51" fillId="8" borderId="46" xfId="0" applyNumberFormat="1" applyFont="1" applyFill="1" applyBorder="1" applyAlignment="1" applyProtection="1">
      <alignment horizontal="center"/>
      <protection/>
    </xf>
    <xf numFmtId="4" fontId="51" fillId="8" borderId="10" xfId="0" applyNumberFormat="1" applyFont="1" applyFill="1" applyBorder="1" applyAlignment="1" applyProtection="1">
      <alignment horizontal="center"/>
      <protection/>
    </xf>
    <xf numFmtId="176" fontId="71" fillId="13" borderId="12" xfId="0" applyNumberFormat="1" applyFont="1" applyFill="1" applyBorder="1" applyAlignment="1" applyProtection="1" quotePrefix="1">
      <alignment horizontal="center"/>
      <protection/>
    </xf>
    <xf numFmtId="4" fontId="52" fillId="8" borderId="12" xfId="0" applyNumberFormat="1" applyFont="1" applyFill="1" applyBorder="1" applyAlignment="1" applyProtection="1">
      <alignment horizontal="center"/>
      <protection/>
    </xf>
    <xf numFmtId="0" fontId="70" fillId="4" borderId="12" xfId="0" applyFont="1" applyFill="1" applyBorder="1" applyAlignment="1" applyProtection="1">
      <alignment horizontal="centerContinuous" vertical="center" wrapText="1"/>
      <protection/>
    </xf>
    <xf numFmtId="0" fontId="74" fillId="4" borderId="32" xfId="0" applyFont="1" applyFill="1" applyBorder="1" applyAlignment="1">
      <alignment horizontal="left"/>
    </xf>
    <xf numFmtId="0" fontId="74" fillId="4" borderId="1" xfId="0" applyFont="1" applyFill="1" applyBorder="1" applyAlignment="1">
      <alignment horizontal="left"/>
    </xf>
    <xf numFmtId="176" fontId="71" fillId="4" borderId="1" xfId="0" applyNumberFormat="1" applyFont="1" applyFill="1" applyBorder="1" applyAlignment="1" applyProtection="1" quotePrefix="1">
      <alignment horizontal="center"/>
      <protection/>
    </xf>
    <xf numFmtId="4" fontId="74" fillId="4" borderId="4" xfId="0" applyNumberFormat="1" applyFont="1" applyFill="1" applyBorder="1" applyAlignment="1" applyProtection="1">
      <alignment horizontal="center"/>
      <protection/>
    </xf>
    <xf numFmtId="4" fontId="71" fillId="4" borderId="12" xfId="0" applyNumberFormat="1" applyFont="1" applyFill="1" applyBorder="1" applyAlignment="1" applyProtection="1">
      <alignment horizontal="center"/>
      <protection/>
    </xf>
    <xf numFmtId="0" fontId="70" fillId="14" borderId="12" xfId="0" applyFont="1" applyFill="1" applyBorder="1" applyAlignment="1" applyProtection="1">
      <alignment horizontal="centerContinuous" vertical="center" wrapText="1"/>
      <protection/>
    </xf>
    <xf numFmtId="0" fontId="74" fillId="14" borderId="32" xfId="0" applyFont="1" applyFill="1" applyBorder="1" applyAlignment="1">
      <alignment horizontal="left"/>
    </xf>
    <xf numFmtId="0" fontId="74" fillId="14" borderId="1" xfId="0" applyFont="1" applyFill="1" applyBorder="1" applyAlignment="1">
      <alignment horizontal="left"/>
    </xf>
    <xf numFmtId="176" fontId="71" fillId="14" borderId="1" xfId="0" applyNumberFormat="1" applyFont="1" applyFill="1" applyBorder="1" applyAlignment="1" applyProtection="1" quotePrefix="1">
      <alignment horizontal="center"/>
      <protection/>
    </xf>
    <xf numFmtId="4" fontId="74" fillId="14" borderId="4" xfId="0" applyNumberFormat="1" applyFont="1" applyFill="1" applyBorder="1" applyAlignment="1" applyProtection="1">
      <alignment horizontal="center"/>
      <protection/>
    </xf>
    <xf numFmtId="4" fontId="71" fillId="14" borderId="12" xfId="0" applyNumberFormat="1" applyFont="1" applyFill="1" applyBorder="1" applyAlignment="1" applyProtection="1">
      <alignment horizontal="center"/>
      <protection/>
    </xf>
    <xf numFmtId="7" fontId="4" fillId="0" borderId="32" xfId="0" applyNumberFormat="1" applyFont="1" applyBorder="1" applyAlignment="1">
      <alignment/>
    </xf>
    <xf numFmtId="7" fontId="16" fillId="0" borderId="32" xfId="0" applyNumberFormat="1" applyFont="1" applyBorder="1" applyAlignment="1">
      <alignment horizontal="center"/>
    </xf>
    <xf numFmtId="7" fontId="35" fillId="10" borderId="32" xfId="0" applyNumberFormat="1" applyFont="1" applyFill="1" applyBorder="1" applyAlignment="1">
      <alignment/>
    </xf>
    <xf numFmtId="183" fontId="13" fillId="0" borderId="0" xfId="0" applyNumberFormat="1" applyFont="1" applyBorder="1" applyAlignment="1">
      <alignment horizontal="right"/>
    </xf>
    <xf numFmtId="184" fontId="29" fillId="0" borderId="14" xfId="0" applyNumberFormat="1" applyFont="1" applyBorder="1" applyAlignment="1">
      <alignment/>
    </xf>
    <xf numFmtId="184" fontId="11" fillId="0" borderId="0" xfId="0" applyNumberFormat="1" applyFont="1" applyBorder="1" applyAlignment="1">
      <alignment horizontal="centerContinuous"/>
    </xf>
    <xf numFmtId="184" fontId="14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184" fontId="4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 horizontal="right"/>
    </xf>
    <xf numFmtId="183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80" fontId="0" fillId="0" borderId="18" xfId="0" applyNumberFormat="1" applyFont="1" applyBorder="1" applyAlignment="1">
      <alignment horizontal="centerContinuous"/>
    </xf>
    <xf numFmtId="180" fontId="22" fillId="6" borderId="1" xfId="0" applyNumberFormat="1" applyFont="1" applyFill="1" applyBorder="1" applyAlignment="1" applyProtection="1">
      <alignment horizontal="center"/>
      <protection/>
    </xf>
    <xf numFmtId="180" fontId="58" fillId="3" borderId="1" xfId="0" applyNumberFormat="1" applyFont="1" applyFill="1" applyBorder="1" applyAlignment="1" applyProtection="1">
      <alignment horizontal="center"/>
      <protection/>
    </xf>
    <xf numFmtId="7" fontId="16" fillId="0" borderId="39" xfId="0" applyNumberFormat="1" applyFont="1" applyFill="1" applyBorder="1" applyAlignment="1">
      <alignment/>
    </xf>
    <xf numFmtId="7" fontId="36" fillId="0" borderId="1" xfId="0" applyNumberFormat="1" applyFont="1" applyBorder="1" applyAlignment="1" applyProtection="1">
      <alignment/>
      <protection/>
    </xf>
    <xf numFmtId="0" fontId="84" fillId="0" borderId="0" xfId="0" applyFont="1" applyAlignment="1">
      <alignment horizontal="right" vertical="top"/>
    </xf>
    <xf numFmtId="0" fontId="84" fillId="0" borderId="0" xfId="0" applyFont="1" applyFill="1" applyAlignment="1">
      <alignment horizontal="right" vertical="top"/>
    </xf>
    <xf numFmtId="0" fontId="0" fillId="0" borderId="0" xfId="0" applyFont="1" applyBorder="1" applyAlignment="1" applyProtection="1">
      <alignment horizontal="center"/>
      <protection/>
    </xf>
    <xf numFmtId="180" fontId="0" fillId="0" borderId="0" xfId="0" applyNumberFormat="1" applyFont="1" applyBorder="1" applyAlignment="1">
      <alignment horizontal="centerContinuous"/>
    </xf>
    <xf numFmtId="0" fontId="0" fillId="0" borderId="18" xfId="0" applyFont="1" applyBorder="1" applyAlignment="1" applyProtection="1">
      <alignment horizontal="left" vertical="center"/>
      <protection/>
    </xf>
    <xf numFmtId="180" fontId="0" fillId="0" borderId="19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180" fontId="0" fillId="0" borderId="19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0" xfId="0" applyBorder="1" applyAlignment="1">
      <alignment horizontal="centerContinuous"/>
    </xf>
    <xf numFmtId="0" fontId="4" fillId="15" borderId="25" xfId="0" applyFont="1" applyFill="1" applyBorder="1" applyAlignment="1">
      <alignment/>
    </xf>
    <xf numFmtId="0" fontId="4" fillId="15" borderId="19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25" xfId="0" applyFont="1" applyBorder="1" applyAlignment="1">
      <alignment/>
    </xf>
    <xf numFmtId="0" fontId="31" fillId="0" borderId="12" xfId="0" applyFont="1" applyBorder="1" applyAlignment="1">
      <alignment horizontal="center"/>
    </xf>
    <xf numFmtId="0" fontId="4" fillId="15" borderId="18" xfId="0" applyFont="1" applyFill="1" applyBorder="1" applyAlignment="1">
      <alignment/>
    </xf>
    <xf numFmtId="0" fontId="4" fillId="15" borderId="0" xfId="0" applyFont="1" applyFill="1" applyBorder="1" applyAlignment="1">
      <alignment/>
    </xf>
    <xf numFmtId="7" fontId="12" fillId="0" borderId="17" xfId="0" applyNumberFormat="1" applyFont="1" applyFill="1" applyBorder="1" applyAlignment="1">
      <alignment horizontal="right"/>
    </xf>
    <xf numFmtId="4" fontId="4" fillId="0" borderId="47" xfId="0" applyNumberFormat="1" applyFont="1" applyFill="1" applyBorder="1" applyAlignment="1">
      <alignment horizontal="center"/>
    </xf>
    <xf numFmtId="176" fontId="19" fillId="2" borderId="48" xfId="0" applyNumberFormat="1" applyFont="1" applyFill="1" applyBorder="1" applyAlignment="1">
      <alignment horizontal="center"/>
    </xf>
    <xf numFmtId="0" fontId="87" fillId="0" borderId="0" xfId="0" applyNumberFormat="1" applyFont="1" applyBorder="1" applyAlignment="1">
      <alignment horizontal="left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172" fontId="4" fillId="0" borderId="1" xfId="0" applyNumberFormat="1" applyFont="1" applyFill="1" applyBorder="1" applyAlignment="1" applyProtection="1">
      <alignment horizontal="center"/>
      <protection locked="0"/>
    </xf>
    <xf numFmtId="173" fontId="4" fillId="0" borderId="1" xfId="0" applyNumberFormat="1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172" fontId="5" fillId="0" borderId="4" xfId="0" applyNumberFormat="1" applyFont="1" applyBorder="1" applyAlignment="1" applyProtection="1">
      <alignment horizontal="center"/>
      <protection locked="0"/>
    </xf>
    <xf numFmtId="173" fontId="4" fillId="0" borderId="4" xfId="0" applyNumberFormat="1" applyFont="1" applyBorder="1" applyAlignment="1" applyProtection="1">
      <alignment horizontal="center"/>
      <protection locked="0"/>
    </xf>
    <xf numFmtId="22" fontId="4" fillId="0" borderId="2" xfId="0" applyNumberFormat="1" applyFont="1" applyBorder="1" applyAlignment="1" applyProtection="1">
      <alignment horizontal="center"/>
      <protection locked="0"/>
    </xf>
    <xf numFmtId="22" fontId="4" fillId="0" borderId="49" xfId="0" applyNumberFormat="1" applyFont="1" applyBorder="1" applyAlignment="1" applyProtection="1">
      <alignment horizontal="center"/>
      <protection locked="0"/>
    </xf>
    <xf numFmtId="22" fontId="4" fillId="0" borderId="9" xfId="0" applyNumberFormat="1" applyFont="1" applyBorder="1" applyAlignment="1" applyProtection="1">
      <alignment horizontal="center"/>
      <protection locked="0"/>
    </xf>
    <xf numFmtId="176" fontId="4" fillId="0" borderId="4" xfId="0" applyNumberFormat="1" applyFont="1" applyBorder="1" applyAlignment="1" applyProtection="1">
      <alignment horizontal="center"/>
      <protection locked="0"/>
    </xf>
    <xf numFmtId="176" fontId="4" fillId="0" borderId="2" xfId="0" applyNumberFormat="1" applyFont="1" applyBorder="1" applyAlignment="1" applyProtection="1">
      <alignment horizontal="center"/>
      <protection locked="0"/>
    </xf>
    <xf numFmtId="179" fontId="4" fillId="0" borderId="1" xfId="0" applyNumberFormat="1" applyFont="1" applyBorder="1" applyAlignment="1" applyProtection="1" quotePrefix="1">
      <alignment horizontal="center"/>
      <protection locked="0"/>
    </xf>
    <xf numFmtId="176" fontId="4" fillId="0" borderId="1" xfId="0" applyNumberFormat="1" applyFont="1" applyBorder="1" applyAlignment="1" applyProtection="1">
      <alignment horizontal="center"/>
      <protection locked="0"/>
    </xf>
    <xf numFmtId="176" fontId="53" fillId="3" borderId="31" xfId="0" applyNumberFormat="1" applyFont="1" applyFill="1" applyBorder="1" applyAlignment="1" applyProtection="1" quotePrefix="1">
      <alignment horizontal="center"/>
      <protection locked="0"/>
    </xf>
    <xf numFmtId="176" fontId="53" fillId="3" borderId="30" xfId="0" applyNumberFormat="1" applyFont="1" applyFill="1" applyBorder="1" applyAlignment="1" applyProtection="1" quotePrefix="1">
      <alignment horizontal="center"/>
      <protection locked="0"/>
    </xf>
    <xf numFmtId="4" fontId="53" fillId="3" borderId="2" xfId="0" applyNumberFormat="1" applyFont="1" applyFill="1" applyBorder="1" applyAlignment="1" applyProtection="1">
      <alignment horizontal="center"/>
      <protection locked="0"/>
    </xf>
    <xf numFmtId="4" fontId="65" fillId="4" borderId="1" xfId="0" applyNumberFormat="1" applyFont="1" applyFill="1" applyBorder="1" applyAlignment="1" applyProtection="1">
      <alignment horizontal="center"/>
      <protection locked="0"/>
    </xf>
    <xf numFmtId="4" fontId="68" fillId="5" borderId="1" xfId="0" applyNumberFormat="1" applyFont="1" applyFill="1" applyBorder="1" applyAlignment="1" applyProtection="1">
      <alignment horizontal="center"/>
      <protection locked="0"/>
    </xf>
    <xf numFmtId="179" fontId="4" fillId="0" borderId="4" xfId="0" applyNumberFormat="1" applyFont="1" applyBorder="1" applyAlignment="1" applyProtection="1" quotePrefix="1">
      <alignment horizontal="center"/>
      <protection locked="0"/>
    </xf>
    <xf numFmtId="176" fontId="53" fillId="3" borderId="46" xfId="0" applyNumberFormat="1" applyFont="1" applyFill="1" applyBorder="1" applyAlignment="1" applyProtection="1" quotePrefix="1">
      <alignment horizontal="center"/>
      <protection locked="0"/>
    </xf>
    <xf numFmtId="176" fontId="53" fillId="3" borderId="50" xfId="0" applyNumberFormat="1" applyFont="1" applyFill="1" applyBorder="1" applyAlignment="1" applyProtection="1" quotePrefix="1">
      <alignment horizontal="center"/>
      <protection locked="0"/>
    </xf>
    <xf numFmtId="4" fontId="53" fillId="3" borderId="51" xfId="0" applyNumberFormat="1" applyFont="1" applyFill="1" applyBorder="1" applyAlignment="1" applyProtection="1">
      <alignment horizontal="center"/>
      <protection locked="0"/>
    </xf>
    <xf numFmtId="4" fontId="65" fillId="4" borderId="4" xfId="0" applyNumberFormat="1" applyFont="1" applyFill="1" applyBorder="1" applyAlignment="1" applyProtection="1">
      <alignment horizontal="center"/>
      <protection locked="0"/>
    </xf>
    <xf numFmtId="4" fontId="68" fillId="5" borderId="4" xfId="0" applyNumberFormat="1" applyFont="1" applyFill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 quotePrefix="1">
      <alignment horizontal="center"/>
      <protection locked="0"/>
    </xf>
    <xf numFmtId="0" fontId="4" fillId="0" borderId="10" xfId="0" applyFont="1" applyBorder="1" applyAlignment="1" applyProtection="1" quotePrefix="1">
      <alignment horizontal="center"/>
      <protection locked="0"/>
    </xf>
    <xf numFmtId="172" fontId="4" fillId="0" borderId="2" xfId="0" applyNumberFormat="1" applyFont="1" applyBorder="1" applyAlignment="1" applyProtection="1">
      <alignment horizontal="center"/>
      <protection locked="0"/>
    </xf>
    <xf numFmtId="172" fontId="4" fillId="0" borderId="3" xfId="0" applyNumberFormat="1" applyFont="1" applyBorder="1" applyAlignment="1" applyProtection="1">
      <alignment horizontal="center"/>
      <protection locked="0"/>
    </xf>
    <xf numFmtId="179" fontId="4" fillId="0" borderId="2" xfId="0" applyNumberFormat="1" applyFont="1" applyBorder="1" applyAlignment="1" applyProtection="1" quotePrefix="1">
      <alignment horizontal="center"/>
      <protection locked="0"/>
    </xf>
    <xf numFmtId="2" fontId="71" fillId="7" borderId="1" xfId="0" applyNumberFormat="1" applyFont="1" applyFill="1" applyBorder="1" applyAlignment="1" applyProtection="1">
      <alignment horizontal="center"/>
      <protection locked="0"/>
    </xf>
    <xf numFmtId="2" fontId="52" fillId="8" borderId="2" xfId="0" applyNumberFormat="1" applyFont="1" applyFill="1" applyBorder="1" applyAlignment="1" applyProtection="1">
      <alignment horizontal="center"/>
      <protection locked="0"/>
    </xf>
    <xf numFmtId="176" fontId="61" fillId="9" borderId="30" xfId="0" applyNumberFormat="1" applyFont="1" applyFill="1" applyBorder="1" applyAlignment="1" applyProtection="1" quotePrefix="1">
      <alignment horizontal="center"/>
      <protection locked="0"/>
    </xf>
    <xf numFmtId="179" fontId="61" fillId="9" borderId="30" xfId="0" applyNumberFormat="1" applyFont="1" applyFill="1" applyBorder="1" applyAlignment="1" applyProtection="1" quotePrefix="1">
      <alignment horizontal="center"/>
      <protection locked="0"/>
    </xf>
    <xf numFmtId="4" fontId="61" fillId="9" borderId="2" xfId="0" applyNumberFormat="1" applyFont="1" applyFill="1" applyBorder="1" applyAlignment="1" applyProtection="1">
      <alignment horizontal="center"/>
      <protection locked="0"/>
    </xf>
    <xf numFmtId="4" fontId="4" fillId="0" borderId="1" xfId="0" applyNumberFormat="1" applyFont="1" applyBorder="1" applyAlignment="1" applyProtection="1">
      <alignment horizontal="center"/>
      <protection locked="0"/>
    </xf>
    <xf numFmtId="2" fontId="71" fillId="7" borderId="4" xfId="0" applyNumberFormat="1" applyFont="1" applyFill="1" applyBorder="1" applyAlignment="1" applyProtection="1">
      <alignment horizontal="center"/>
      <protection locked="0"/>
    </xf>
    <xf numFmtId="2" fontId="52" fillId="8" borderId="4" xfId="0" applyNumberFormat="1" applyFont="1" applyFill="1" applyBorder="1" applyAlignment="1" applyProtection="1">
      <alignment horizontal="center"/>
      <protection locked="0"/>
    </xf>
    <xf numFmtId="176" fontId="61" fillId="9" borderId="46" xfId="0" applyNumberFormat="1" applyFont="1" applyFill="1" applyBorder="1" applyAlignment="1" applyProtection="1" quotePrefix="1">
      <alignment horizontal="center"/>
      <protection locked="0"/>
    </xf>
    <xf numFmtId="176" fontId="61" fillId="9" borderId="50" xfId="0" applyNumberFormat="1" applyFont="1" applyFill="1" applyBorder="1" applyAlignment="1" applyProtection="1" quotePrefix="1">
      <alignment horizontal="center"/>
      <protection locked="0"/>
    </xf>
    <xf numFmtId="4" fontId="61" fillId="9" borderId="51" xfId="0" applyNumberFormat="1" applyFont="1" applyFill="1" applyBorder="1" applyAlignment="1" applyProtection="1">
      <alignment horizontal="center"/>
      <protection locked="0"/>
    </xf>
    <xf numFmtId="4" fontId="4" fillId="0" borderId="4" xfId="0" applyNumberFormat="1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49" xfId="0" applyFont="1" applyBorder="1" applyAlignment="1" applyProtection="1">
      <alignment horizontal="center"/>
      <protection locked="0"/>
    </xf>
    <xf numFmtId="172" fontId="4" fillId="0" borderId="7" xfId="0" applyNumberFormat="1" applyFont="1" applyBorder="1" applyAlignment="1" applyProtection="1">
      <alignment horizontal="center"/>
      <protection locked="0"/>
    </xf>
    <xf numFmtId="1" fontId="4" fillId="0" borderId="42" xfId="0" applyNumberFormat="1" applyFont="1" applyBorder="1" applyAlignment="1" applyProtection="1" quotePrefix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 quotePrefix="1">
      <alignment horizontal="center"/>
      <protection locked="0"/>
    </xf>
    <xf numFmtId="172" fontId="5" fillId="0" borderId="48" xfId="0" applyNumberFormat="1" applyFont="1" applyFill="1" applyBorder="1" applyAlignment="1" applyProtection="1">
      <alignment horizontal="center"/>
      <protection locked="0"/>
    </xf>
    <xf numFmtId="22" fontId="4" fillId="0" borderId="1" xfId="0" applyNumberFormat="1" applyFont="1" applyFill="1" applyBorder="1" applyAlignment="1" applyProtection="1">
      <alignment horizontal="center"/>
      <protection locked="0"/>
    </xf>
    <xf numFmtId="38" fontId="4" fillId="0" borderId="4" xfId="0" applyNumberFormat="1" applyFont="1" applyFill="1" applyBorder="1" applyAlignment="1" applyProtection="1">
      <alignment horizontal="center"/>
      <protection locked="0"/>
    </xf>
    <xf numFmtId="176" fontId="4" fillId="0" borderId="1" xfId="0" applyNumberFormat="1" applyFont="1" applyFill="1" applyBorder="1" applyAlignment="1" applyProtection="1">
      <alignment horizontal="center"/>
      <protection locked="0"/>
    </xf>
    <xf numFmtId="176" fontId="4" fillId="0" borderId="1" xfId="0" applyNumberFormat="1" applyFont="1" applyBorder="1" applyAlignment="1" applyProtection="1" quotePrefix="1">
      <alignment horizontal="center"/>
      <protection locked="0"/>
    </xf>
    <xf numFmtId="176" fontId="4" fillId="0" borderId="4" xfId="0" applyNumberFormat="1" applyFont="1" applyFill="1" applyBorder="1" applyAlignment="1" applyProtection="1">
      <alignment horizontal="center"/>
      <protection locked="0"/>
    </xf>
    <xf numFmtId="176" fontId="4" fillId="0" borderId="10" xfId="0" applyNumberFormat="1" applyFont="1" applyFill="1" applyBorder="1" applyAlignment="1" applyProtection="1">
      <alignment horizontal="center"/>
      <protection locked="0"/>
    </xf>
    <xf numFmtId="2" fontId="76" fillId="4" borderId="1" xfId="0" applyNumberFormat="1" applyFont="1" applyFill="1" applyBorder="1" applyAlignment="1" applyProtection="1">
      <alignment horizontal="center"/>
      <protection locked="0"/>
    </xf>
    <xf numFmtId="2" fontId="78" fillId="8" borderId="1" xfId="0" applyNumberFormat="1" applyFont="1" applyFill="1" applyBorder="1" applyAlignment="1" applyProtection="1">
      <alignment horizontal="center"/>
      <protection locked="0"/>
    </xf>
    <xf numFmtId="176" fontId="53" fillId="3" borderId="41" xfId="0" applyNumberFormat="1" applyFont="1" applyFill="1" applyBorder="1" applyAlignment="1" applyProtection="1" quotePrefix="1">
      <alignment horizontal="center"/>
      <protection locked="0"/>
    </xf>
    <xf numFmtId="176" fontId="53" fillId="3" borderId="42" xfId="0" applyNumberFormat="1" applyFont="1" applyFill="1" applyBorder="1" applyAlignment="1" applyProtection="1" quotePrefix="1">
      <alignment horizontal="center"/>
      <protection locked="0"/>
    </xf>
    <xf numFmtId="176" fontId="80" fillId="6" borderId="41" xfId="0" applyNumberFormat="1" applyFont="1" applyFill="1" applyBorder="1" applyAlignment="1" applyProtection="1" quotePrefix="1">
      <alignment horizontal="center"/>
      <protection locked="0"/>
    </xf>
    <xf numFmtId="176" fontId="80" fillId="6" borderId="42" xfId="0" applyNumberFormat="1" applyFont="1" applyFill="1" applyBorder="1" applyAlignment="1" applyProtection="1" quotePrefix="1">
      <alignment horizontal="center"/>
      <protection locked="0"/>
    </xf>
    <xf numFmtId="176" fontId="69" fillId="12" borderId="1" xfId="0" applyNumberFormat="1" applyFont="1" applyFill="1" applyBorder="1" applyAlignment="1" applyProtection="1" quotePrefix="1">
      <alignment horizontal="center"/>
      <protection locked="0"/>
    </xf>
    <xf numFmtId="176" fontId="82" fillId="4" borderId="7" xfId="0" applyNumberFormat="1" applyFont="1" applyFill="1" applyBorder="1" applyAlignment="1" applyProtection="1" quotePrefix="1">
      <alignment horizontal="center"/>
      <protection locked="0"/>
    </xf>
    <xf numFmtId="2" fontId="76" fillId="4" borderId="4" xfId="0" applyNumberFormat="1" applyFont="1" applyFill="1" applyBorder="1" applyAlignment="1" applyProtection="1">
      <alignment horizontal="center"/>
      <protection locked="0"/>
    </xf>
    <xf numFmtId="2" fontId="78" fillId="8" borderId="4" xfId="0" applyNumberFormat="1" applyFont="1" applyFill="1" applyBorder="1" applyAlignment="1" applyProtection="1">
      <alignment horizontal="center"/>
      <protection locked="0"/>
    </xf>
    <xf numFmtId="176" fontId="53" fillId="3" borderId="52" xfId="0" applyNumberFormat="1" applyFont="1" applyFill="1" applyBorder="1" applyAlignment="1" applyProtection="1" quotePrefix="1">
      <alignment horizontal="center"/>
      <protection locked="0"/>
    </xf>
    <xf numFmtId="176" fontId="53" fillId="3" borderId="53" xfId="0" applyNumberFormat="1" applyFont="1" applyFill="1" applyBorder="1" applyAlignment="1" applyProtection="1" quotePrefix="1">
      <alignment horizontal="center"/>
      <protection locked="0"/>
    </xf>
    <xf numFmtId="176" fontId="80" fillId="6" borderId="46" xfId="0" applyNumberFormat="1" applyFont="1" applyFill="1" applyBorder="1" applyAlignment="1" applyProtection="1" quotePrefix="1">
      <alignment horizontal="center"/>
      <protection locked="0"/>
    </xf>
    <xf numFmtId="176" fontId="80" fillId="6" borderId="51" xfId="0" applyNumberFormat="1" applyFont="1" applyFill="1" applyBorder="1" applyAlignment="1" applyProtection="1" quotePrefix="1">
      <alignment horizontal="center"/>
      <protection locked="0"/>
    </xf>
    <xf numFmtId="176" fontId="69" fillId="12" borderId="4" xfId="0" applyNumberFormat="1" applyFont="1" applyFill="1" applyBorder="1" applyAlignment="1" applyProtection="1" quotePrefix="1">
      <alignment horizontal="center"/>
      <protection locked="0"/>
    </xf>
    <xf numFmtId="176" fontId="82" fillId="4" borderId="4" xfId="0" applyNumberFormat="1" applyFont="1" applyFill="1" applyBorder="1" applyAlignment="1" applyProtection="1" quotePrefix="1">
      <alignment horizontal="center"/>
      <protection locked="0"/>
    </xf>
    <xf numFmtId="176" fontId="19" fillId="0" borderId="10" xfId="0" applyNumberFormat="1" applyFont="1" applyFill="1" applyBorder="1" applyAlignment="1" applyProtection="1">
      <alignment horizontal="center"/>
      <protection locked="0"/>
    </xf>
    <xf numFmtId="172" fontId="74" fillId="11" borderId="1" xfId="0" applyNumberFormat="1" applyFont="1" applyFill="1" applyBorder="1" applyAlignment="1" applyProtection="1">
      <alignment horizontal="center"/>
      <protection locked="0"/>
    </xf>
    <xf numFmtId="176" fontId="4" fillId="0" borderId="2" xfId="0" applyNumberFormat="1" applyFont="1" applyFill="1" applyBorder="1" applyAlignment="1" applyProtection="1">
      <alignment horizontal="center"/>
      <protection locked="0"/>
    </xf>
    <xf numFmtId="172" fontId="74" fillId="11" borderId="4" xfId="0" applyNumberFormat="1" applyFont="1" applyFill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172" fontId="5" fillId="0" borderId="1" xfId="0" applyNumberFormat="1" applyFont="1" applyBorder="1" applyAlignment="1" applyProtection="1" quotePrefix="1">
      <alignment horizontal="center"/>
      <protection locked="0"/>
    </xf>
    <xf numFmtId="0" fontId="6" fillId="0" borderId="54" xfId="0" applyFont="1" applyBorder="1" applyAlignment="1" applyProtection="1">
      <alignment horizontal="center"/>
      <protection locked="0"/>
    </xf>
    <xf numFmtId="22" fontId="4" fillId="0" borderId="31" xfId="0" applyNumberFormat="1" applyFont="1" applyBorder="1" applyAlignment="1" applyProtection="1">
      <alignment horizontal="center"/>
      <protection locked="0"/>
    </xf>
    <xf numFmtId="22" fontId="4" fillId="0" borderId="1" xfId="0" applyNumberFormat="1" applyFont="1" applyBorder="1" applyAlignment="1" applyProtection="1">
      <alignment horizontal="center"/>
      <protection locked="0"/>
    </xf>
    <xf numFmtId="176" fontId="4" fillId="0" borderId="10" xfId="0" applyNumberFormat="1" applyFont="1" applyBorder="1" applyAlignment="1" applyProtection="1">
      <alignment horizontal="center"/>
      <protection locked="0"/>
    </xf>
    <xf numFmtId="172" fontId="74" fillId="7" borderId="1" xfId="0" applyNumberFormat="1" applyFont="1" applyFill="1" applyBorder="1" applyAlignment="1" applyProtection="1">
      <alignment horizontal="center"/>
      <protection locked="0"/>
    </xf>
    <xf numFmtId="2" fontId="80" fillId="6" borderId="1" xfId="0" applyNumberFormat="1" applyFont="1" applyFill="1" applyBorder="1" applyAlignment="1" applyProtection="1">
      <alignment horizontal="center"/>
      <protection locked="0"/>
    </xf>
    <xf numFmtId="176" fontId="52" fillId="8" borderId="31" xfId="0" applyNumberFormat="1" applyFont="1" applyFill="1" applyBorder="1" applyAlignment="1" applyProtection="1" quotePrefix="1">
      <alignment horizontal="center"/>
      <protection locked="0"/>
    </xf>
    <xf numFmtId="176" fontId="52" fillId="8" borderId="45" xfId="0" applyNumberFormat="1" applyFont="1" applyFill="1" applyBorder="1" applyAlignment="1" applyProtection="1" quotePrefix="1">
      <alignment horizontal="center"/>
      <protection locked="0"/>
    </xf>
    <xf numFmtId="176" fontId="71" fillId="13" borderId="1" xfId="0" applyNumberFormat="1" applyFont="1" applyFill="1" applyBorder="1" applyAlignment="1" applyProtection="1" quotePrefix="1">
      <alignment horizontal="center"/>
      <protection locked="0"/>
    </xf>
    <xf numFmtId="172" fontId="74" fillId="7" borderId="4" xfId="0" applyNumberFormat="1" applyFont="1" applyFill="1" applyBorder="1" applyAlignment="1" applyProtection="1">
      <alignment horizontal="center"/>
      <protection locked="0"/>
    </xf>
    <xf numFmtId="2" fontId="80" fillId="6" borderId="4" xfId="0" applyNumberFormat="1" applyFont="1" applyFill="1" applyBorder="1" applyAlignment="1" applyProtection="1">
      <alignment horizontal="center"/>
      <protection locked="0"/>
    </xf>
    <xf numFmtId="176" fontId="52" fillId="8" borderId="46" xfId="0" applyNumberFormat="1" applyFont="1" applyFill="1" applyBorder="1" applyAlignment="1" applyProtection="1" quotePrefix="1">
      <alignment horizontal="center"/>
      <protection locked="0"/>
    </xf>
    <xf numFmtId="176" fontId="52" fillId="8" borderId="51" xfId="0" applyNumberFormat="1" applyFont="1" applyFill="1" applyBorder="1" applyAlignment="1" applyProtection="1" quotePrefix="1">
      <alignment horizontal="center"/>
      <protection locked="0"/>
    </xf>
    <xf numFmtId="176" fontId="71" fillId="13" borderId="4" xfId="0" applyNumberFormat="1" applyFont="1" applyFill="1" applyBorder="1" applyAlignment="1" applyProtection="1" quotePrefix="1">
      <alignment horizontal="center"/>
      <protection locked="0"/>
    </xf>
    <xf numFmtId="180" fontId="0" fillId="0" borderId="19" xfId="0" applyNumberFormat="1" applyFont="1" applyBorder="1" applyAlignment="1" applyProtection="1">
      <alignment horizontal="center" vertical="center"/>
      <protection locked="0"/>
    </xf>
    <xf numFmtId="0" fontId="4" fillId="0" borderId="7" xfId="22" applyFont="1" applyFill="1" applyBorder="1" applyAlignment="1">
      <alignment horizontal="center"/>
      <protection/>
    </xf>
    <xf numFmtId="0" fontId="4" fillId="0" borderId="7" xfId="22" applyFill="1" applyBorder="1" applyAlignment="1">
      <alignment horizontal="center"/>
      <protection/>
    </xf>
    <xf numFmtId="22" fontId="4" fillId="0" borderId="7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7" fontId="4" fillId="0" borderId="0" xfId="0" applyNumberFormat="1" applyFont="1" applyBorder="1" applyAlignment="1">
      <alignment/>
    </xf>
    <xf numFmtId="180" fontId="16" fillId="0" borderId="18" xfId="0" applyNumberFormat="1" applyFont="1" applyBorder="1" applyAlignment="1">
      <alignment horizontal="centerContinuous"/>
    </xf>
    <xf numFmtId="172" fontId="33" fillId="0" borderId="12" xfId="0" applyNumberFormat="1" applyFont="1" applyBorder="1" applyAlignment="1" applyProtection="1">
      <alignment horizontal="center" vertical="center" wrapText="1"/>
      <protection/>
    </xf>
    <xf numFmtId="176" fontId="88" fillId="16" borderId="12" xfId="0" applyNumberFormat="1" applyFont="1" applyFill="1" applyBorder="1" applyAlignment="1" applyProtection="1">
      <alignment horizontal="center" vertical="center"/>
      <protection/>
    </xf>
    <xf numFmtId="0" fontId="89" fillId="7" borderId="12" xfId="0" applyFont="1" applyFill="1" applyBorder="1" applyAlignment="1" applyProtection="1">
      <alignment horizontal="center" vertical="center"/>
      <protection/>
    </xf>
    <xf numFmtId="0" fontId="62" fillId="13" borderId="12" xfId="0" applyFont="1" applyFill="1" applyBorder="1" applyAlignment="1">
      <alignment horizontal="center" vertical="center" wrapText="1"/>
    </xf>
    <xf numFmtId="0" fontId="54" fillId="8" borderId="12" xfId="0" applyFont="1" applyFill="1" applyBorder="1" applyAlignment="1">
      <alignment horizontal="center" vertical="center" wrapText="1"/>
    </xf>
    <xf numFmtId="0" fontId="90" fillId="17" borderId="18" xfId="0" applyFont="1" applyFill="1" applyBorder="1" applyAlignment="1">
      <alignment horizontal="centerContinuous" vertical="center" wrapText="1"/>
    </xf>
    <xf numFmtId="0" fontId="91" fillId="17" borderId="25" xfId="0" applyFont="1" applyFill="1" applyBorder="1" applyAlignment="1">
      <alignment horizontal="centerContinuous"/>
    </xf>
    <xf numFmtId="0" fontId="90" fillId="17" borderId="19" xfId="0" applyFont="1" applyFill="1" applyBorder="1" applyAlignment="1">
      <alignment horizontal="centerContinuous" vertical="center"/>
    </xf>
    <xf numFmtId="0" fontId="92" fillId="16" borderId="32" xfId="0" applyFont="1" applyFill="1" applyBorder="1" applyAlignment="1">
      <alignment/>
    </xf>
    <xf numFmtId="0" fontId="93" fillId="7" borderId="32" xfId="0" applyFont="1" applyFill="1" applyBorder="1" applyAlignment="1">
      <alignment/>
    </xf>
    <xf numFmtId="0" fontId="94" fillId="13" borderId="32" xfId="0" applyFont="1" applyFill="1" applyBorder="1" applyAlignment="1">
      <alignment/>
    </xf>
    <xf numFmtId="0" fontId="51" fillId="8" borderId="32" xfId="0" applyFont="1" applyFill="1" applyBorder="1" applyAlignment="1">
      <alignment/>
    </xf>
    <xf numFmtId="0" fontId="4" fillId="3" borderId="33" xfId="0" applyFont="1" applyFill="1" applyBorder="1" applyAlignment="1">
      <alignment/>
    </xf>
    <xf numFmtId="0" fontId="4" fillId="3" borderId="55" xfId="0" applyFont="1" applyFill="1" applyBorder="1" applyAlignment="1">
      <alignment/>
    </xf>
    <xf numFmtId="0" fontId="4" fillId="3" borderId="40" xfId="0" applyFont="1" applyFill="1" applyBorder="1" applyAlignment="1">
      <alignment/>
    </xf>
    <xf numFmtId="0" fontId="95" fillId="17" borderId="33" xfId="0" applyFont="1" applyFill="1" applyBorder="1" applyAlignment="1">
      <alignment/>
    </xf>
    <xf numFmtId="0" fontId="95" fillId="17" borderId="55" xfId="0" applyFont="1" applyFill="1" applyBorder="1" applyAlignment="1">
      <alignment/>
    </xf>
    <xf numFmtId="0" fontId="95" fillId="17" borderId="40" xfId="0" applyFont="1" applyFill="1" applyBorder="1" applyAlignment="1">
      <alignment/>
    </xf>
    <xf numFmtId="7" fontId="16" fillId="0" borderId="32" xfId="0" applyNumberFormat="1" applyFont="1" applyBorder="1" applyAlignment="1">
      <alignment/>
    </xf>
    <xf numFmtId="0" fontId="92" fillId="16" borderId="1" xfId="0" applyFont="1" applyFill="1" applyBorder="1" applyAlignment="1">
      <alignment/>
    </xf>
    <xf numFmtId="0" fontId="93" fillId="7" borderId="1" xfId="0" applyFont="1" applyFill="1" applyBorder="1" applyAlignment="1">
      <alignment/>
    </xf>
    <xf numFmtId="0" fontId="94" fillId="13" borderId="1" xfId="0" applyFont="1" applyFill="1" applyBorder="1" applyAlignment="1">
      <alignment/>
    </xf>
    <xf numFmtId="0" fontId="51" fillId="8" borderId="2" xfId="0" applyFont="1" applyFill="1" applyBorder="1" applyAlignment="1">
      <alignment/>
    </xf>
    <xf numFmtId="176" fontId="5" fillId="3" borderId="31" xfId="0" applyNumberFormat="1" applyFont="1" applyFill="1" applyBorder="1" applyAlignment="1" applyProtection="1" quotePrefix="1">
      <alignment horizontal="center"/>
      <protection/>
    </xf>
    <xf numFmtId="176" fontId="5" fillId="3" borderId="30" xfId="0" applyNumberFormat="1" applyFont="1" applyFill="1" applyBorder="1" applyAlignment="1" applyProtection="1" quotePrefix="1">
      <alignment horizontal="center"/>
      <protection/>
    </xf>
    <xf numFmtId="4" fontId="5" fillId="3" borderId="2" xfId="0" applyNumberFormat="1" applyFont="1" applyFill="1" applyBorder="1" applyAlignment="1" applyProtection="1">
      <alignment horizontal="center"/>
      <protection/>
    </xf>
    <xf numFmtId="176" fontId="95" fillId="17" borderId="31" xfId="0" applyNumberFormat="1" applyFont="1" applyFill="1" applyBorder="1" applyAlignment="1" applyProtection="1" quotePrefix="1">
      <alignment horizontal="center"/>
      <protection/>
    </xf>
    <xf numFmtId="176" fontId="95" fillId="17" borderId="30" xfId="0" applyNumberFormat="1" applyFont="1" applyFill="1" applyBorder="1" applyAlignment="1" applyProtection="1" quotePrefix="1">
      <alignment horizontal="center"/>
      <protection/>
    </xf>
    <xf numFmtId="4" fontId="95" fillId="17" borderId="2" xfId="0" applyNumberFormat="1" applyFont="1" applyFill="1" applyBorder="1" applyAlignment="1" applyProtection="1">
      <alignment horizontal="center"/>
      <protection/>
    </xf>
    <xf numFmtId="173" fontId="4" fillId="0" borderId="1" xfId="0" applyNumberFormat="1" applyFont="1" applyFill="1" applyBorder="1" applyAlignment="1" applyProtection="1">
      <alignment horizontal="center"/>
      <protection locked="0"/>
    </xf>
    <xf numFmtId="0" fontId="92" fillId="16" borderId="1" xfId="0" applyFont="1" applyFill="1" applyBorder="1" applyAlignment="1" applyProtection="1">
      <alignment horizontal="center"/>
      <protection/>
    </xf>
    <xf numFmtId="180" fontId="93" fillId="7" borderId="1" xfId="0" applyNumberFormat="1" applyFont="1" applyFill="1" applyBorder="1" applyAlignment="1" applyProtection="1">
      <alignment horizontal="center"/>
      <protection/>
    </xf>
    <xf numFmtId="22" fontId="4" fillId="0" borderId="2" xfId="0" applyNumberFormat="1" applyFont="1" applyFill="1" applyBorder="1" applyAlignment="1" applyProtection="1">
      <alignment horizontal="center"/>
      <protection locked="0"/>
    </xf>
    <xf numFmtId="22" fontId="4" fillId="0" borderId="49" xfId="0" applyNumberFormat="1" applyFont="1" applyFill="1" applyBorder="1" applyAlignment="1" applyProtection="1">
      <alignment horizontal="center"/>
      <protection locked="0"/>
    </xf>
    <xf numFmtId="2" fontId="69" fillId="13" borderId="1" xfId="0" applyNumberFormat="1" applyFont="1" applyFill="1" applyBorder="1" applyAlignment="1" applyProtection="1">
      <alignment horizontal="center"/>
      <protection locked="0"/>
    </xf>
    <xf numFmtId="2" fontId="52" fillId="8" borderId="2" xfId="0" applyNumberFormat="1" applyFont="1" applyFill="1" applyBorder="1" applyAlignment="1" applyProtection="1">
      <alignment horizontal="center"/>
      <protection locked="0"/>
    </xf>
    <xf numFmtId="176" fontId="96" fillId="17" borderId="31" xfId="0" applyNumberFormat="1" applyFont="1" applyFill="1" applyBorder="1" applyAlignment="1" applyProtection="1" quotePrefix="1">
      <alignment horizontal="center"/>
      <protection locked="0"/>
    </xf>
    <xf numFmtId="176" fontId="96" fillId="17" borderId="30" xfId="0" applyNumberFormat="1" applyFont="1" applyFill="1" applyBorder="1" applyAlignment="1" applyProtection="1" quotePrefix="1">
      <alignment horizontal="center"/>
      <protection locked="0"/>
    </xf>
    <xf numFmtId="4" fontId="96" fillId="17" borderId="2" xfId="0" applyNumberFormat="1" applyFont="1" applyFill="1" applyBorder="1" applyAlignment="1" applyProtection="1">
      <alignment horizontal="center"/>
      <protection locked="0"/>
    </xf>
    <xf numFmtId="4" fontId="5" fillId="0" borderId="1" xfId="0" applyNumberFormat="1" applyFont="1" applyBorder="1" applyAlignment="1" applyProtection="1">
      <alignment horizontal="center"/>
      <protection locked="0"/>
    </xf>
    <xf numFmtId="2" fontId="4" fillId="0" borderId="17" xfId="0" applyNumberFormat="1" applyFont="1" applyFill="1" applyBorder="1" applyAlignment="1">
      <alignment horizontal="center"/>
    </xf>
    <xf numFmtId="0" fontId="4" fillId="0" borderId="1" xfId="23" applyFont="1" applyFill="1" applyBorder="1" applyAlignment="1" applyProtection="1">
      <alignment horizontal="center"/>
      <protection locked="0"/>
    </xf>
    <xf numFmtId="172" fontId="4" fillId="0" borderId="1" xfId="23" applyNumberFormat="1" applyFont="1" applyFill="1" applyBorder="1" applyAlignment="1" applyProtection="1">
      <alignment horizontal="center"/>
      <protection locked="0"/>
    </xf>
    <xf numFmtId="173" fontId="4" fillId="0" borderId="1" xfId="23" applyNumberFormat="1" applyFont="1" applyFill="1" applyBorder="1" applyAlignment="1" applyProtection="1">
      <alignment horizontal="center"/>
      <protection locked="0"/>
    </xf>
    <xf numFmtId="22" fontId="4" fillId="0" borderId="2" xfId="23" applyNumberFormat="1" applyFont="1" applyFill="1" applyBorder="1" applyAlignment="1" applyProtection="1">
      <alignment horizontal="center"/>
      <protection locked="0"/>
    </xf>
    <xf numFmtId="22" fontId="4" fillId="0" borderId="9" xfId="23" applyNumberFormat="1" applyFont="1" applyFill="1" applyBorder="1" applyAlignment="1" applyProtection="1">
      <alignment horizontal="center"/>
      <protection locked="0"/>
    </xf>
    <xf numFmtId="172" fontId="4" fillId="0" borderId="1" xfId="0" applyNumberFormat="1" applyFont="1" applyBorder="1" applyAlignment="1" applyProtection="1">
      <alignment horizontal="center"/>
      <protection locked="0"/>
    </xf>
    <xf numFmtId="0" fontId="92" fillId="16" borderId="4" xfId="0" applyFont="1" applyFill="1" applyBorder="1" applyAlignment="1" applyProtection="1">
      <alignment horizontal="center"/>
      <protection/>
    </xf>
    <xf numFmtId="180" fontId="93" fillId="7" borderId="4" xfId="0" applyNumberFormat="1" applyFont="1" applyFill="1" applyBorder="1" applyAlignment="1" applyProtection="1">
      <alignment horizontal="center"/>
      <protection/>
    </xf>
    <xf numFmtId="2" fontId="94" fillId="13" borderId="4" xfId="0" applyNumberFormat="1" applyFont="1" applyFill="1" applyBorder="1" applyAlignment="1" applyProtection="1">
      <alignment horizontal="center"/>
      <protection locked="0"/>
    </xf>
    <xf numFmtId="2" fontId="52" fillId="8" borderId="4" xfId="0" applyNumberFormat="1" applyFont="1" applyFill="1" applyBorder="1" applyAlignment="1" applyProtection="1">
      <alignment horizontal="center"/>
      <protection locked="0"/>
    </xf>
    <xf numFmtId="176" fontId="96" fillId="17" borderId="46" xfId="0" applyNumberFormat="1" applyFont="1" applyFill="1" applyBorder="1" applyAlignment="1" applyProtection="1" quotePrefix="1">
      <alignment horizontal="center"/>
      <protection locked="0"/>
    </xf>
    <xf numFmtId="176" fontId="96" fillId="17" borderId="50" xfId="0" applyNumberFormat="1" applyFont="1" applyFill="1" applyBorder="1" applyAlignment="1" applyProtection="1" quotePrefix="1">
      <alignment horizontal="center"/>
      <protection locked="0"/>
    </xf>
    <xf numFmtId="4" fontId="96" fillId="17" borderId="51" xfId="0" applyNumberFormat="1" applyFont="1" applyFill="1" applyBorder="1" applyAlignment="1" applyProtection="1">
      <alignment horizontal="center"/>
      <protection locked="0"/>
    </xf>
    <xf numFmtId="4" fontId="5" fillId="0" borderId="4" xfId="0" applyNumberFormat="1" applyFont="1" applyBorder="1" applyAlignment="1" applyProtection="1">
      <alignment horizontal="center"/>
      <protection locked="0"/>
    </xf>
    <xf numFmtId="2" fontId="69" fillId="13" borderId="12" xfId="0" applyNumberFormat="1" applyFont="1" applyFill="1" applyBorder="1" applyAlignment="1" applyProtection="1">
      <alignment horizontal="center"/>
      <protection/>
    </xf>
    <xf numFmtId="2" fontId="52" fillId="8" borderId="12" xfId="0" applyNumberFormat="1" applyFont="1" applyFill="1" applyBorder="1" applyAlignment="1" applyProtection="1">
      <alignment horizontal="center"/>
      <protection/>
    </xf>
    <xf numFmtId="2" fontId="53" fillId="3" borderId="12" xfId="0" applyNumberFormat="1" applyFont="1" applyFill="1" applyBorder="1" applyAlignment="1" applyProtection="1">
      <alignment horizontal="center"/>
      <protection/>
    </xf>
    <xf numFmtId="2" fontId="96" fillId="17" borderId="12" xfId="0" applyNumberFormat="1" applyFont="1" applyFill="1" applyBorder="1" applyAlignment="1" applyProtection="1">
      <alignment horizontal="center"/>
      <protection/>
    </xf>
    <xf numFmtId="7" fontId="12" fillId="0" borderId="11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 horizontal="center" vertical="center"/>
    </xf>
    <xf numFmtId="0" fontId="97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9" fillId="0" borderId="0" xfId="0" applyFont="1" applyAlignment="1">
      <alignment/>
    </xf>
    <xf numFmtId="0" fontId="31" fillId="0" borderId="0" xfId="0" applyFont="1" applyBorder="1" applyAlignment="1">
      <alignment/>
    </xf>
    <xf numFmtId="0" fontId="11" fillId="0" borderId="16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0" xfId="0" applyFont="1" applyBorder="1" applyAlignment="1" applyProtection="1">
      <alignment horizontal="centerContinuous"/>
      <protection/>
    </xf>
    <xf numFmtId="0" fontId="11" fillId="0" borderId="17" xfId="0" applyFont="1" applyBorder="1" applyAlignment="1">
      <alignment horizontal="centerContinuous"/>
    </xf>
    <xf numFmtId="0" fontId="0" fillId="0" borderId="18" xfId="0" applyFont="1" applyBorder="1" applyAlignment="1" applyProtection="1">
      <alignment horizontal="left"/>
      <protection/>
    </xf>
    <xf numFmtId="0" fontId="0" fillId="0" borderId="27" xfId="0" applyFont="1" applyBorder="1" applyAlignment="1" applyProtection="1">
      <alignment horizontal="center"/>
      <protection/>
    </xf>
    <xf numFmtId="180" fontId="0" fillId="0" borderId="19" xfId="0" applyNumberFormat="1" applyFont="1" applyBorder="1" applyAlignment="1">
      <alignment horizontal="center"/>
    </xf>
    <xf numFmtId="0" fontId="0" fillId="0" borderId="18" xfId="0" applyFont="1" applyBorder="1" applyAlignment="1" applyProtection="1" quotePrefix="1">
      <alignment horizontal="left"/>
      <protection/>
    </xf>
    <xf numFmtId="0" fontId="0" fillId="0" borderId="25" xfId="0" applyFont="1" applyBorder="1" applyAlignment="1" applyProtection="1">
      <alignment horizontal="center"/>
      <protection/>
    </xf>
    <xf numFmtId="172" fontId="0" fillId="0" borderId="19" xfId="0" applyNumberFormat="1" applyFont="1" applyBorder="1" applyAlignment="1" applyProtection="1">
      <alignment horizontal="center"/>
      <protection/>
    </xf>
    <xf numFmtId="0" fontId="98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172" fontId="4" fillId="0" borderId="0" xfId="0" applyNumberFormat="1" applyFont="1" applyBorder="1" applyAlignment="1" applyProtection="1">
      <alignment horizontal="center"/>
      <protection/>
    </xf>
    <xf numFmtId="2" fontId="15" fillId="0" borderId="0" xfId="0" applyNumberFormat="1" applyFont="1" applyBorder="1" applyAlignment="1">
      <alignment horizontal="center"/>
    </xf>
    <xf numFmtId="176" fontId="5" fillId="0" borderId="0" xfId="0" applyNumberFormat="1" applyFont="1" applyBorder="1" applyAlignment="1" applyProtection="1" quotePrefix="1">
      <alignment horizontal="center"/>
      <protection/>
    </xf>
    <xf numFmtId="176" fontId="5" fillId="0" borderId="0" xfId="0" applyNumberFormat="1" applyFont="1" applyBorder="1" applyAlignment="1" applyProtection="1">
      <alignment horizontal="center"/>
      <protection/>
    </xf>
    <xf numFmtId="176" fontId="22" fillId="0" borderId="0" xfId="0" applyNumberFormat="1" applyFont="1" applyFill="1" applyBorder="1" applyAlignment="1">
      <alignment horizontal="center"/>
    </xf>
    <xf numFmtId="0" fontId="33" fillId="0" borderId="12" xfId="0" applyFont="1" applyBorder="1" applyAlignment="1" applyProtection="1" quotePrefix="1">
      <alignment horizontal="center" vertical="center" wrapText="1"/>
      <protection/>
    </xf>
    <xf numFmtId="0" fontId="37" fillId="4" borderId="12" xfId="0" applyFont="1" applyFill="1" applyBorder="1" applyAlignment="1">
      <alignment horizontal="center" vertical="center" wrapText="1"/>
    </xf>
    <xf numFmtId="0" fontId="62" fillId="18" borderId="18" xfId="0" applyFont="1" applyFill="1" applyBorder="1" applyAlignment="1" applyProtection="1">
      <alignment horizontal="centerContinuous" vertical="center" wrapText="1"/>
      <protection/>
    </xf>
    <xf numFmtId="0" fontId="62" fillId="18" borderId="19" xfId="0" applyFont="1" applyFill="1" applyBorder="1" applyAlignment="1">
      <alignment horizontal="centerContinuous" vertical="center"/>
    </xf>
    <xf numFmtId="0" fontId="90" fillId="8" borderId="12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58" fillId="3" borderId="47" xfId="0" applyFont="1" applyFill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58" fillId="3" borderId="0" xfId="0" applyFont="1" applyFill="1" applyBorder="1" applyAlignment="1">
      <alignment horizontal="center"/>
    </xf>
    <xf numFmtId="0" fontId="83" fillId="4" borderId="38" xfId="0" applyFont="1" applyFill="1" applyBorder="1" applyAlignment="1">
      <alignment horizontal="center"/>
    </xf>
    <xf numFmtId="0" fontId="69" fillId="18" borderId="33" xfId="0" applyFont="1" applyFill="1" applyBorder="1" applyAlignment="1">
      <alignment horizontal="center"/>
    </xf>
    <xf numFmtId="0" fontId="69" fillId="18" borderId="40" xfId="0" applyFont="1" applyFill="1" applyBorder="1" applyAlignment="1">
      <alignment horizontal="center"/>
    </xf>
    <xf numFmtId="0" fontId="96" fillId="8" borderId="38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7" fontId="18" fillId="0" borderId="38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49" xfId="0" applyFont="1" applyBorder="1" applyAlignment="1" applyProtection="1">
      <alignment horizontal="center"/>
      <protection/>
    </xf>
    <xf numFmtId="0" fontId="6" fillId="0" borderId="58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176" fontId="58" fillId="3" borderId="7" xfId="0" applyNumberFormat="1" applyFont="1" applyFill="1" applyBorder="1" applyAlignment="1" applyProtection="1">
      <alignment horizontal="center"/>
      <protection/>
    </xf>
    <xf numFmtId="22" fontId="4" fillId="0" borderId="41" xfId="0" applyNumberFormat="1" applyFont="1" applyBorder="1" applyAlignment="1">
      <alignment horizontal="center"/>
    </xf>
    <xf numFmtId="22" fontId="4" fillId="0" borderId="58" xfId="0" applyNumberFormat="1" applyFont="1" applyBorder="1" applyAlignment="1" applyProtection="1">
      <alignment horizontal="center"/>
      <protection/>
    </xf>
    <xf numFmtId="2" fontId="4" fillId="0" borderId="7" xfId="0" applyNumberFormat="1" applyFont="1" applyFill="1" applyBorder="1" applyAlignment="1" applyProtection="1" quotePrefix="1">
      <alignment horizontal="center"/>
      <protection/>
    </xf>
    <xf numFmtId="172" fontId="4" fillId="0" borderId="7" xfId="0" applyNumberFormat="1" applyFont="1" applyFill="1" applyBorder="1" applyAlignment="1" applyProtection="1" quotePrefix="1">
      <alignment horizontal="center"/>
      <protection/>
    </xf>
    <xf numFmtId="176" fontId="4" fillId="0" borderId="8" xfId="0" applyNumberFormat="1" applyFont="1" applyBorder="1" applyAlignment="1" applyProtection="1">
      <alignment horizontal="center"/>
      <protection/>
    </xf>
    <xf numFmtId="176" fontId="4" fillId="0" borderId="7" xfId="0" applyNumberFormat="1" applyFont="1" applyBorder="1" applyAlignment="1" applyProtection="1">
      <alignment horizontal="center"/>
      <protection/>
    </xf>
    <xf numFmtId="172" fontId="58" fillId="3" borderId="49" xfId="0" applyNumberFormat="1" applyFont="1" applyFill="1" applyBorder="1" applyAlignment="1" applyProtection="1">
      <alignment horizontal="center"/>
      <protection/>
    </xf>
    <xf numFmtId="2" fontId="83" fillId="4" borderId="7" xfId="0" applyNumberFormat="1" applyFont="1" applyFill="1" applyBorder="1" applyAlignment="1">
      <alignment horizontal="center"/>
    </xf>
    <xf numFmtId="176" fontId="69" fillId="18" borderId="41" xfId="0" applyNumberFormat="1" applyFont="1" applyFill="1" applyBorder="1" applyAlignment="1" applyProtection="1" quotePrefix="1">
      <alignment horizontal="center"/>
      <protection/>
    </xf>
    <xf numFmtId="176" fontId="69" fillId="18" borderId="42" xfId="0" applyNumberFormat="1" applyFont="1" applyFill="1" applyBorder="1" applyAlignment="1" applyProtection="1" quotePrefix="1">
      <alignment horizontal="center"/>
      <protection/>
    </xf>
    <xf numFmtId="176" fontId="96" fillId="8" borderId="7" xfId="0" applyNumberFormat="1" applyFont="1" applyFill="1" applyBorder="1" applyAlignment="1" applyProtection="1" quotePrefix="1">
      <alignment horizontal="center"/>
      <protection/>
    </xf>
    <xf numFmtId="176" fontId="18" fillId="0" borderId="7" xfId="0" applyNumberFormat="1" applyFont="1" applyFill="1" applyBorder="1" applyAlignment="1">
      <alignment horizontal="center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172" fontId="58" fillId="3" borderId="3" xfId="0" applyNumberFormat="1" applyFont="1" applyFill="1" applyBorder="1" applyAlignment="1" applyProtection="1">
      <alignment horizontal="center"/>
      <protection locked="0"/>
    </xf>
    <xf numFmtId="2" fontId="83" fillId="4" borderId="1" xfId="0" applyNumberFormat="1" applyFont="1" applyFill="1" applyBorder="1" applyAlignment="1" applyProtection="1">
      <alignment horizontal="center"/>
      <protection locked="0"/>
    </xf>
    <xf numFmtId="176" fontId="69" fillId="18" borderId="41" xfId="0" applyNumberFormat="1" applyFont="1" applyFill="1" applyBorder="1" applyAlignment="1" applyProtection="1" quotePrefix="1">
      <alignment horizontal="center"/>
      <protection locked="0"/>
    </xf>
    <xf numFmtId="176" fontId="69" fillId="18" borderId="42" xfId="0" applyNumberFormat="1" applyFont="1" applyFill="1" applyBorder="1" applyAlignment="1" applyProtection="1" quotePrefix="1">
      <alignment horizontal="center"/>
      <protection locked="0"/>
    </xf>
    <xf numFmtId="176" fontId="96" fillId="8" borderId="7" xfId="0" applyNumberFormat="1" applyFont="1" applyFill="1" applyBorder="1" applyAlignment="1" applyProtection="1" quotePrefix="1">
      <alignment horizontal="center"/>
      <protection locked="0"/>
    </xf>
    <xf numFmtId="2" fontId="4" fillId="0" borderId="59" xfId="0" applyNumberFormat="1" applyFont="1" applyFill="1" applyBorder="1" applyAlignment="1" applyProtection="1" quotePrefix="1">
      <alignment horizontal="center"/>
      <protection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172" fontId="58" fillId="3" borderId="23" xfId="0" applyNumberFormat="1" applyFont="1" applyFill="1" applyBorder="1" applyAlignment="1" applyProtection="1">
      <alignment horizontal="center"/>
      <protection locked="0"/>
    </xf>
    <xf numFmtId="2" fontId="83" fillId="4" borderId="4" xfId="0" applyNumberFormat="1" applyFont="1" applyFill="1" applyBorder="1" applyAlignment="1" applyProtection="1">
      <alignment horizontal="center"/>
      <protection locked="0"/>
    </xf>
    <xf numFmtId="176" fontId="69" fillId="18" borderId="52" xfId="0" applyNumberFormat="1" applyFont="1" applyFill="1" applyBorder="1" applyAlignment="1" applyProtection="1" quotePrefix="1">
      <alignment horizontal="center"/>
      <protection locked="0"/>
    </xf>
    <xf numFmtId="176" fontId="69" fillId="18" borderId="53" xfId="0" applyNumberFormat="1" applyFont="1" applyFill="1" applyBorder="1" applyAlignment="1" applyProtection="1" quotePrefix="1">
      <alignment horizontal="center"/>
      <protection locked="0"/>
    </xf>
    <xf numFmtId="176" fontId="96" fillId="8" borderId="4" xfId="0" applyNumberFormat="1" applyFont="1" applyFill="1" applyBorder="1" applyAlignment="1" applyProtection="1" quotePrefix="1">
      <alignment horizontal="center"/>
      <protection locked="0"/>
    </xf>
    <xf numFmtId="176" fontId="18" fillId="0" borderId="5" xfId="0" applyNumberFormat="1" applyFont="1" applyFill="1" applyBorder="1" applyAlignment="1">
      <alignment horizontal="center"/>
    </xf>
    <xf numFmtId="4" fontId="83" fillId="4" borderId="12" xfId="0" applyNumberFormat="1" applyFont="1" applyFill="1" applyBorder="1" applyAlignment="1">
      <alignment horizontal="center"/>
    </xf>
    <xf numFmtId="4" fontId="69" fillId="18" borderId="35" xfId="0" applyNumberFormat="1" applyFont="1" applyFill="1" applyBorder="1" applyAlignment="1">
      <alignment horizontal="center"/>
    </xf>
    <xf numFmtId="4" fontId="69" fillId="18" borderId="19" xfId="0" applyNumberFormat="1" applyFont="1" applyFill="1" applyBorder="1" applyAlignment="1">
      <alignment horizontal="center"/>
    </xf>
    <xf numFmtId="4" fontId="96" fillId="8" borderId="12" xfId="0" applyNumberFormat="1" applyFont="1" applyFill="1" applyBorder="1" applyAlignment="1">
      <alignment horizontal="center"/>
    </xf>
    <xf numFmtId="0" fontId="4" fillId="0" borderId="60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DENOR9604" xfId="21"/>
    <cellStyle name="Normal_líneas" xfId="22"/>
    <cellStyle name="Normal_TRAN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790575</xdr:colOff>
      <xdr:row>0</xdr:row>
      <xdr:rowOff>0</xdr:rowOff>
    </xdr:from>
    <xdr:to>
      <xdr:col>1</xdr:col>
      <xdr:colOff>257175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514350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95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0</xdr:rowOff>
    </xdr:from>
    <xdr:to>
      <xdr:col>1</xdr:col>
      <xdr:colOff>57150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0401NER%20Anexo%20I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-0401"/>
      <sheetName val="LI-0401"/>
      <sheetName val="condiciones climaticas 313-01"/>
      <sheetName val="TR-0401"/>
      <sheetName val="SA-0401"/>
      <sheetName val="SA-0401 (2)"/>
      <sheetName val="RE-0401"/>
      <sheetName val="SU (YACYLEC)"/>
      <sheetName val="SU (LITSA)"/>
      <sheetName val="SU (TIBA)"/>
      <sheetName val="SU (ENECOR)"/>
      <sheetName val="TRANSENER"/>
    </sheetNames>
    <sheetDataSet>
      <sheetData sheetId="0">
        <row r="2">
          <cell r="B2" t="str">
            <v>ANEXO I-1 a la Resolución ENRE N°                 .-</v>
          </cell>
        </row>
        <row r="14">
          <cell r="B14" t="str">
            <v>Desde el 01 al 31 de enero de 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47"/>
  <sheetViews>
    <sheetView tabSelected="1" zoomScale="75" zoomScaleNormal="75" workbookViewId="0" topLeftCell="B1">
      <selection activeCell="E8" sqref="E8"/>
    </sheetView>
  </sheetViews>
  <sheetFormatPr defaultColWidth="11.421875" defaultRowHeight="12.75"/>
  <cols>
    <col min="1" max="1" width="22.7109375" style="16" customWidth="1"/>
    <col min="2" max="2" width="7.7109375" style="16" customWidth="1"/>
    <col min="3" max="3" width="21.00390625" style="16" customWidth="1"/>
    <col min="4" max="4" width="17.8515625" style="16" customWidth="1"/>
    <col min="5" max="5" width="21.00390625" style="16" customWidth="1"/>
    <col min="6" max="6" width="17.00390625" style="16" customWidth="1"/>
    <col min="7" max="7" width="36.28125" style="16" customWidth="1"/>
    <col min="8" max="8" width="22.57421875" style="16" customWidth="1"/>
    <col min="9" max="9" width="20.00390625" style="16" customWidth="1"/>
    <col min="10" max="10" width="12.28125" style="16" customWidth="1"/>
    <col min="11" max="11" width="15.7109375" style="16" customWidth="1"/>
    <col min="12" max="13" width="11.421875" style="16" customWidth="1"/>
    <col min="14" max="14" width="14.140625" style="16" customWidth="1"/>
    <col min="15" max="15" width="11.421875" style="16" customWidth="1"/>
    <col min="16" max="16" width="14.7109375" style="16" customWidth="1"/>
    <col min="17" max="17" width="11.421875" style="16" customWidth="1"/>
    <col min="18" max="18" width="12.00390625" style="16" customWidth="1"/>
    <col min="19" max="16384" width="11.421875" style="16" customWidth="1"/>
  </cols>
  <sheetData>
    <row r="1" spans="2:11" s="61" customFormat="1" ht="26.25">
      <c r="B1" s="62"/>
      <c r="E1" s="13"/>
      <c r="K1" s="455"/>
    </row>
    <row r="2" spans="2:10" s="61" customFormat="1" ht="26.25">
      <c r="B2" s="62" t="s">
        <v>131</v>
      </c>
      <c r="C2" s="63"/>
      <c r="D2" s="64"/>
      <c r="E2" s="64"/>
      <c r="F2" s="64"/>
      <c r="G2" s="64"/>
      <c r="H2" s="64"/>
      <c r="I2" s="64"/>
      <c r="J2" s="64"/>
    </row>
    <row r="3" spans="3:19" ht="12.75">
      <c r="C3"/>
      <c r="D3" s="65"/>
      <c r="E3" s="65"/>
      <c r="F3" s="65"/>
      <c r="G3" s="65"/>
      <c r="H3" s="65"/>
      <c r="I3" s="65"/>
      <c r="J3" s="65"/>
      <c r="P3" s="14"/>
      <c r="Q3" s="14"/>
      <c r="R3" s="14"/>
      <c r="S3" s="14"/>
    </row>
    <row r="4" spans="1:19" s="68" customFormat="1" ht="11.25">
      <c r="A4" s="66" t="s">
        <v>11</v>
      </c>
      <c r="B4" s="67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19" s="68" customFormat="1" ht="11.25">
      <c r="A5" s="66" t="s">
        <v>12</v>
      </c>
      <c r="B5" s="67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2:19" s="61" customFormat="1" ht="11.25" customHeight="1">
      <c r="B6" s="70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2:19" s="10" customFormat="1" ht="21">
      <c r="B7" s="205" t="s">
        <v>0</v>
      </c>
      <c r="C7" s="72"/>
      <c r="D7" s="8"/>
      <c r="E7" s="8"/>
      <c r="F7" s="9"/>
      <c r="G7" s="9"/>
      <c r="H7" s="9"/>
      <c r="I7" s="9"/>
      <c r="J7" s="9"/>
      <c r="K7" s="11"/>
      <c r="L7" s="11"/>
      <c r="M7" s="11"/>
      <c r="N7" s="11"/>
      <c r="O7" s="11"/>
      <c r="P7" s="11"/>
      <c r="Q7" s="11"/>
      <c r="R7" s="11"/>
      <c r="S7" s="11"/>
    </row>
    <row r="8" spans="9:19" ht="12.75"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2:19" s="10" customFormat="1" ht="21">
      <c r="B9" s="205" t="s">
        <v>109</v>
      </c>
      <c r="C9" s="72"/>
      <c r="D9" s="8"/>
      <c r="E9" s="8"/>
      <c r="F9" s="8"/>
      <c r="G9" s="8"/>
      <c r="H9" s="8"/>
      <c r="I9" s="9"/>
      <c r="J9" s="9"/>
      <c r="K9" s="11"/>
      <c r="L9" s="11"/>
      <c r="M9" s="11"/>
      <c r="N9" s="11"/>
      <c r="O9" s="11"/>
      <c r="P9" s="11"/>
      <c r="Q9" s="11"/>
      <c r="R9" s="11"/>
      <c r="S9" s="11"/>
    </row>
    <row r="10" spans="4:19" ht="12.75">
      <c r="D10" s="74"/>
      <c r="E10" s="7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2:19" s="10" customFormat="1" ht="20.25">
      <c r="B11" s="205" t="s">
        <v>108</v>
      </c>
      <c r="C11" s="4"/>
      <c r="D11" s="73"/>
      <c r="E11" s="73"/>
      <c r="F11" s="8"/>
      <c r="G11" s="8"/>
      <c r="H11" s="8"/>
      <c r="I11" s="9"/>
      <c r="J11" s="9"/>
      <c r="K11" s="11"/>
      <c r="L11" s="11"/>
      <c r="M11" s="11"/>
      <c r="N11" s="11"/>
      <c r="O11" s="11"/>
      <c r="P11" s="11"/>
      <c r="Q11" s="11"/>
      <c r="R11" s="11"/>
      <c r="S11" s="11"/>
    </row>
    <row r="12" spans="4:19" s="75" customFormat="1" ht="16.5" thickBot="1">
      <c r="D12" s="76"/>
      <c r="E12" s="76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</row>
    <row r="13" spans="2:19" s="75" customFormat="1" ht="16.5" thickTop="1">
      <c r="B13" s="78"/>
      <c r="C13" s="79"/>
      <c r="D13" s="79"/>
      <c r="E13" s="442"/>
      <c r="F13" s="79"/>
      <c r="G13" s="79"/>
      <c r="H13" s="79"/>
      <c r="I13" s="79"/>
      <c r="J13" s="80"/>
      <c r="K13" s="77"/>
      <c r="L13" s="77"/>
      <c r="M13" s="77"/>
      <c r="N13" s="77"/>
      <c r="O13" s="77"/>
      <c r="P13" s="77"/>
      <c r="Q13" s="77"/>
      <c r="R13" s="77"/>
      <c r="S13" s="77"/>
    </row>
    <row r="14" spans="2:19" s="15" customFormat="1" ht="19.5">
      <c r="B14" s="81" t="s">
        <v>92</v>
      </c>
      <c r="C14" s="82"/>
      <c r="D14" s="83"/>
      <c r="E14" s="443"/>
      <c r="F14" s="84"/>
      <c r="G14" s="84"/>
      <c r="H14" s="84"/>
      <c r="I14" s="85"/>
      <c r="J14" s="86"/>
      <c r="K14" s="87"/>
      <c r="L14" s="87"/>
      <c r="M14" s="87"/>
      <c r="N14" s="87"/>
      <c r="O14" s="87"/>
      <c r="P14" s="87"/>
      <c r="Q14" s="87"/>
      <c r="R14" s="87"/>
      <c r="S14" s="87"/>
    </row>
    <row r="15" spans="2:19" s="15" customFormat="1" ht="13.5" customHeight="1">
      <c r="B15" s="88"/>
      <c r="C15" s="89"/>
      <c r="D15" s="441"/>
      <c r="E15" s="444"/>
      <c r="F15" s="48"/>
      <c r="G15" s="48"/>
      <c r="H15" s="48"/>
      <c r="I15" s="87"/>
      <c r="J15" s="90"/>
      <c r="K15" s="87"/>
      <c r="L15" s="87"/>
      <c r="M15" s="87"/>
      <c r="N15" s="87"/>
      <c r="O15" s="87"/>
      <c r="P15" s="87"/>
      <c r="Q15" s="87"/>
      <c r="R15" s="87"/>
      <c r="S15" s="87"/>
    </row>
    <row r="16" spans="2:19" s="15" customFormat="1" ht="19.5">
      <c r="B16" s="88"/>
      <c r="C16" s="91" t="s">
        <v>13</v>
      </c>
      <c r="D16" s="441" t="s">
        <v>14</v>
      </c>
      <c r="E16" s="444"/>
      <c r="F16" s="48"/>
      <c r="G16" s="48"/>
      <c r="H16" s="48"/>
      <c r="I16" s="92"/>
      <c r="J16" s="90"/>
      <c r="K16" s="87"/>
      <c r="L16" s="87"/>
      <c r="M16" s="87"/>
      <c r="N16" s="87"/>
      <c r="O16" s="87"/>
      <c r="P16" s="87"/>
      <c r="Q16" s="87"/>
      <c r="R16" s="87"/>
      <c r="S16" s="87"/>
    </row>
    <row r="17" spans="2:19" s="15" customFormat="1" ht="19.5">
      <c r="B17" s="88"/>
      <c r="C17" s="91"/>
      <c r="D17" s="441" t="s">
        <v>110</v>
      </c>
      <c r="E17" s="445" t="s">
        <v>111</v>
      </c>
      <c r="F17" s="48"/>
      <c r="G17" s="48"/>
      <c r="H17" s="48"/>
      <c r="I17" s="92">
        <f>'LI-0401'!AC40</f>
        <v>1497.14</v>
      </c>
      <c r="J17" s="90"/>
      <c r="K17" s="87"/>
      <c r="L17" s="87"/>
      <c r="M17" s="87"/>
      <c r="N17" s="87"/>
      <c r="O17" s="87"/>
      <c r="P17" s="87"/>
      <c r="Q17" s="87"/>
      <c r="R17" s="87"/>
      <c r="S17" s="87"/>
    </row>
    <row r="18" spans="2:19" s="15" customFormat="1" ht="19.5">
      <c r="B18" s="88"/>
      <c r="C18" s="91"/>
      <c r="D18" s="441">
        <v>12</v>
      </c>
      <c r="E18" s="445" t="s">
        <v>15</v>
      </c>
      <c r="F18" s="48"/>
      <c r="G18" s="48"/>
      <c r="H18" s="48"/>
      <c r="I18" s="92">
        <f>'LIN-YACY'!V40</f>
        <v>0</v>
      </c>
      <c r="J18" s="90"/>
      <c r="K18" s="87"/>
      <c r="L18" s="87"/>
      <c r="M18" s="87"/>
      <c r="N18" s="87"/>
      <c r="O18" s="87"/>
      <c r="P18" s="87"/>
      <c r="Q18" s="87"/>
      <c r="R18" s="87"/>
      <c r="S18" s="87"/>
    </row>
    <row r="19" spans="2:19" s="15" customFormat="1" ht="19.5">
      <c r="B19" s="88"/>
      <c r="C19" s="91"/>
      <c r="D19" s="441">
        <v>13</v>
      </c>
      <c r="E19" s="445" t="s">
        <v>16</v>
      </c>
      <c r="F19" s="48"/>
      <c r="G19" s="48"/>
      <c r="H19" s="48"/>
      <c r="I19" s="92">
        <f>'LIN-LITSA'!AD42</f>
        <v>19.96</v>
      </c>
      <c r="J19" s="90"/>
      <c r="K19" s="87"/>
      <c r="L19" s="87"/>
      <c r="M19" s="87"/>
      <c r="N19" s="87"/>
      <c r="O19" s="87"/>
      <c r="P19" s="87"/>
      <c r="Q19" s="87"/>
      <c r="R19" s="87"/>
      <c r="S19" s="87"/>
    </row>
    <row r="20" spans="2:19" ht="12.75" customHeight="1">
      <c r="B20" s="93"/>
      <c r="C20" s="94"/>
      <c r="D20" s="441"/>
      <c r="E20" s="446"/>
      <c r="F20" s="95"/>
      <c r="G20" s="95"/>
      <c r="H20" s="95"/>
      <c r="I20" s="96"/>
      <c r="J20" s="97"/>
      <c r="K20" s="14"/>
      <c r="L20" s="14"/>
      <c r="M20" s="14"/>
      <c r="N20" s="14"/>
      <c r="O20" s="14"/>
      <c r="P20" s="14"/>
      <c r="Q20" s="14"/>
      <c r="R20" s="14"/>
      <c r="S20" s="14"/>
    </row>
    <row r="21" spans="2:19" s="15" customFormat="1" ht="19.5">
      <c r="B21" s="88"/>
      <c r="C21" s="91" t="s">
        <v>17</v>
      </c>
      <c r="D21" s="448" t="s">
        <v>18</v>
      </c>
      <c r="E21" s="444"/>
      <c r="F21" s="48"/>
      <c r="G21" s="48"/>
      <c r="H21" s="48"/>
      <c r="I21" s="92"/>
      <c r="J21" s="90"/>
      <c r="K21" s="87"/>
      <c r="L21" s="87"/>
      <c r="M21" s="87"/>
      <c r="N21" s="87"/>
      <c r="O21" s="87"/>
      <c r="P21" s="87"/>
      <c r="Q21" s="87"/>
      <c r="R21" s="87"/>
      <c r="S21" s="87"/>
    </row>
    <row r="22" spans="2:19" s="15" customFormat="1" ht="19.5">
      <c r="B22" s="88"/>
      <c r="C22" s="91"/>
      <c r="D22" s="441">
        <v>21</v>
      </c>
      <c r="E22" s="445" t="s">
        <v>19</v>
      </c>
      <c r="F22" s="48"/>
      <c r="G22" s="48"/>
      <c r="H22" s="48"/>
      <c r="I22" s="92"/>
      <c r="J22" s="90"/>
      <c r="K22" s="87"/>
      <c r="L22" s="87"/>
      <c r="M22" s="87"/>
      <c r="N22" s="87"/>
      <c r="O22" s="87"/>
      <c r="P22" s="87"/>
      <c r="Q22" s="87"/>
      <c r="R22" s="87"/>
      <c r="S22" s="87"/>
    </row>
    <row r="23" spans="2:19" s="15" customFormat="1" ht="19.5">
      <c r="B23" s="88"/>
      <c r="C23" s="91"/>
      <c r="D23" s="441"/>
      <c r="E23" s="447">
        <v>212</v>
      </c>
      <c r="F23" s="13" t="s">
        <v>20</v>
      </c>
      <c r="G23" s="48"/>
      <c r="H23" s="48"/>
      <c r="I23" s="92">
        <f>'TRAFO-TIBA'!AA41</f>
        <v>830.13</v>
      </c>
      <c r="J23" s="90"/>
      <c r="K23" s="87"/>
      <c r="L23" s="87"/>
      <c r="M23" s="87"/>
      <c r="N23" s="87"/>
      <c r="O23" s="87"/>
      <c r="P23" s="87"/>
      <c r="Q23" s="87"/>
      <c r="R23" s="87"/>
      <c r="S23" s="87"/>
    </row>
    <row r="24" spans="2:19" s="15" customFormat="1" ht="19.5">
      <c r="B24" s="88"/>
      <c r="C24" s="91"/>
      <c r="D24" s="441"/>
      <c r="E24" s="447">
        <v>213</v>
      </c>
      <c r="F24" s="13" t="s">
        <v>78</v>
      </c>
      <c r="G24" s="48"/>
      <c r="H24" s="48"/>
      <c r="I24" s="92">
        <f>'TRAFO-ENECOR'!AA41</f>
        <v>247.8</v>
      </c>
      <c r="J24" s="90"/>
      <c r="K24" s="87"/>
      <c r="L24" s="87"/>
      <c r="M24" s="87"/>
      <c r="N24" s="87"/>
      <c r="O24" s="87"/>
      <c r="P24" s="87"/>
      <c r="Q24" s="87"/>
      <c r="R24" s="87"/>
      <c r="S24" s="87"/>
    </row>
    <row r="25" spans="2:19" s="15" customFormat="1" ht="19.5">
      <c r="B25" s="88"/>
      <c r="C25" s="91"/>
      <c r="D25" s="441">
        <v>22</v>
      </c>
      <c r="E25" s="445" t="s">
        <v>21</v>
      </c>
      <c r="F25" s="48"/>
      <c r="G25" s="48"/>
      <c r="H25" s="48"/>
      <c r="I25" s="92"/>
      <c r="J25" s="90"/>
      <c r="K25" s="87"/>
      <c r="L25" s="87"/>
      <c r="M25" s="87"/>
      <c r="N25" s="87"/>
      <c r="O25" s="87"/>
      <c r="P25" s="87"/>
      <c r="Q25" s="87"/>
      <c r="R25" s="87"/>
      <c r="S25" s="87"/>
    </row>
    <row r="26" spans="2:19" s="15" customFormat="1" ht="19.5">
      <c r="B26" s="88"/>
      <c r="C26" s="91"/>
      <c r="D26" s="441"/>
      <c r="E26" s="447">
        <v>222</v>
      </c>
      <c r="F26" s="13" t="s">
        <v>20</v>
      </c>
      <c r="G26" s="48"/>
      <c r="H26" s="48"/>
      <c r="I26" s="92">
        <f>'SALIDA-TIBA'!T43</f>
        <v>2097.61</v>
      </c>
      <c r="J26" s="90"/>
      <c r="K26" s="87"/>
      <c r="L26" s="87"/>
      <c r="M26" s="87"/>
      <c r="N26" s="87"/>
      <c r="O26" s="87"/>
      <c r="P26" s="87"/>
      <c r="Q26" s="87"/>
      <c r="R26" s="87"/>
      <c r="S26" s="87"/>
    </row>
    <row r="27" spans="2:19" s="15" customFormat="1" ht="19.5">
      <c r="B27" s="88"/>
      <c r="C27" s="91"/>
      <c r="D27" s="441"/>
      <c r="E27" s="447">
        <v>223</v>
      </c>
      <c r="F27" s="13" t="s">
        <v>78</v>
      </c>
      <c r="G27" s="48"/>
      <c r="H27" s="48"/>
      <c r="I27" s="92">
        <f>'SALIDA-ENECOR'!T43</f>
        <v>829.84</v>
      </c>
      <c r="J27" s="90"/>
      <c r="K27" s="87"/>
      <c r="L27" s="87"/>
      <c r="M27" s="87"/>
      <c r="N27" s="87"/>
      <c r="O27" s="87"/>
      <c r="P27" s="87"/>
      <c r="Q27" s="87"/>
      <c r="R27" s="87"/>
      <c r="S27" s="87"/>
    </row>
    <row r="28" spans="2:19" ht="12.75" customHeight="1">
      <c r="B28" s="93"/>
      <c r="C28" s="94"/>
      <c r="D28" s="441"/>
      <c r="E28" s="446"/>
      <c r="F28" s="95"/>
      <c r="G28" s="95"/>
      <c r="H28" s="95"/>
      <c r="I28" s="96"/>
      <c r="J28" s="97"/>
      <c r="K28" s="14"/>
      <c r="L28" s="14"/>
      <c r="M28" s="14"/>
      <c r="N28" s="14"/>
      <c r="O28" s="14"/>
      <c r="P28" s="14"/>
      <c r="Q28" s="14"/>
      <c r="R28" s="14"/>
      <c r="S28" s="14"/>
    </row>
    <row r="29" spans="2:19" s="15" customFormat="1" ht="19.5">
      <c r="B29" s="88"/>
      <c r="C29" s="91" t="s">
        <v>129</v>
      </c>
      <c r="D29" s="448" t="s">
        <v>130</v>
      </c>
      <c r="E29" s="444"/>
      <c r="F29" s="48"/>
      <c r="G29" s="48"/>
      <c r="H29" s="48"/>
      <c r="I29" s="92"/>
      <c r="J29" s="90"/>
      <c r="K29" s="87"/>
      <c r="L29" s="87"/>
      <c r="M29" s="87"/>
      <c r="N29" s="87"/>
      <c r="O29" s="87"/>
      <c r="P29" s="87"/>
      <c r="Q29" s="87"/>
      <c r="R29" s="87"/>
      <c r="S29" s="87"/>
    </row>
    <row r="30" spans="2:19" s="15" customFormat="1" ht="19.5">
      <c r="B30" s="88"/>
      <c r="C30" s="91"/>
      <c r="D30" s="441">
        <v>31</v>
      </c>
      <c r="E30" s="445" t="s">
        <v>111</v>
      </c>
      <c r="F30" s="48"/>
      <c r="G30" s="48"/>
      <c r="H30" s="48"/>
      <c r="I30" s="92">
        <f>'RE-0401'!U42</f>
        <v>11597.59</v>
      </c>
      <c r="J30" s="90"/>
      <c r="K30" s="87"/>
      <c r="L30" s="87"/>
      <c r="M30" s="87"/>
      <c r="N30" s="87"/>
      <c r="O30" s="87"/>
      <c r="P30" s="87"/>
      <c r="Q30" s="87"/>
      <c r="R30" s="87"/>
      <c r="S30" s="87"/>
    </row>
    <row r="31" spans="2:19" s="15" customFormat="1" ht="12.75" customHeight="1">
      <c r="B31" s="88"/>
      <c r="C31" s="91"/>
      <c r="D31" s="441"/>
      <c r="E31" s="445"/>
      <c r="F31" s="48"/>
      <c r="G31" s="48"/>
      <c r="H31" s="48"/>
      <c r="I31" s="92"/>
      <c r="J31" s="90"/>
      <c r="K31" s="87"/>
      <c r="L31" s="87"/>
      <c r="M31" s="87"/>
      <c r="N31" s="87"/>
      <c r="O31" s="87"/>
      <c r="P31" s="87"/>
      <c r="Q31" s="87"/>
      <c r="R31" s="87"/>
      <c r="S31" s="87"/>
    </row>
    <row r="32" spans="2:19" s="15" customFormat="1" ht="20.25" thickBot="1">
      <c r="B32" s="88"/>
      <c r="C32" s="89"/>
      <c r="D32" s="441"/>
      <c r="E32" s="444"/>
      <c r="F32" s="48"/>
      <c r="G32" s="48"/>
      <c r="H32" s="48"/>
      <c r="I32" s="87"/>
      <c r="J32" s="90"/>
      <c r="K32" s="87"/>
      <c r="L32" s="87"/>
      <c r="M32" s="87"/>
      <c r="N32" s="87"/>
      <c r="O32" s="87"/>
      <c r="P32" s="87"/>
      <c r="Q32" s="87"/>
      <c r="R32" s="87"/>
      <c r="S32" s="87"/>
    </row>
    <row r="33" spans="2:19" s="15" customFormat="1" ht="20.25" thickBot="1" thickTop="1">
      <c r="B33" s="88"/>
      <c r="C33" s="91"/>
      <c r="D33" s="91"/>
      <c r="F33" s="98" t="s">
        <v>22</v>
      </c>
      <c r="G33" s="99">
        <f>SUM(I16:I31)</f>
        <v>17120.07</v>
      </c>
      <c r="H33" s="204"/>
      <c r="J33" s="90"/>
      <c r="K33" s="87"/>
      <c r="L33" s="87"/>
      <c r="M33" s="87"/>
      <c r="N33" s="87"/>
      <c r="O33" s="87"/>
      <c r="P33" s="87"/>
      <c r="Q33" s="87"/>
      <c r="R33" s="87"/>
      <c r="S33" s="87"/>
    </row>
    <row r="34" spans="2:19" s="15" customFormat="1" ht="9.75" customHeight="1" thickTop="1">
      <c r="B34" s="88"/>
      <c r="C34" s="91"/>
      <c r="D34" s="91"/>
      <c r="F34" s="449"/>
      <c r="G34" s="204"/>
      <c r="H34" s="204"/>
      <c r="J34" s="90"/>
      <c r="K34" s="87"/>
      <c r="L34" s="87"/>
      <c r="M34" s="87"/>
      <c r="N34" s="87"/>
      <c r="O34" s="87"/>
      <c r="P34" s="87"/>
      <c r="Q34" s="87"/>
      <c r="R34" s="87"/>
      <c r="S34" s="87"/>
    </row>
    <row r="35" spans="2:19" s="15" customFormat="1" ht="18.75">
      <c r="B35" s="88"/>
      <c r="C35" s="476" t="s">
        <v>85</v>
      </c>
      <c r="D35" s="91"/>
      <c r="F35" s="449"/>
      <c r="G35" s="204"/>
      <c r="H35" s="204"/>
      <c r="J35" s="90"/>
      <c r="K35" s="87"/>
      <c r="L35" s="87"/>
      <c r="M35" s="87"/>
      <c r="N35" s="87"/>
      <c r="O35" s="87"/>
      <c r="P35" s="87"/>
      <c r="Q35" s="87"/>
      <c r="R35" s="87"/>
      <c r="S35" s="87"/>
    </row>
    <row r="36" spans="2:19" s="75" customFormat="1" ht="10.5" customHeight="1" thickBot="1">
      <c r="B36" s="100"/>
      <c r="C36" s="101"/>
      <c r="D36" s="101"/>
      <c r="E36" s="102"/>
      <c r="F36" s="102"/>
      <c r="G36" s="102"/>
      <c r="H36" s="102"/>
      <c r="I36" s="102"/>
      <c r="J36" s="103"/>
      <c r="K36" s="77"/>
      <c r="L36" s="77"/>
      <c r="M36" s="104"/>
      <c r="N36" s="105"/>
      <c r="O36" s="105"/>
      <c r="P36" s="106"/>
      <c r="Q36" s="107"/>
      <c r="R36" s="77"/>
      <c r="S36" s="77"/>
    </row>
    <row r="37" spans="4:19" ht="13.5" thickTop="1">
      <c r="D37" s="14"/>
      <c r="F37" s="14"/>
      <c r="G37" s="14"/>
      <c r="H37" s="14"/>
      <c r="I37" s="14"/>
      <c r="J37" s="14"/>
      <c r="K37" s="14"/>
      <c r="L37" s="14"/>
      <c r="M37" s="45"/>
      <c r="N37" s="108"/>
      <c r="O37" s="108"/>
      <c r="P37" s="14"/>
      <c r="Q37" s="2"/>
      <c r="R37" s="14"/>
      <c r="S37" s="14"/>
    </row>
    <row r="38" spans="4:19" ht="12.75">
      <c r="D38" s="14"/>
      <c r="F38" s="14"/>
      <c r="G38" s="576"/>
      <c r="H38" s="14"/>
      <c r="I38" s="14"/>
      <c r="J38" s="14"/>
      <c r="K38" s="14"/>
      <c r="L38" s="14"/>
      <c r="M38" s="14"/>
      <c r="N38" s="109"/>
      <c r="O38" s="109"/>
      <c r="P38" s="110"/>
      <c r="Q38" s="2"/>
      <c r="R38" s="14"/>
      <c r="S38" s="14"/>
    </row>
    <row r="39" spans="4:19" ht="12.75"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09"/>
      <c r="O39" s="109"/>
      <c r="P39" s="110"/>
      <c r="Q39" s="2"/>
      <c r="R39" s="14"/>
      <c r="S39" s="14"/>
    </row>
    <row r="40" spans="4:19" ht="12.75">
      <c r="D40" s="14"/>
      <c r="E40" s="14"/>
      <c r="L40" s="14"/>
      <c r="M40" s="14"/>
      <c r="N40" s="14"/>
      <c r="O40" s="14"/>
      <c r="P40" s="14"/>
      <c r="Q40" s="14"/>
      <c r="R40" s="14"/>
      <c r="S40" s="14"/>
    </row>
    <row r="41" spans="4:19" ht="12.75">
      <c r="D41" s="14"/>
      <c r="E41" s="14"/>
      <c r="P41" s="14"/>
      <c r="Q41" s="14"/>
      <c r="R41" s="14"/>
      <c r="S41" s="14"/>
    </row>
    <row r="42" spans="4:19" ht="12.75">
      <c r="D42" s="14"/>
      <c r="E42" s="14"/>
      <c r="P42" s="14"/>
      <c r="Q42" s="14"/>
      <c r="R42" s="14"/>
      <c r="S42" s="14"/>
    </row>
    <row r="43" spans="4:19" ht="12.75">
      <c r="D43" s="14"/>
      <c r="E43" s="14"/>
      <c r="P43" s="14"/>
      <c r="Q43" s="14"/>
      <c r="R43" s="14"/>
      <c r="S43" s="14"/>
    </row>
    <row r="44" spans="4:19" ht="12.75">
      <c r="D44" s="14"/>
      <c r="E44" s="14"/>
      <c r="P44" s="14"/>
      <c r="Q44" s="14"/>
      <c r="R44" s="14"/>
      <c r="S44" s="14"/>
    </row>
    <row r="45" spans="4:19" ht="12.75">
      <c r="D45" s="14"/>
      <c r="E45" s="14"/>
      <c r="P45" s="14"/>
      <c r="Q45" s="14"/>
      <c r="R45" s="14"/>
      <c r="S45" s="14"/>
    </row>
    <row r="46" spans="16:19" ht="12.75">
      <c r="P46" s="14"/>
      <c r="Q46" s="14"/>
      <c r="R46" s="14"/>
      <c r="S46" s="14"/>
    </row>
    <row r="47" spans="16:19" ht="12.75">
      <c r="P47" s="14"/>
      <c r="Q47" s="14"/>
      <c r="R47" s="14"/>
      <c r="S47" s="14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D44"/>
  <sheetViews>
    <sheetView zoomScale="75" zoomScaleNormal="75" workbookViewId="0" topLeftCell="A10">
      <selection activeCell="K37" sqref="K37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45.7109375" style="0" customWidth="1"/>
    <col min="5" max="6" width="9.7109375" style="0" customWidth="1"/>
    <col min="7" max="7" width="3.8515625" style="0" customWidth="1"/>
    <col min="8" max="8" width="9.28125" style="0" hidden="1" customWidth="1"/>
    <col min="9" max="9" width="10.8515625" style="0" hidden="1" customWidth="1"/>
    <col min="10" max="11" width="15.7109375" style="0" customWidth="1"/>
    <col min="12" max="14" width="9.7109375" style="0" customWidth="1"/>
    <col min="15" max="15" width="8.7109375" style="0" customWidth="1"/>
    <col min="16" max="16" width="5.421875" style="0" customWidth="1"/>
    <col min="17" max="17" width="6.00390625" style="0" customWidth="1"/>
    <col min="18" max="18" width="15.28125" style="0" hidden="1" customWidth="1"/>
    <col min="19" max="19" width="15.57421875" style="0" hidden="1" customWidth="1"/>
    <col min="20" max="20" width="14.140625" style="0" hidden="1" customWidth="1"/>
    <col min="21" max="21" width="13.57421875" style="0" hidden="1" customWidth="1"/>
    <col min="22" max="22" width="13.00390625" style="0" hidden="1" customWidth="1"/>
    <col min="23" max="23" width="13.57421875" style="0" hidden="1" customWidth="1"/>
    <col min="24" max="24" width="13.140625" style="0" hidden="1" customWidth="1"/>
    <col min="25" max="27" width="14.140625" style="0" hidden="1" customWidth="1"/>
    <col min="28" max="28" width="9.7109375" style="0" customWidth="1"/>
    <col min="29" max="30" width="15.7109375" style="0" customWidth="1"/>
    <col min="31" max="31" width="30.421875" style="0" customWidth="1"/>
    <col min="32" max="32" width="3.140625" style="0" customWidth="1"/>
    <col min="33" max="33" width="3.57421875" style="0" customWidth="1"/>
    <col min="34" max="34" width="24.28125" style="0" customWidth="1"/>
    <col min="35" max="35" width="4.7109375" style="0" customWidth="1"/>
    <col min="36" max="36" width="7.57421875" style="0" customWidth="1"/>
    <col min="37" max="38" width="4.140625" style="0" customWidth="1"/>
    <col min="39" max="39" width="7.140625" style="0" customWidth="1"/>
    <col min="40" max="40" width="5.28125" style="0" customWidth="1"/>
    <col min="41" max="41" width="5.421875" style="0" customWidth="1"/>
    <col min="42" max="42" width="4.7109375" style="0" customWidth="1"/>
    <col min="43" max="43" width="5.28125" style="0" customWidth="1"/>
    <col min="44" max="45" width="13.28125" style="0" customWidth="1"/>
    <col min="46" max="46" width="6.57421875" style="0" customWidth="1"/>
    <col min="47" max="47" width="6.421875" style="0" customWidth="1"/>
    <col min="52" max="52" width="12.7109375" style="0" customWidth="1"/>
    <col min="56" max="56" width="21.00390625" style="0" customWidth="1"/>
  </cols>
  <sheetData>
    <row r="1" spans="1:30" s="61" customFormat="1" ht="26.25">
      <c r="A1" s="111"/>
      <c r="AD1" s="455"/>
    </row>
    <row r="2" spans="1:30" s="61" customFormat="1" ht="26.25">
      <c r="A2" s="111"/>
      <c r="B2" s="62" t="str">
        <f>+'[1]tot-0401'!B2</f>
        <v>ANEXO I-1 a la Resolución ENRE N°                 .-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</row>
    <row r="3" s="16" customFormat="1" ht="12.75">
      <c r="A3" s="44"/>
    </row>
    <row r="4" spans="1:2" s="68" customFormat="1" ht="11.25">
      <c r="A4" s="66" t="s">
        <v>11</v>
      </c>
      <c r="B4" s="144"/>
    </row>
    <row r="5" spans="1:2" s="68" customFormat="1" ht="11.25">
      <c r="A5" s="66" t="s">
        <v>12</v>
      </c>
      <c r="B5" s="144"/>
    </row>
    <row r="6" s="16" customFormat="1" ht="13.5" thickBot="1"/>
    <row r="7" spans="2:30" s="16" customFormat="1" ht="13.5" thickTop="1">
      <c r="B7" s="112"/>
      <c r="C7" s="113"/>
      <c r="D7" s="113"/>
      <c r="E7" s="114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5"/>
    </row>
    <row r="8" spans="2:30" s="10" customFormat="1" ht="20.25">
      <c r="B8" s="126"/>
      <c r="C8" s="11"/>
      <c r="D8" s="7" t="s">
        <v>23</v>
      </c>
      <c r="E8" s="11"/>
      <c r="F8" s="11"/>
      <c r="G8" s="11"/>
      <c r="H8" s="11"/>
      <c r="N8" s="11"/>
      <c r="O8" s="11"/>
      <c r="P8" s="127"/>
      <c r="Q8" s="127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28"/>
    </row>
    <row r="9" spans="2:30" s="16" customFormat="1" ht="12.75">
      <c r="B9" s="9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16"/>
    </row>
    <row r="10" spans="2:30" s="10" customFormat="1" ht="20.25">
      <c r="B10" s="126"/>
      <c r="C10" s="11"/>
      <c r="D10" s="127" t="s">
        <v>112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28"/>
    </row>
    <row r="11" spans="2:30" s="16" customFormat="1" ht="12.75">
      <c r="B11" s="9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16"/>
    </row>
    <row r="12" spans="2:30" s="10" customFormat="1" ht="20.25">
      <c r="B12" s="126"/>
      <c r="C12" s="11"/>
      <c r="D12" s="127" t="s">
        <v>113</v>
      </c>
      <c r="E12" s="11"/>
      <c r="F12" s="11"/>
      <c r="G12" s="11"/>
      <c r="I12" s="11"/>
      <c r="J12" s="11"/>
      <c r="K12" s="11"/>
      <c r="L12" s="11"/>
      <c r="M12" s="11"/>
      <c r="N12" s="11"/>
      <c r="O12" s="11"/>
      <c r="P12" s="127"/>
      <c r="Q12" s="127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28"/>
    </row>
    <row r="13" spans="2:30" s="16" customFormat="1" ht="12.75">
      <c r="B13" s="93"/>
      <c r="C13" s="14"/>
      <c r="D13" s="14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16"/>
    </row>
    <row r="14" spans="2:30" s="15" customFormat="1" ht="19.5">
      <c r="B14" s="81" t="str">
        <f>+'[1]tot-0401'!B14</f>
        <v>Desde el 01 al 31 de enero de 2004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129"/>
      <c r="O14" s="129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130"/>
    </row>
    <row r="15" spans="2:30" s="16" customFormat="1" ht="16.5" customHeight="1" thickBot="1">
      <c r="B15" s="93"/>
      <c r="C15" s="14"/>
      <c r="D15" s="14"/>
      <c r="E15" s="2"/>
      <c r="F15" s="2"/>
      <c r="G15" s="14"/>
      <c r="H15" s="14"/>
      <c r="I15" s="14"/>
      <c r="J15" s="125"/>
      <c r="K15" s="14"/>
      <c r="L15" s="14"/>
      <c r="M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16"/>
    </row>
    <row r="16" spans="2:30" s="16" customFormat="1" ht="16.5" customHeight="1" thickBot="1" thickTop="1">
      <c r="B16" s="93"/>
      <c r="C16" s="14"/>
      <c r="D16" s="131" t="s">
        <v>114</v>
      </c>
      <c r="E16" s="577">
        <v>56.353</v>
      </c>
      <c r="F16" s="206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16"/>
    </row>
    <row r="17" spans="2:30" s="16" customFormat="1" ht="16.5" customHeight="1" thickBot="1" thickTop="1">
      <c r="B17" s="93"/>
      <c r="C17" s="14"/>
      <c r="D17" s="131" t="s">
        <v>115</v>
      </c>
      <c r="E17" s="577">
        <v>46.961</v>
      </c>
      <c r="F17" s="206"/>
      <c r="G17" s="14"/>
      <c r="H17" s="14"/>
      <c r="I17" s="14"/>
      <c r="J17" s="457"/>
      <c r="K17" s="458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18"/>
      <c r="W17" s="118"/>
      <c r="X17" s="118"/>
      <c r="Y17" s="118"/>
      <c r="Z17" s="118"/>
      <c r="AA17" s="118"/>
      <c r="AB17" s="118"/>
      <c r="AD17" s="116"/>
    </row>
    <row r="18" spans="2:30" s="16" customFormat="1" ht="16.5" customHeight="1" thickBot="1" thickTop="1">
      <c r="B18" s="93"/>
      <c r="C18" s="14"/>
      <c r="D18" s="14"/>
      <c r="E18" s="1"/>
      <c r="F18" s="14"/>
      <c r="G18" s="14"/>
      <c r="H18" s="14"/>
      <c r="I18" s="14"/>
      <c r="J18" s="14"/>
      <c r="K18" s="14"/>
      <c r="L18" s="14"/>
      <c r="M18" s="14"/>
      <c r="N18" s="119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16"/>
    </row>
    <row r="19" spans="2:30" s="16" customFormat="1" ht="33.75" customHeight="1" thickBot="1" thickTop="1">
      <c r="B19" s="93"/>
      <c r="C19" s="132" t="s">
        <v>24</v>
      </c>
      <c r="D19" s="135" t="s">
        <v>14</v>
      </c>
      <c r="E19" s="578" t="s">
        <v>25</v>
      </c>
      <c r="F19" s="141" t="s">
        <v>26</v>
      </c>
      <c r="G19" s="134" t="s">
        <v>27</v>
      </c>
      <c r="H19" s="579" t="s">
        <v>28</v>
      </c>
      <c r="I19" s="580" t="s">
        <v>29</v>
      </c>
      <c r="J19" s="135" t="s">
        <v>30</v>
      </c>
      <c r="K19" s="136" t="s">
        <v>31</v>
      </c>
      <c r="L19" s="140" t="s">
        <v>32</v>
      </c>
      <c r="M19" s="141" t="s">
        <v>33</v>
      </c>
      <c r="N19" s="140" t="s">
        <v>34</v>
      </c>
      <c r="O19" s="141" t="s">
        <v>35</v>
      </c>
      <c r="P19" s="136" t="s">
        <v>36</v>
      </c>
      <c r="Q19" s="135" t="s">
        <v>37</v>
      </c>
      <c r="R19" s="581" t="s">
        <v>38</v>
      </c>
      <c r="S19" s="582" t="s">
        <v>39</v>
      </c>
      <c r="T19" s="267" t="s">
        <v>116</v>
      </c>
      <c r="U19" s="268"/>
      <c r="V19" s="269"/>
      <c r="W19" s="583" t="s">
        <v>117</v>
      </c>
      <c r="X19" s="584"/>
      <c r="Y19" s="585"/>
      <c r="Z19" s="293" t="s">
        <v>40</v>
      </c>
      <c r="AA19" s="294" t="s">
        <v>41</v>
      </c>
      <c r="AB19" s="142" t="s">
        <v>42</v>
      </c>
      <c r="AC19" s="142" t="s">
        <v>43</v>
      </c>
      <c r="AD19" s="120"/>
    </row>
    <row r="20" spans="2:30" s="16" customFormat="1" ht="16.5" customHeight="1" hidden="1" thickTop="1">
      <c r="B20" s="93"/>
      <c r="C20" s="290"/>
      <c r="D20" s="299"/>
      <c r="E20" s="299"/>
      <c r="F20" s="290"/>
      <c r="G20" s="290"/>
      <c r="H20" s="586"/>
      <c r="I20" s="587"/>
      <c r="J20" s="290"/>
      <c r="K20" s="290"/>
      <c r="L20" s="290"/>
      <c r="M20" s="290"/>
      <c r="N20" s="290"/>
      <c r="O20" s="290"/>
      <c r="P20" s="290"/>
      <c r="Q20" s="290"/>
      <c r="R20" s="588"/>
      <c r="S20" s="589"/>
      <c r="T20" s="590"/>
      <c r="U20" s="591"/>
      <c r="V20" s="592"/>
      <c r="W20" s="593"/>
      <c r="X20" s="594"/>
      <c r="Y20" s="595"/>
      <c r="Z20" s="291"/>
      <c r="AA20" s="295"/>
      <c r="AB20" s="290"/>
      <c r="AC20" s="596"/>
      <c r="AD20" s="116"/>
    </row>
    <row r="21" spans="2:30" s="16" customFormat="1" ht="16.5" customHeight="1" thickTop="1">
      <c r="B21" s="93"/>
      <c r="C21" s="17"/>
      <c r="D21" s="17"/>
      <c r="E21" s="20"/>
      <c r="F21" s="17"/>
      <c r="G21" s="17"/>
      <c r="H21" s="597"/>
      <c r="I21" s="598"/>
      <c r="J21" s="19"/>
      <c r="K21" s="14"/>
      <c r="L21" s="17"/>
      <c r="M21" s="17"/>
      <c r="N21" s="18"/>
      <c r="O21" s="17"/>
      <c r="P21" s="17"/>
      <c r="Q21" s="17"/>
      <c r="R21" s="599"/>
      <c r="S21" s="600"/>
      <c r="T21" s="601"/>
      <c r="U21" s="602"/>
      <c r="V21" s="603"/>
      <c r="W21" s="604"/>
      <c r="X21" s="605"/>
      <c r="Y21" s="606"/>
      <c r="Z21" s="292"/>
      <c r="AA21" s="296"/>
      <c r="AB21" s="17"/>
      <c r="AC21" s="143"/>
      <c r="AD21" s="116"/>
    </row>
    <row r="22" spans="2:30" s="16" customFormat="1" ht="16.5" customHeight="1">
      <c r="B22" s="93"/>
      <c r="C22" s="477" t="s">
        <v>118</v>
      </c>
      <c r="D22" s="477" t="s">
        <v>119</v>
      </c>
      <c r="E22" s="624">
        <v>500</v>
      </c>
      <c r="F22" s="480">
        <v>301.9</v>
      </c>
      <c r="G22" s="624" t="s">
        <v>120</v>
      </c>
      <c r="H22" s="608">
        <f aca="true" t="shared" si="0" ref="H22:H38">IF(G22="A",200,IF(G22="B",60,20))</f>
        <v>200</v>
      </c>
      <c r="I22" s="609">
        <f>IF(E22=500,IF(F22&lt;100,100*$E$16/100,F22*$E$16/100),IF(F22&lt;100,100*$E$17/100,F22*$E$17/100))</f>
        <v>170.12970699999997</v>
      </c>
      <c r="J22" s="484">
        <v>38015.25902777778</v>
      </c>
      <c r="K22" s="485">
        <v>38015.44236111111</v>
      </c>
      <c r="L22" s="23">
        <f>IF(D22="","",(K22-J22)*24)</f>
        <v>4.400000000023283</v>
      </c>
      <c r="M22" s="24">
        <f>IF(D22="","",ROUND((K22-J22)*24*60,0))</f>
        <v>264</v>
      </c>
      <c r="N22" s="488" t="s">
        <v>87</v>
      </c>
      <c r="O22" s="489" t="str">
        <f>IF(D22="","","--")</f>
        <v>--</v>
      </c>
      <c r="P22" s="490" t="str">
        <f>IF(D22="","","NO")</f>
        <v>NO</v>
      </c>
      <c r="Q22" s="490" t="str">
        <f>IF(D22="","",IF(OR(N22="P",N22="RP"),"--","NO"))</f>
        <v>--</v>
      </c>
      <c r="R22" s="612">
        <f>IF(N22="P",I22*H22*ROUND(M22/60,2)*0.01,"--")</f>
        <v>1497.1414215999998</v>
      </c>
      <c r="S22" s="613" t="str">
        <f>IF(N22="RP",I22*H22*ROUND(M22/60,2)*0.01*O22/100,"--")</f>
        <v>--</v>
      </c>
      <c r="T22" s="491" t="str">
        <f>IF(AND(N22="F",Q22="NO"),I22*H22*IF(P22="SI",1.2,1),"--")</f>
        <v>--</v>
      </c>
      <c r="U22" s="492" t="str">
        <f>IF(AND(N22="F",M22&gt;=10),I22*H22*IF(P22="SI",1.2,1)*IF(M22&lt;=300,ROUND(M22/60,2),5),"--")</f>
        <v>--</v>
      </c>
      <c r="V22" s="493" t="str">
        <f>IF(AND(N22="F",M22&gt;300),(ROUND(M22/60,2)-5)*I22*H22*0.1*IF(P22="SI",1.2,1),"--")</f>
        <v>--</v>
      </c>
      <c r="W22" s="614" t="str">
        <f>IF(AND(N22="R",Q22="NO"),I22*H22*O22/100*IF(P22="SI",1.2,1),"--")</f>
        <v>--</v>
      </c>
      <c r="X22" s="615" t="str">
        <f>IF(AND(N22="R",M22&gt;=10),I22*H22*O22/100*IF(P22="SI",1.2,1)*IF(M22&lt;=300,ROUND(M22/60,2),5),"--")</f>
        <v>--</v>
      </c>
      <c r="Y22" s="616" t="str">
        <f>IF(AND(N22="R",M22&gt;300),(ROUND(M22/60,2)-5)*I22*H22*0.1*O22/100*IF(P22="SI",1.2,1),"--")</f>
        <v>--</v>
      </c>
      <c r="Z22" s="494" t="str">
        <f>IF(N22="RF",ROUND(M22/60,2)*I22*H22*0.1*IF(P22="SI",1.2,1),"--")</f>
        <v>--</v>
      </c>
      <c r="AA22" s="495" t="str">
        <f>IF(N22="RR",ROUND(M22/60,2)*I22*H22*0.1*O22/100*IF(P22="SI",1.2,1),"--")</f>
        <v>--</v>
      </c>
      <c r="AB22" s="617" t="str">
        <f>IF(D22="","","SI")</f>
        <v>SI</v>
      </c>
      <c r="AC22" s="25">
        <f>IF(D22="","",SUM(R22:AA22)*IF(AB22="SI",1,2))</f>
        <v>1497.1414215999998</v>
      </c>
      <c r="AD22" s="618"/>
    </row>
    <row r="23" spans="2:30" s="16" customFormat="1" ht="16.5" customHeight="1">
      <c r="B23" s="93"/>
      <c r="C23" s="477"/>
      <c r="D23" s="478"/>
      <c r="E23" s="479"/>
      <c r="F23" s="607"/>
      <c r="G23" s="479"/>
      <c r="H23" s="608"/>
      <c r="I23" s="609"/>
      <c r="J23" s="610"/>
      <c r="K23" s="611"/>
      <c r="L23" s="23"/>
      <c r="M23" s="24"/>
      <c r="N23" s="488"/>
      <c r="O23" s="489"/>
      <c r="P23" s="490"/>
      <c r="Q23" s="490"/>
      <c r="R23" s="612"/>
      <c r="S23" s="613"/>
      <c r="T23" s="491"/>
      <c r="U23" s="492"/>
      <c r="V23" s="493"/>
      <c r="W23" s="614"/>
      <c r="X23" s="615"/>
      <c r="Y23" s="616"/>
      <c r="Z23" s="494"/>
      <c r="AA23" s="495"/>
      <c r="AB23" s="617"/>
      <c r="AC23" s="25"/>
      <c r="AD23" s="618"/>
    </row>
    <row r="24" spans="2:30" s="16" customFormat="1" ht="16.5" customHeight="1">
      <c r="B24" s="93"/>
      <c r="C24" s="477"/>
      <c r="D24" s="619"/>
      <c r="E24" s="620"/>
      <c r="F24" s="621"/>
      <c r="G24" s="620"/>
      <c r="H24" s="608"/>
      <c r="I24" s="609"/>
      <c r="J24" s="622"/>
      <c r="K24" s="623"/>
      <c r="L24" s="23"/>
      <c r="M24" s="24"/>
      <c r="N24" s="488"/>
      <c r="O24" s="489"/>
      <c r="P24" s="490"/>
      <c r="Q24" s="490"/>
      <c r="R24" s="612"/>
      <c r="S24" s="613"/>
      <c r="T24" s="491"/>
      <c r="U24" s="492"/>
      <c r="V24" s="493"/>
      <c r="W24" s="614"/>
      <c r="X24" s="615"/>
      <c r="Y24" s="616"/>
      <c r="Z24" s="494"/>
      <c r="AA24" s="495"/>
      <c r="AB24" s="617"/>
      <c r="AC24" s="25"/>
      <c r="AD24" s="618"/>
    </row>
    <row r="25" spans="2:30" s="16" customFormat="1" ht="16.5" customHeight="1">
      <c r="B25" s="93"/>
      <c r="C25" s="477"/>
      <c r="D25" s="619"/>
      <c r="E25" s="620"/>
      <c r="F25" s="621"/>
      <c r="G25" s="620"/>
      <c r="H25" s="608"/>
      <c r="I25" s="609"/>
      <c r="J25" s="622"/>
      <c r="K25" s="623"/>
      <c r="L25" s="23"/>
      <c r="M25" s="24"/>
      <c r="N25" s="488"/>
      <c r="O25" s="489"/>
      <c r="P25" s="490"/>
      <c r="Q25" s="490"/>
      <c r="R25" s="612"/>
      <c r="S25" s="613"/>
      <c r="T25" s="491"/>
      <c r="U25" s="492"/>
      <c r="V25" s="493"/>
      <c r="W25" s="614"/>
      <c r="X25" s="615"/>
      <c r="Y25" s="616"/>
      <c r="Z25" s="494"/>
      <c r="AA25" s="495"/>
      <c r="AB25" s="617"/>
      <c r="AC25" s="25"/>
      <c r="AD25" s="618"/>
    </row>
    <row r="26" spans="2:30" s="16" customFormat="1" ht="16.5" customHeight="1">
      <c r="B26" s="93"/>
      <c r="C26" s="477"/>
      <c r="D26" s="477"/>
      <c r="E26" s="624"/>
      <c r="F26" s="480"/>
      <c r="G26" s="624"/>
      <c r="H26" s="608"/>
      <c r="I26" s="609"/>
      <c r="J26" s="484"/>
      <c r="K26" s="485"/>
      <c r="L26" s="23"/>
      <c r="M26" s="24"/>
      <c r="N26" s="488"/>
      <c r="O26" s="489"/>
      <c r="P26" s="490"/>
      <c r="Q26" s="490"/>
      <c r="R26" s="612"/>
      <c r="S26" s="613"/>
      <c r="T26" s="491"/>
      <c r="U26" s="492"/>
      <c r="V26" s="493"/>
      <c r="W26" s="614"/>
      <c r="X26" s="615"/>
      <c r="Y26" s="616"/>
      <c r="Z26" s="494"/>
      <c r="AA26" s="495"/>
      <c r="AB26" s="617"/>
      <c r="AC26" s="25"/>
      <c r="AD26" s="618"/>
    </row>
    <row r="27" spans="2:30" s="16" customFormat="1" ht="16.5" customHeight="1">
      <c r="B27" s="93"/>
      <c r="C27" s="477"/>
      <c r="D27" s="477"/>
      <c r="E27" s="624"/>
      <c r="F27" s="480"/>
      <c r="G27" s="624"/>
      <c r="H27" s="608"/>
      <c r="I27" s="609"/>
      <c r="J27" s="484"/>
      <c r="K27" s="485"/>
      <c r="L27" s="23"/>
      <c r="M27" s="24"/>
      <c r="N27" s="488"/>
      <c r="O27" s="489"/>
      <c r="P27" s="490"/>
      <c r="Q27" s="490"/>
      <c r="R27" s="612"/>
      <c r="S27" s="613"/>
      <c r="T27" s="491"/>
      <c r="U27" s="492"/>
      <c r="V27" s="493"/>
      <c r="W27" s="614"/>
      <c r="X27" s="615"/>
      <c r="Y27" s="616"/>
      <c r="Z27" s="494"/>
      <c r="AA27" s="495"/>
      <c r="AB27" s="617"/>
      <c r="AC27" s="25"/>
      <c r="AD27" s="618"/>
    </row>
    <row r="28" spans="2:30" s="16" customFormat="1" ht="16.5" customHeight="1">
      <c r="B28" s="93"/>
      <c r="C28" s="477"/>
      <c r="D28" s="477"/>
      <c r="E28" s="624"/>
      <c r="F28" s="480"/>
      <c r="G28" s="624"/>
      <c r="H28" s="608"/>
      <c r="I28" s="609"/>
      <c r="J28" s="484"/>
      <c r="K28" s="485"/>
      <c r="L28" s="23"/>
      <c r="M28" s="24"/>
      <c r="N28" s="488"/>
      <c r="O28" s="489"/>
      <c r="P28" s="490"/>
      <c r="Q28" s="490"/>
      <c r="R28" s="612"/>
      <c r="S28" s="613"/>
      <c r="T28" s="491"/>
      <c r="U28" s="492"/>
      <c r="V28" s="493"/>
      <c r="W28" s="614"/>
      <c r="X28" s="615"/>
      <c r="Y28" s="616"/>
      <c r="Z28" s="494"/>
      <c r="AA28" s="495"/>
      <c r="AB28" s="617"/>
      <c r="AC28" s="25"/>
      <c r="AD28" s="618"/>
    </row>
    <row r="29" spans="2:30" s="16" customFormat="1" ht="16.5" customHeight="1">
      <c r="B29" s="93"/>
      <c r="C29" s="477"/>
      <c r="D29" s="477"/>
      <c r="E29" s="624"/>
      <c r="F29" s="480"/>
      <c r="G29" s="624"/>
      <c r="H29" s="608">
        <f t="shared" si="0"/>
        <v>20</v>
      </c>
      <c r="I29" s="609">
        <f aca="true" t="shared" si="1" ref="I29:I38">IF(E29=500,IF(F29&lt;100,100*$E$16/100,F29*$E$16/100),IF(F29&lt;100,100*$E$17/100,F29*$E$17/100))</f>
        <v>46.96099999999999</v>
      </c>
      <c r="J29" s="484"/>
      <c r="K29" s="485"/>
      <c r="L29" s="23">
        <f aca="true" t="shared" si="2" ref="L29:L38">IF(D29="","",(K29-J29)*24)</f>
      </c>
      <c r="M29" s="24">
        <f aca="true" t="shared" si="3" ref="M29:M38">IF(D29="","",ROUND((K29-J29)*24*60,0))</f>
      </c>
      <c r="N29" s="488"/>
      <c r="O29" s="489">
        <f aca="true" t="shared" si="4" ref="O29:O38">IF(D29="","","--")</f>
      </c>
      <c r="P29" s="490">
        <f aca="true" t="shared" si="5" ref="P29:P38">IF(D29="","","NO")</f>
      </c>
      <c r="Q29" s="490">
        <f aca="true" t="shared" si="6" ref="Q29:Q38">IF(D29="","",IF(OR(N29="P",N29="RP"),"--","NO"))</f>
      </c>
      <c r="R29" s="612" t="str">
        <f aca="true" t="shared" si="7" ref="R29:R38">IF(N29="P",I29*H29*ROUND(M29/60,2)*0.01,"--")</f>
        <v>--</v>
      </c>
      <c r="S29" s="613" t="str">
        <f aca="true" t="shared" si="8" ref="S29:S38">IF(N29="RP",I29*H29*ROUND(M29/60,2)*0.01*O29/100,"--")</f>
        <v>--</v>
      </c>
      <c r="T29" s="491" t="str">
        <f aca="true" t="shared" si="9" ref="T29:T38">IF(AND(N29="F",Q29="NO"),I29*H29*IF(P29="SI",1.2,1),"--")</f>
        <v>--</v>
      </c>
      <c r="U29" s="492" t="str">
        <f aca="true" t="shared" si="10" ref="U29:U38">IF(AND(N29="F",M29&gt;=10),I29*H29*IF(P29="SI",1.2,1)*IF(M29&lt;=300,ROUND(M29/60,2),5),"--")</f>
        <v>--</v>
      </c>
      <c r="V29" s="493" t="str">
        <f aca="true" t="shared" si="11" ref="V29:V38">IF(AND(N29="F",M29&gt;300),(ROUND(M29/60,2)-5)*I29*H29*0.1*IF(P29="SI",1.2,1),"--")</f>
        <v>--</v>
      </c>
      <c r="W29" s="614" t="str">
        <f aca="true" t="shared" si="12" ref="W29:W38">IF(AND(N29="R",Q29="NO"),I29*H29*O29/100*IF(P29="SI",1.2,1),"--")</f>
        <v>--</v>
      </c>
      <c r="X29" s="615" t="str">
        <f aca="true" t="shared" si="13" ref="X29:X38">IF(AND(N29="R",M29&gt;=10),I29*H29*O29/100*IF(P29="SI",1.2,1)*IF(M29&lt;=300,ROUND(M29/60,2),5),"--")</f>
        <v>--</v>
      </c>
      <c r="Y29" s="616" t="str">
        <f aca="true" t="shared" si="14" ref="Y29:Y38">IF(AND(N29="R",M29&gt;300),(ROUND(M29/60,2)-5)*I29*H29*0.1*O29/100*IF(P29="SI",1.2,1),"--")</f>
        <v>--</v>
      </c>
      <c r="Z29" s="494" t="str">
        <f aca="true" t="shared" si="15" ref="Z29:Z38">IF(N29="RF",ROUND(M29/60,2)*I29*H29*0.1*IF(P29="SI",1.2,1),"--")</f>
        <v>--</v>
      </c>
      <c r="AA29" s="495" t="str">
        <f aca="true" t="shared" si="16" ref="AA29:AA38">IF(N29="RR",ROUND(M29/60,2)*I29*H29*0.1*O29/100*IF(P29="SI",1.2,1),"--")</f>
        <v>--</v>
      </c>
      <c r="AB29" s="617">
        <f aca="true" t="shared" si="17" ref="AB29:AB38">IF(D29="","","SI")</f>
      </c>
      <c r="AC29" s="25">
        <f aca="true" t="shared" si="18" ref="AC29:AC38">IF(D29="","",SUM(R29:AA29)*IF(AB29="SI",1,2))</f>
      </c>
      <c r="AD29" s="618"/>
    </row>
    <row r="30" spans="2:30" s="16" customFormat="1" ht="16.5" customHeight="1">
      <c r="B30" s="93"/>
      <c r="C30" s="477"/>
      <c r="D30" s="477"/>
      <c r="E30" s="624"/>
      <c r="F30" s="480"/>
      <c r="G30" s="624"/>
      <c r="H30" s="608">
        <f t="shared" si="0"/>
        <v>20</v>
      </c>
      <c r="I30" s="609">
        <f t="shared" si="1"/>
        <v>46.96099999999999</v>
      </c>
      <c r="J30" s="484"/>
      <c r="K30" s="486"/>
      <c r="L30" s="23">
        <f t="shared" si="2"/>
      </c>
      <c r="M30" s="24">
        <f t="shared" si="3"/>
      </c>
      <c r="N30" s="488"/>
      <c r="O30" s="489">
        <f t="shared" si="4"/>
      </c>
      <c r="P30" s="490">
        <f t="shared" si="5"/>
      </c>
      <c r="Q30" s="490">
        <f t="shared" si="6"/>
      </c>
      <c r="R30" s="612" t="str">
        <f t="shared" si="7"/>
        <v>--</v>
      </c>
      <c r="S30" s="613" t="str">
        <f t="shared" si="8"/>
        <v>--</v>
      </c>
      <c r="T30" s="491" t="str">
        <f t="shared" si="9"/>
        <v>--</v>
      </c>
      <c r="U30" s="492" t="str">
        <f t="shared" si="10"/>
        <v>--</v>
      </c>
      <c r="V30" s="493" t="str">
        <f t="shared" si="11"/>
        <v>--</v>
      </c>
      <c r="W30" s="614" t="str">
        <f t="shared" si="12"/>
        <v>--</v>
      </c>
      <c r="X30" s="615" t="str">
        <f t="shared" si="13"/>
        <v>--</v>
      </c>
      <c r="Y30" s="616" t="str">
        <f t="shared" si="14"/>
        <v>--</v>
      </c>
      <c r="Z30" s="494" t="str">
        <f t="shared" si="15"/>
        <v>--</v>
      </c>
      <c r="AA30" s="495" t="str">
        <f t="shared" si="16"/>
        <v>--</v>
      </c>
      <c r="AB30" s="617">
        <f t="shared" si="17"/>
      </c>
      <c r="AC30" s="25">
        <f t="shared" si="18"/>
      </c>
      <c r="AD30" s="618"/>
    </row>
    <row r="31" spans="2:30" s="16" customFormat="1" ht="16.5" customHeight="1">
      <c r="B31" s="93"/>
      <c r="C31" s="477"/>
      <c r="D31" s="477"/>
      <c r="E31" s="624"/>
      <c r="F31" s="480"/>
      <c r="G31" s="624"/>
      <c r="H31" s="608">
        <f t="shared" si="0"/>
        <v>20</v>
      </c>
      <c r="I31" s="609">
        <f t="shared" si="1"/>
        <v>46.96099999999999</v>
      </c>
      <c r="J31" s="484"/>
      <c r="K31" s="486"/>
      <c r="L31" s="23">
        <f t="shared" si="2"/>
      </c>
      <c r="M31" s="24">
        <f t="shared" si="3"/>
      </c>
      <c r="N31" s="488"/>
      <c r="O31" s="489">
        <f t="shared" si="4"/>
      </c>
      <c r="P31" s="490">
        <f t="shared" si="5"/>
      </c>
      <c r="Q31" s="490">
        <f t="shared" si="6"/>
      </c>
      <c r="R31" s="612" t="str">
        <f t="shared" si="7"/>
        <v>--</v>
      </c>
      <c r="S31" s="613" t="str">
        <f t="shared" si="8"/>
        <v>--</v>
      </c>
      <c r="T31" s="491" t="str">
        <f t="shared" si="9"/>
        <v>--</v>
      </c>
      <c r="U31" s="492" t="str">
        <f t="shared" si="10"/>
        <v>--</v>
      </c>
      <c r="V31" s="493" t="str">
        <f t="shared" si="11"/>
        <v>--</v>
      </c>
      <c r="W31" s="614" t="str">
        <f t="shared" si="12"/>
        <v>--</v>
      </c>
      <c r="X31" s="615" t="str">
        <f t="shared" si="13"/>
        <v>--</v>
      </c>
      <c r="Y31" s="616" t="str">
        <f t="shared" si="14"/>
        <v>--</v>
      </c>
      <c r="Z31" s="494" t="str">
        <f t="shared" si="15"/>
        <v>--</v>
      </c>
      <c r="AA31" s="495" t="str">
        <f t="shared" si="16"/>
        <v>--</v>
      </c>
      <c r="AB31" s="617">
        <f t="shared" si="17"/>
      </c>
      <c r="AC31" s="25">
        <f t="shared" si="18"/>
      </c>
      <c r="AD31" s="618"/>
    </row>
    <row r="32" spans="2:30" s="16" customFormat="1" ht="16.5" customHeight="1">
      <c r="B32" s="93"/>
      <c r="C32" s="477"/>
      <c r="D32" s="477"/>
      <c r="E32" s="624"/>
      <c r="F32" s="480"/>
      <c r="G32" s="624"/>
      <c r="H32" s="608">
        <f t="shared" si="0"/>
        <v>20</v>
      </c>
      <c r="I32" s="609">
        <f t="shared" si="1"/>
        <v>46.96099999999999</v>
      </c>
      <c r="J32" s="484"/>
      <c r="K32" s="486"/>
      <c r="L32" s="23">
        <f t="shared" si="2"/>
      </c>
      <c r="M32" s="24">
        <f t="shared" si="3"/>
      </c>
      <c r="N32" s="488"/>
      <c r="O32" s="489">
        <f t="shared" si="4"/>
      </c>
      <c r="P32" s="490">
        <f t="shared" si="5"/>
      </c>
      <c r="Q32" s="490">
        <f t="shared" si="6"/>
      </c>
      <c r="R32" s="612" t="str">
        <f t="shared" si="7"/>
        <v>--</v>
      </c>
      <c r="S32" s="613" t="str">
        <f t="shared" si="8"/>
        <v>--</v>
      </c>
      <c r="T32" s="491" t="str">
        <f t="shared" si="9"/>
        <v>--</v>
      </c>
      <c r="U32" s="492" t="str">
        <f t="shared" si="10"/>
        <v>--</v>
      </c>
      <c r="V32" s="493" t="str">
        <f t="shared" si="11"/>
        <v>--</v>
      </c>
      <c r="W32" s="614" t="str">
        <f t="shared" si="12"/>
        <v>--</v>
      </c>
      <c r="X32" s="615" t="str">
        <f t="shared" si="13"/>
        <v>--</v>
      </c>
      <c r="Y32" s="616" t="str">
        <f t="shared" si="14"/>
        <v>--</v>
      </c>
      <c r="Z32" s="494" t="str">
        <f t="shared" si="15"/>
        <v>--</v>
      </c>
      <c r="AA32" s="495" t="str">
        <f t="shared" si="16"/>
        <v>--</v>
      </c>
      <c r="AB32" s="617">
        <f t="shared" si="17"/>
      </c>
      <c r="AC32" s="25">
        <f t="shared" si="18"/>
      </c>
      <c r="AD32" s="618"/>
    </row>
    <row r="33" spans="2:30" s="16" customFormat="1" ht="16.5" customHeight="1">
      <c r="B33" s="93"/>
      <c r="C33" s="477"/>
      <c r="D33" s="477"/>
      <c r="E33" s="624"/>
      <c r="F33" s="480"/>
      <c r="G33" s="624"/>
      <c r="H33" s="608">
        <f t="shared" si="0"/>
        <v>20</v>
      </c>
      <c r="I33" s="609">
        <f t="shared" si="1"/>
        <v>46.96099999999999</v>
      </c>
      <c r="J33" s="484"/>
      <c r="K33" s="486"/>
      <c r="L33" s="23">
        <f t="shared" si="2"/>
      </c>
      <c r="M33" s="24">
        <f t="shared" si="3"/>
      </c>
      <c r="N33" s="488"/>
      <c r="O33" s="489">
        <f t="shared" si="4"/>
      </c>
      <c r="P33" s="490">
        <f t="shared" si="5"/>
      </c>
      <c r="Q33" s="490">
        <f t="shared" si="6"/>
      </c>
      <c r="R33" s="612" t="str">
        <f t="shared" si="7"/>
        <v>--</v>
      </c>
      <c r="S33" s="613" t="str">
        <f t="shared" si="8"/>
        <v>--</v>
      </c>
      <c r="T33" s="491" t="str">
        <f t="shared" si="9"/>
        <v>--</v>
      </c>
      <c r="U33" s="492" t="str">
        <f t="shared" si="10"/>
        <v>--</v>
      </c>
      <c r="V33" s="493" t="str">
        <f t="shared" si="11"/>
        <v>--</v>
      </c>
      <c r="W33" s="614" t="str">
        <f t="shared" si="12"/>
        <v>--</v>
      </c>
      <c r="X33" s="615" t="str">
        <f t="shared" si="13"/>
        <v>--</v>
      </c>
      <c r="Y33" s="616" t="str">
        <f t="shared" si="14"/>
        <v>--</v>
      </c>
      <c r="Z33" s="494" t="str">
        <f t="shared" si="15"/>
        <v>--</v>
      </c>
      <c r="AA33" s="495" t="str">
        <f t="shared" si="16"/>
        <v>--</v>
      </c>
      <c r="AB33" s="617">
        <f t="shared" si="17"/>
      </c>
      <c r="AC33" s="25">
        <f t="shared" si="18"/>
      </c>
      <c r="AD33" s="618"/>
    </row>
    <row r="34" spans="2:30" s="16" customFormat="1" ht="16.5" customHeight="1">
      <c r="B34" s="93"/>
      <c r="C34" s="477"/>
      <c r="D34" s="477"/>
      <c r="E34" s="624"/>
      <c r="F34" s="480"/>
      <c r="G34" s="624"/>
      <c r="H34" s="608">
        <f t="shared" si="0"/>
        <v>20</v>
      </c>
      <c r="I34" s="609">
        <f t="shared" si="1"/>
        <v>46.96099999999999</v>
      </c>
      <c r="J34" s="484"/>
      <c r="K34" s="486"/>
      <c r="L34" s="23">
        <f t="shared" si="2"/>
      </c>
      <c r="M34" s="24">
        <f t="shared" si="3"/>
      </c>
      <c r="N34" s="488"/>
      <c r="O34" s="489">
        <f t="shared" si="4"/>
      </c>
      <c r="P34" s="490">
        <f t="shared" si="5"/>
      </c>
      <c r="Q34" s="490">
        <f t="shared" si="6"/>
      </c>
      <c r="R34" s="612" t="str">
        <f t="shared" si="7"/>
        <v>--</v>
      </c>
      <c r="S34" s="613" t="str">
        <f t="shared" si="8"/>
        <v>--</v>
      </c>
      <c r="T34" s="491" t="str">
        <f t="shared" si="9"/>
        <v>--</v>
      </c>
      <c r="U34" s="492" t="str">
        <f t="shared" si="10"/>
        <v>--</v>
      </c>
      <c r="V34" s="493" t="str">
        <f t="shared" si="11"/>
        <v>--</v>
      </c>
      <c r="W34" s="614" t="str">
        <f t="shared" si="12"/>
        <v>--</v>
      </c>
      <c r="X34" s="615" t="str">
        <f t="shared" si="13"/>
        <v>--</v>
      </c>
      <c r="Y34" s="616" t="str">
        <f t="shared" si="14"/>
        <v>--</v>
      </c>
      <c r="Z34" s="494" t="str">
        <f t="shared" si="15"/>
        <v>--</v>
      </c>
      <c r="AA34" s="495" t="str">
        <f t="shared" si="16"/>
        <v>--</v>
      </c>
      <c r="AB34" s="617">
        <f t="shared" si="17"/>
      </c>
      <c r="AC34" s="25">
        <f t="shared" si="18"/>
      </c>
      <c r="AD34" s="618"/>
    </row>
    <row r="35" spans="2:30" s="16" customFormat="1" ht="16.5" customHeight="1">
      <c r="B35" s="93"/>
      <c r="C35" s="477"/>
      <c r="D35" s="477"/>
      <c r="E35" s="624"/>
      <c r="F35" s="480"/>
      <c r="G35" s="624"/>
      <c r="H35" s="608">
        <f t="shared" si="0"/>
        <v>20</v>
      </c>
      <c r="I35" s="609">
        <f t="shared" si="1"/>
        <v>46.96099999999999</v>
      </c>
      <c r="J35" s="484"/>
      <c r="K35" s="486"/>
      <c r="L35" s="23">
        <f t="shared" si="2"/>
      </c>
      <c r="M35" s="24">
        <f t="shared" si="3"/>
      </c>
      <c r="N35" s="488"/>
      <c r="O35" s="489">
        <f t="shared" si="4"/>
      </c>
      <c r="P35" s="490">
        <f t="shared" si="5"/>
      </c>
      <c r="Q35" s="490">
        <f t="shared" si="6"/>
      </c>
      <c r="R35" s="612" t="str">
        <f t="shared" si="7"/>
        <v>--</v>
      </c>
      <c r="S35" s="613" t="str">
        <f t="shared" si="8"/>
        <v>--</v>
      </c>
      <c r="T35" s="491" t="str">
        <f t="shared" si="9"/>
        <v>--</v>
      </c>
      <c r="U35" s="492" t="str">
        <f t="shared" si="10"/>
        <v>--</v>
      </c>
      <c r="V35" s="493" t="str">
        <f t="shared" si="11"/>
        <v>--</v>
      </c>
      <c r="W35" s="614" t="str">
        <f t="shared" si="12"/>
        <v>--</v>
      </c>
      <c r="X35" s="615" t="str">
        <f t="shared" si="13"/>
        <v>--</v>
      </c>
      <c r="Y35" s="616" t="str">
        <f t="shared" si="14"/>
        <v>--</v>
      </c>
      <c r="Z35" s="494" t="str">
        <f t="shared" si="15"/>
        <v>--</v>
      </c>
      <c r="AA35" s="495" t="str">
        <f t="shared" si="16"/>
        <v>--</v>
      </c>
      <c r="AB35" s="617">
        <f t="shared" si="17"/>
      </c>
      <c r="AC35" s="25">
        <f t="shared" si="18"/>
      </c>
      <c r="AD35" s="618"/>
    </row>
    <row r="36" spans="2:30" s="16" customFormat="1" ht="16.5" customHeight="1">
      <c r="B36" s="93"/>
      <c r="C36" s="477"/>
      <c r="D36" s="477"/>
      <c r="E36" s="624"/>
      <c r="F36" s="480"/>
      <c r="G36" s="624"/>
      <c r="H36" s="608">
        <f t="shared" si="0"/>
        <v>20</v>
      </c>
      <c r="I36" s="609">
        <f t="shared" si="1"/>
        <v>46.96099999999999</v>
      </c>
      <c r="J36" s="484"/>
      <c r="K36" s="486"/>
      <c r="L36" s="23">
        <f t="shared" si="2"/>
      </c>
      <c r="M36" s="24">
        <f t="shared" si="3"/>
      </c>
      <c r="N36" s="488"/>
      <c r="O36" s="489">
        <f t="shared" si="4"/>
      </c>
      <c r="P36" s="490">
        <f t="shared" si="5"/>
      </c>
      <c r="Q36" s="490">
        <f t="shared" si="6"/>
      </c>
      <c r="R36" s="612" t="str">
        <f t="shared" si="7"/>
        <v>--</v>
      </c>
      <c r="S36" s="613" t="str">
        <f t="shared" si="8"/>
        <v>--</v>
      </c>
      <c r="T36" s="491" t="str">
        <f t="shared" si="9"/>
        <v>--</v>
      </c>
      <c r="U36" s="492" t="str">
        <f t="shared" si="10"/>
        <v>--</v>
      </c>
      <c r="V36" s="493" t="str">
        <f t="shared" si="11"/>
        <v>--</v>
      </c>
      <c r="W36" s="614" t="str">
        <f t="shared" si="12"/>
        <v>--</v>
      </c>
      <c r="X36" s="615" t="str">
        <f t="shared" si="13"/>
        <v>--</v>
      </c>
      <c r="Y36" s="616" t="str">
        <f t="shared" si="14"/>
        <v>--</v>
      </c>
      <c r="Z36" s="494" t="str">
        <f t="shared" si="15"/>
        <v>--</v>
      </c>
      <c r="AA36" s="495" t="str">
        <f t="shared" si="16"/>
        <v>--</v>
      </c>
      <c r="AB36" s="617">
        <f t="shared" si="17"/>
      </c>
      <c r="AC36" s="25">
        <f t="shared" si="18"/>
      </c>
      <c r="AD36" s="618"/>
    </row>
    <row r="37" spans="2:30" s="16" customFormat="1" ht="16.5" customHeight="1">
      <c r="B37" s="93"/>
      <c r="C37" s="477"/>
      <c r="D37" s="477"/>
      <c r="E37" s="624"/>
      <c r="F37" s="480"/>
      <c r="G37" s="624"/>
      <c r="H37" s="608">
        <f t="shared" si="0"/>
        <v>20</v>
      </c>
      <c r="I37" s="609">
        <f t="shared" si="1"/>
        <v>46.96099999999999</v>
      </c>
      <c r="J37" s="484"/>
      <c r="K37" s="486"/>
      <c r="L37" s="23">
        <f t="shared" si="2"/>
      </c>
      <c r="M37" s="24">
        <f t="shared" si="3"/>
      </c>
      <c r="N37" s="488"/>
      <c r="O37" s="489">
        <f t="shared" si="4"/>
      </c>
      <c r="P37" s="490">
        <f t="shared" si="5"/>
      </c>
      <c r="Q37" s="490">
        <f t="shared" si="6"/>
      </c>
      <c r="R37" s="612" t="str">
        <f t="shared" si="7"/>
        <v>--</v>
      </c>
      <c r="S37" s="613" t="str">
        <f t="shared" si="8"/>
        <v>--</v>
      </c>
      <c r="T37" s="491" t="str">
        <f t="shared" si="9"/>
        <v>--</v>
      </c>
      <c r="U37" s="492" t="str">
        <f t="shared" si="10"/>
        <v>--</v>
      </c>
      <c r="V37" s="493" t="str">
        <f t="shared" si="11"/>
        <v>--</v>
      </c>
      <c r="W37" s="614" t="str">
        <f t="shared" si="12"/>
        <v>--</v>
      </c>
      <c r="X37" s="615" t="str">
        <f t="shared" si="13"/>
        <v>--</v>
      </c>
      <c r="Y37" s="616" t="str">
        <f t="shared" si="14"/>
        <v>--</v>
      </c>
      <c r="Z37" s="494" t="str">
        <f t="shared" si="15"/>
        <v>--</v>
      </c>
      <c r="AA37" s="495" t="str">
        <f t="shared" si="16"/>
        <v>--</v>
      </c>
      <c r="AB37" s="617">
        <f t="shared" si="17"/>
      </c>
      <c r="AC37" s="25">
        <f t="shared" si="18"/>
      </c>
      <c r="AD37" s="618"/>
    </row>
    <row r="38" spans="2:30" s="16" customFormat="1" ht="16.5" customHeight="1">
      <c r="B38" s="93"/>
      <c r="C38" s="477"/>
      <c r="D38" s="477"/>
      <c r="E38" s="624"/>
      <c r="F38" s="480"/>
      <c r="G38" s="624"/>
      <c r="H38" s="608">
        <f t="shared" si="0"/>
        <v>20</v>
      </c>
      <c r="I38" s="609">
        <f t="shared" si="1"/>
        <v>46.96099999999999</v>
      </c>
      <c r="J38" s="484"/>
      <c r="K38" s="486"/>
      <c r="L38" s="23">
        <f t="shared" si="2"/>
      </c>
      <c r="M38" s="24">
        <f t="shared" si="3"/>
      </c>
      <c r="N38" s="488"/>
      <c r="O38" s="489">
        <f t="shared" si="4"/>
      </c>
      <c r="P38" s="490">
        <f t="shared" si="5"/>
      </c>
      <c r="Q38" s="490">
        <f t="shared" si="6"/>
      </c>
      <c r="R38" s="612" t="str">
        <f t="shared" si="7"/>
        <v>--</v>
      </c>
      <c r="S38" s="613" t="str">
        <f t="shared" si="8"/>
        <v>--</v>
      </c>
      <c r="T38" s="491" t="str">
        <f t="shared" si="9"/>
        <v>--</v>
      </c>
      <c r="U38" s="492" t="str">
        <f t="shared" si="10"/>
        <v>--</v>
      </c>
      <c r="V38" s="493" t="str">
        <f t="shared" si="11"/>
        <v>--</v>
      </c>
      <c r="W38" s="614" t="str">
        <f t="shared" si="12"/>
        <v>--</v>
      </c>
      <c r="X38" s="615" t="str">
        <f t="shared" si="13"/>
        <v>--</v>
      </c>
      <c r="Y38" s="616" t="str">
        <f t="shared" si="14"/>
        <v>--</v>
      </c>
      <c r="Z38" s="494" t="str">
        <f t="shared" si="15"/>
        <v>--</v>
      </c>
      <c r="AA38" s="495" t="str">
        <f t="shared" si="16"/>
        <v>--</v>
      </c>
      <c r="AB38" s="617">
        <f t="shared" si="17"/>
      </c>
      <c r="AC38" s="25">
        <f t="shared" si="18"/>
      </c>
      <c r="AD38" s="618"/>
    </row>
    <row r="39" spans="2:30" s="16" customFormat="1" ht="16.5" customHeight="1" thickBot="1">
      <c r="B39" s="93"/>
      <c r="C39" s="481"/>
      <c r="D39" s="481"/>
      <c r="E39" s="482"/>
      <c r="F39" s="481"/>
      <c r="G39" s="483"/>
      <c r="H39" s="625"/>
      <c r="I39" s="626"/>
      <c r="J39" s="487"/>
      <c r="K39" s="487"/>
      <c r="L39" s="27"/>
      <c r="M39" s="27"/>
      <c r="N39" s="487"/>
      <c r="O39" s="496"/>
      <c r="P39" s="487"/>
      <c r="Q39" s="487"/>
      <c r="R39" s="627"/>
      <c r="S39" s="628"/>
      <c r="T39" s="497"/>
      <c r="U39" s="498"/>
      <c r="V39" s="499"/>
      <c r="W39" s="629"/>
      <c r="X39" s="630"/>
      <c r="Y39" s="631"/>
      <c r="Z39" s="500"/>
      <c r="AA39" s="501"/>
      <c r="AB39" s="632"/>
      <c r="AC39" s="28"/>
      <c r="AD39" s="618"/>
    </row>
    <row r="40" spans="2:30" s="16" customFormat="1" ht="16.5" customHeight="1" thickBot="1" thickTop="1">
      <c r="B40" s="93"/>
      <c r="C40" s="207" t="s">
        <v>44</v>
      </c>
      <c r="D40" s="208" t="s">
        <v>45</v>
      </c>
      <c r="E40" s="30"/>
      <c r="F40" s="1"/>
      <c r="G40" s="31"/>
      <c r="H40" s="1"/>
      <c r="I40" s="32"/>
      <c r="J40" s="32"/>
      <c r="K40" s="32"/>
      <c r="L40" s="32"/>
      <c r="M40" s="32"/>
      <c r="N40" s="32"/>
      <c r="O40" s="33"/>
      <c r="P40" s="32"/>
      <c r="Q40" s="32"/>
      <c r="R40" s="633">
        <f aca="true" t="shared" si="19" ref="R40:AA40">SUM(R20:R39)</f>
        <v>1497.1414215999998</v>
      </c>
      <c r="S40" s="634">
        <f t="shared" si="19"/>
        <v>0</v>
      </c>
      <c r="T40" s="635">
        <f t="shared" si="19"/>
        <v>0</v>
      </c>
      <c r="U40" s="635">
        <f t="shared" si="19"/>
        <v>0</v>
      </c>
      <c r="V40" s="635">
        <f t="shared" si="19"/>
        <v>0</v>
      </c>
      <c r="W40" s="636">
        <f t="shared" si="19"/>
        <v>0</v>
      </c>
      <c r="X40" s="636">
        <f t="shared" si="19"/>
        <v>0</v>
      </c>
      <c r="Y40" s="636">
        <f t="shared" si="19"/>
        <v>0</v>
      </c>
      <c r="Z40" s="297">
        <f t="shared" si="19"/>
        <v>0</v>
      </c>
      <c r="AA40" s="298">
        <f t="shared" si="19"/>
        <v>0</v>
      </c>
      <c r="AB40" s="34"/>
      <c r="AC40" s="637">
        <f>ROUND(SUM(AC20:AC39),2)</f>
        <v>1497.14</v>
      </c>
      <c r="AD40" s="618"/>
    </row>
    <row r="41" spans="2:30" s="212" customFormat="1" ht="9.75" thickTop="1">
      <c r="B41" s="213"/>
      <c r="C41" s="209"/>
      <c r="D41" s="211" t="s">
        <v>46</v>
      </c>
      <c r="E41" s="214"/>
      <c r="F41" s="215"/>
      <c r="G41" s="216"/>
      <c r="H41" s="215"/>
      <c r="I41" s="217"/>
      <c r="J41" s="217"/>
      <c r="K41" s="217"/>
      <c r="L41" s="217"/>
      <c r="M41" s="217"/>
      <c r="N41" s="217"/>
      <c r="O41" s="218"/>
      <c r="P41" s="217"/>
      <c r="Q41" s="217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20"/>
      <c r="AD41" s="221"/>
    </row>
    <row r="42" spans="2:30" s="212" customFormat="1" ht="18" customHeight="1">
      <c r="B42" s="213"/>
      <c r="C42" s="638" t="s">
        <v>118</v>
      </c>
      <c r="D42" s="639" t="s">
        <v>121</v>
      </c>
      <c r="E42" s="214"/>
      <c r="F42" s="215"/>
      <c r="G42" s="216"/>
      <c r="H42" s="215"/>
      <c r="I42" s="217"/>
      <c r="J42" s="217"/>
      <c r="K42" s="217"/>
      <c r="L42" s="217"/>
      <c r="M42" s="217"/>
      <c r="N42" s="217"/>
      <c r="O42" s="218"/>
      <c r="P42" s="217"/>
      <c r="Q42" s="217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20"/>
      <c r="AD42" s="221"/>
    </row>
    <row r="43" spans="2:30" s="16" customFormat="1" ht="16.5" customHeight="1" thickBot="1">
      <c r="B43" s="122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4"/>
    </row>
    <row r="44" spans="2:30" ht="16.5" customHeight="1" thickTop="1">
      <c r="B44" s="12"/>
      <c r="AD44" s="12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W155"/>
  <sheetViews>
    <sheetView zoomScale="75" zoomScaleNormal="75" workbookViewId="0" topLeftCell="A1">
      <selection activeCell="V20" sqref="V20"/>
    </sheetView>
  </sheetViews>
  <sheetFormatPr defaultColWidth="11.421875" defaultRowHeight="12.75" outlineLevelCol="1"/>
  <cols>
    <col min="1" max="2" width="15.7109375" style="0" customWidth="1"/>
    <col min="3" max="3" width="4.7109375" style="0" customWidth="1"/>
    <col min="4" max="4" width="44.28125" style="0" customWidth="1"/>
    <col min="5" max="5" width="6.57421875" style="0" customWidth="1"/>
    <col min="6" max="6" width="7.7109375" style="0" customWidth="1"/>
    <col min="7" max="8" width="13.8515625" style="0" bestFit="1" customWidth="1"/>
    <col min="9" max="10" width="7.140625" style="0" bestFit="1" customWidth="1"/>
    <col min="11" max="11" width="7.57421875" style="0" bestFit="1" customWidth="1"/>
    <col min="12" max="12" width="6.421875" style="0" bestFit="1" customWidth="1"/>
    <col min="13" max="13" width="16.140625" style="0" hidden="1" customWidth="1" outlineLevel="1"/>
    <col min="14" max="14" width="15.140625" style="0" hidden="1" customWidth="1" outlineLevel="1"/>
    <col min="15" max="15" width="15.00390625" style="0" hidden="1" customWidth="1" outlineLevel="1"/>
    <col min="16" max="16" width="18.28125" style="0" hidden="1" customWidth="1" outlineLevel="1"/>
    <col min="17" max="19" width="17.7109375" style="0" hidden="1" customWidth="1" outlineLevel="1"/>
    <col min="20" max="20" width="15.7109375" style="0" hidden="1" customWidth="1" outlineLevel="1"/>
    <col min="21" max="21" width="15.7109375" style="0" customWidth="1" collapsed="1"/>
    <col min="22" max="23" width="15.7109375" style="0" customWidth="1"/>
    <col min="24" max="24" width="3.140625" style="0" customWidth="1"/>
    <col min="25" max="25" width="3.57421875" style="0" customWidth="1"/>
    <col min="26" max="26" width="24.28125" style="0" customWidth="1"/>
    <col min="27" max="27" width="4.7109375" style="0" customWidth="1"/>
    <col min="28" max="28" width="7.57421875" style="0" customWidth="1"/>
    <col min="29" max="30" width="4.140625" style="0" customWidth="1"/>
    <col min="31" max="31" width="7.140625" style="0" customWidth="1"/>
    <col min="32" max="32" width="5.28125" style="0" customWidth="1"/>
    <col min="33" max="33" width="5.421875" style="0" customWidth="1"/>
    <col min="34" max="34" width="4.7109375" style="0" customWidth="1"/>
    <col min="35" max="35" width="5.28125" style="0" customWidth="1"/>
    <col min="36" max="37" width="13.28125" style="0" customWidth="1"/>
    <col min="38" max="38" width="6.57421875" style="0" customWidth="1"/>
    <col min="39" max="39" width="6.421875" style="0" customWidth="1"/>
    <col min="44" max="44" width="12.7109375" style="0" customWidth="1"/>
    <col min="48" max="48" width="21.00390625" style="0" customWidth="1"/>
  </cols>
  <sheetData>
    <row r="1" spans="1:22" ht="27.75" customHeight="1">
      <c r="A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455"/>
    </row>
    <row r="2" spans="1:22" ht="27.75" customHeight="1">
      <c r="A2" s="3"/>
      <c r="B2" s="62" t="str">
        <f>+'tot-0401'!B2</f>
        <v>ANEXO I-2a a la Resolución ENRE N° 686 /2007.-</v>
      </c>
      <c r="C2" s="4"/>
      <c r="D2" s="4"/>
      <c r="E2" s="4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</row>
    <row r="3" spans="1:22" ht="12.75">
      <c r="A3" s="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" s="68" customFormat="1" ht="11.25">
      <c r="A4" s="66" t="s">
        <v>11</v>
      </c>
      <c r="B4" s="144"/>
    </row>
    <row r="5" spans="1:2" s="68" customFormat="1" ht="11.25">
      <c r="A5" s="66" t="s">
        <v>12</v>
      </c>
      <c r="B5" s="144"/>
    </row>
    <row r="6" spans="6:22" ht="13.5" thickBo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2:23" ht="13.5" thickTop="1">
      <c r="B7" s="234"/>
      <c r="C7" s="235"/>
      <c r="D7" s="235"/>
      <c r="E7" s="235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7"/>
    </row>
    <row r="8" spans="2:23" ht="20.25">
      <c r="B8" s="238"/>
      <c r="D8" s="7" t="s">
        <v>23</v>
      </c>
      <c r="F8" s="8"/>
      <c r="G8" s="4"/>
      <c r="H8" s="4"/>
      <c r="I8" s="4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40"/>
    </row>
    <row r="9" spans="2:23" ht="20.25">
      <c r="B9" s="238"/>
      <c r="C9" s="11"/>
      <c r="D9" s="241"/>
      <c r="E9" s="11"/>
      <c r="F9" s="10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242"/>
    </row>
    <row r="10" spans="2:23" ht="20.25">
      <c r="B10" s="238"/>
      <c r="D10" s="127" t="s">
        <v>50</v>
      </c>
      <c r="E10" s="11"/>
      <c r="F10" s="11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242"/>
    </row>
    <row r="11" spans="2:23" ht="20.25">
      <c r="B11" s="238"/>
      <c r="C11" s="11"/>
      <c r="D11" s="11"/>
      <c r="E11" s="11"/>
      <c r="F11" s="203"/>
      <c r="G11" s="243"/>
      <c r="H11" s="243"/>
      <c r="I11" s="243"/>
      <c r="J11" s="243"/>
      <c r="K11" s="243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242"/>
    </row>
    <row r="12" spans="2:23" ht="16.5" customHeight="1">
      <c r="B12" s="244" t="str">
        <f>+'tot-0401'!B14</f>
        <v>Desde el 01 al 31 de enero de 2004</v>
      </c>
      <c r="C12" s="9"/>
      <c r="D12" s="9"/>
      <c r="E12" s="9"/>
      <c r="F12" s="4"/>
      <c r="G12" s="239"/>
      <c r="H12" s="239"/>
      <c r="I12" s="239"/>
      <c r="J12" s="4"/>
      <c r="K12" s="4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40"/>
    </row>
    <row r="13" spans="2:23" ht="16.5" customHeight="1" thickBot="1">
      <c r="B13" s="238"/>
      <c r="C13" s="12"/>
      <c r="D13" s="12"/>
      <c r="E13" s="12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242"/>
    </row>
    <row r="14" spans="2:23" ht="16.5" customHeight="1" thickBot="1" thickTop="1">
      <c r="B14" s="238"/>
      <c r="D14" s="395" t="s">
        <v>51</v>
      </c>
      <c r="E14" s="396">
        <v>4115541</v>
      </c>
      <c r="F14" s="397"/>
      <c r="L14" s="6"/>
      <c r="M14" s="6"/>
      <c r="N14" s="6"/>
      <c r="O14" s="6"/>
      <c r="P14" s="245"/>
      <c r="Q14" s="245"/>
      <c r="R14" s="245"/>
      <c r="S14" s="245"/>
      <c r="T14" s="5"/>
      <c r="U14" s="6"/>
      <c r="V14" s="6"/>
      <c r="W14" s="242"/>
    </row>
    <row r="15" spans="2:23" ht="16.5" customHeight="1" thickBot="1" thickTop="1">
      <c r="B15" s="238"/>
      <c r="C15" s="12"/>
      <c r="D15" s="12"/>
      <c r="E15" s="12"/>
      <c r="F15" s="6"/>
      <c r="G15" s="6"/>
      <c r="H15" s="6"/>
      <c r="I15" s="6"/>
      <c r="J15" s="24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242"/>
    </row>
    <row r="16" spans="2:23" ht="33.75" customHeight="1" thickBot="1" thickTop="1">
      <c r="B16" s="238"/>
      <c r="C16" s="132" t="s">
        <v>24</v>
      </c>
      <c r="D16" s="133" t="s">
        <v>14</v>
      </c>
      <c r="E16" s="138" t="s">
        <v>25</v>
      </c>
      <c r="F16" s="141" t="s">
        <v>26</v>
      </c>
      <c r="G16" s="135" t="s">
        <v>30</v>
      </c>
      <c r="H16" s="136" t="s">
        <v>31</v>
      </c>
      <c r="I16" s="141" t="s">
        <v>32</v>
      </c>
      <c r="J16" s="141" t="s">
        <v>33</v>
      </c>
      <c r="K16" s="141" t="s">
        <v>34</v>
      </c>
      <c r="L16" s="141" t="s">
        <v>35</v>
      </c>
      <c r="M16" s="398" t="s">
        <v>52</v>
      </c>
      <c r="N16" s="308" t="s">
        <v>39</v>
      </c>
      <c r="O16" s="406" t="s">
        <v>53</v>
      </c>
      <c r="P16" s="407"/>
      <c r="Q16" s="378" t="s">
        <v>54</v>
      </c>
      <c r="R16" s="416"/>
      <c r="S16" s="426" t="s">
        <v>40</v>
      </c>
      <c r="T16" s="432" t="s">
        <v>49</v>
      </c>
      <c r="U16" s="142" t="s">
        <v>55</v>
      </c>
      <c r="V16" s="142" t="s">
        <v>43</v>
      </c>
      <c r="W16" s="247"/>
    </row>
    <row r="17" spans="2:23" ht="16.5" customHeight="1" thickTop="1">
      <c r="B17" s="238"/>
      <c r="C17" s="290"/>
      <c r="D17" s="249"/>
      <c r="E17" s="392"/>
      <c r="F17" s="392"/>
      <c r="G17" s="249"/>
      <c r="H17" s="250"/>
      <c r="I17" s="299"/>
      <c r="J17" s="299"/>
      <c r="K17" s="299"/>
      <c r="L17" s="299"/>
      <c r="M17" s="399"/>
      <c r="N17" s="403"/>
      <c r="O17" s="408"/>
      <c r="P17" s="409"/>
      <c r="Q17" s="417"/>
      <c r="R17" s="418"/>
      <c r="S17" s="427"/>
      <c r="T17" s="433"/>
      <c r="U17" s="299"/>
      <c r="V17" s="438"/>
      <c r="W17" s="248"/>
    </row>
    <row r="18" spans="2:23" ht="16.5" customHeight="1">
      <c r="B18" s="238"/>
      <c r="C18" s="17"/>
      <c r="D18" s="18"/>
      <c r="E18" s="18"/>
      <c r="F18" s="18"/>
      <c r="G18" s="57"/>
      <c r="H18" s="390"/>
      <c r="I18" s="20"/>
      <c r="J18" s="20"/>
      <c r="K18" s="20"/>
      <c r="L18" s="20"/>
      <c r="M18" s="400"/>
      <c r="N18" s="404"/>
      <c r="O18" s="410"/>
      <c r="P18" s="411"/>
      <c r="Q18" s="419"/>
      <c r="R18" s="420"/>
      <c r="S18" s="428"/>
      <c r="T18" s="434"/>
      <c r="U18" s="20"/>
      <c r="V18" s="17"/>
      <c r="W18" s="248"/>
    </row>
    <row r="19" spans="2:23" ht="16.5" customHeight="1">
      <c r="B19" s="238"/>
      <c r="C19" s="477" t="s">
        <v>86</v>
      </c>
      <c r="D19" s="37" t="s">
        <v>74</v>
      </c>
      <c r="E19" s="37">
        <v>500</v>
      </c>
      <c r="F19" s="37">
        <v>227</v>
      </c>
      <c r="G19" s="574">
        <v>37987</v>
      </c>
      <c r="H19" s="486">
        <v>37989.79652777778</v>
      </c>
      <c r="I19" s="23">
        <f aca="true" t="shared" si="0" ref="I19:I38">IF(D19="","",ROUND((H19-G19)*24,2))</f>
        <v>67.12</v>
      </c>
      <c r="J19" s="24">
        <f aca="true" t="shared" si="1" ref="J19:J38">IF(D19="","",ROUND((H19-G19)*24*60,0))</f>
        <v>4027</v>
      </c>
      <c r="K19" s="490" t="s">
        <v>94</v>
      </c>
      <c r="L19" s="489" t="str">
        <f>IF(D19="","","--")</f>
        <v>--</v>
      </c>
      <c r="M19" s="401" t="str">
        <f>IF(K19="P",5*ROUND(IF(J19&gt;10,J19,10)/60,2),"--")</f>
        <v>--</v>
      </c>
      <c r="N19" s="310" t="str">
        <f>IF(K19="RP",5*L19/100*ROUND(IF(J19&gt;10,J19,10)/60,2),"--")</f>
        <v>--</v>
      </c>
      <c r="O19" s="412" t="str">
        <f>IF(K19="F",50*IF(J19&lt;300,ROUND(IF(J19&gt;10,J19,10)/60,2),5),"--")</f>
        <v>--</v>
      </c>
      <c r="P19" s="413" t="str">
        <f>IF(AND(K19="F",J19&gt;300),(ROUND(J19/60,2)-5)*10,"--")</f>
        <v>--</v>
      </c>
      <c r="Q19" s="382" t="str">
        <f>IF(K19="R",50*L19/100*IF(J19&lt;300,ROUND(IF(J19&gt;10,J19,10)/60,2),5),"--")</f>
        <v>--</v>
      </c>
      <c r="R19" s="421" t="str">
        <f>IF(AND(K19="R",J19&gt;300),(ROUND(J19/60,2)-5)*10*L19/100,"--")</f>
        <v>--</v>
      </c>
      <c r="S19" s="429">
        <f>IF(K19="RF",ROUND(J19/60,2)*10,"--")</f>
        <v>671.2</v>
      </c>
      <c r="T19" s="435" t="str">
        <f>IF(K19="R",ROUND(J19/60,2)*10*L19/100,"--")</f>
        <v>--</v>
      </c>
      <c r="U19" s="391">
        <f aca="true" t="shared" si="2" ref="U19:U38">IF(D19="","",SUM(M19:T19))</f>
        <v>671.2</v>
      </c>
      <c r="V19" s="251">
        <v>0</v>
      </c>
      <c r="W19" s="252"/>
    </row>
    <row r="20" spans="2:23" ht="16.5" customHeight="1">
      <c r="B20" s="238"/>
      <c r="C20" s="477"/>
      <c r="D20" s="502"/>
      <c r="E20" s="503"/>
      <c r="F20" s="479"/>
      <c r="G20" s="484"/>
      <c r="H20" s="486"/>
      <c r="I20" s="23">
        <f t="shared" si="0"/>
      </c>
      <c r="J20" s="24">
        <f t="shared" si="1"/>
      </c>
      <c r="K20" s="490"/>
      <c r="L20" s="489">
        <f aca="true" t="shared" si="3" ref="L20:L35">IF(D20="","","--")</f>
      </c>
      <c r="M20" s="401" t="str">
        <f aca="true" t="shared" si="4" ref="M20:M35">IF(K20="P",5*ROUND(IF(J20&gt;10,J20,10)/60,2),"--")</f>
        <v>--</v>
      </c>
      <c r="N20" s="310" t="str">
        <f aca="true" t="shared" si="5" ref="N20:N35">IF(K20="RP",5*L20/100*ROUND(IF(J20&gt;10,J20,10)/60,2),"--")</f>
        <v>--</v>
      </c>
      <c r="O20" s="412" t="str">
        <f aca="true" t="shared" si="6" ref="O20:O35">IF(K20="F",50*IF(J20&lt;300,ROUND(IF(J20&gt;10,J20,10)/60,2),5),"--")</f>
        <v>--</v>
      </c>
      <c r="P20" s="413" t="str">
        <f aca="true" t="shared" si="7" ref="P20:P35">IF(AND(K20="F",J20&gt;300),(ROUND(J20/60,2)-5)*10,"--")</f>
        <v>--</v>
      </c>
      <c r="Q20" s="382" t="str">
        <f aca="true" t="shared" si="8" ref="Q20:Q35">IF(K20="R",50*L20/100*IF(J20&lt;300,ROUND(IF(J20&gt;10,J20,10)/60,2),5),"--")</f>
        <v>--</v>
      </c>
      <c r="R20" s="421" t="str">
        <f aca="true" t="shared" si="9" ref="R20:R35">IF(AND(K20="R",J20&gt;300),(ROUND(J20/60,2)-5)*10*L20/100,"--")</f>
        <v>--</v>
      </c>
      <c r="S20" s="429" t="str">
        <f aca="true" t="shared" si="10" ref="S20:S35">IF(K20="RF",ROUND(J20/60,2)*10,"--")</f>
        <v>--</v>
      </c>
      <c r="T20" s="435" t="str">
        <f aca="true" t="shared" si="11" ref="T20:T35">IF(K20="R",ROUND(J20/60,2)*10*L20/100,"--")</f>
        <v>--</v>
      </c>
      <c r="U20" s="391">
        <f t="shared" si="2"/>
      </c>
      <c r="V20" s="251">
        <f aca="true" t="shared" si="12" ref="V20:V38">IF(D20="","",ROUND((U20/1500*$E$14)*F20/270.6,0))</f>
      </c>
      <c r="W20" s="252"/>
    </row>
    <row r="21" spans="2:23" ht="16.5" customHeight="1">
      <c r="B21" s="238"/>
      <c r="C21" s="477"/>
      <c r="D21" s="502"/>
      <c r="E21" s="503"/>
      <c r="F21" s="503"/>
      <c r="G21" s="484"/>
      <c r="H21" s="486"/>
      <c r="I21" s="23">
        <f t="shared" si="0"/>
      </c>
      <c r="J21" s="24">
        <f t="shared" si="1"/>
      </c>
      <c r="K21" s="490"/>
      <c r="L21" s="489">
        <f t="shared" si="3"/>
      </c>
      <c r="M21" s="401" t="str">
        <f t="shared" si="4"/>
        <v>--</v>
      </c>
      <c r="N21" s="310" t="str">
        <f t="shared" si="5"/>
        <v>--</v>
      </c>
      <c r="O21" s="412" t="str">
        <f t="shared" si="6"/>
        <v>--</v>
      </c>
      <c r="P21" s="413" t="str">
        <f t="shared" si="7"/>
        <v>--</v>
      </c>
      <c r="Q21" s="382" t="str">
        <f t="shared" si="8"/>
        <v>--</v>
      </c>
      <c r="R21" s="421" t="str">
        <f t="shared" si="9"/>
        <v>--</v>
      </c>
      <c r="S21" s="429" t="str">
        <f t="shared" si="10"/>
        <v>--</v>
      </c>
      <c r="T21" s="435" t="str">
        <f t="shared" si="11"/>
        <v>--</v>
      </c>
      <c r="U21" s="391">
        <f t="shared" si="2"/>
      </c>
      <c r="V21" s="251">
        <f t="shared" si="12"/>
      </c>
      <c r="W21" s="252"/>
    </row>
    <row r="22" spans="2:23" ht="16.5" customHeight="1">
      <c r="B22" s="238"/>
      <c r="C22" s="477"/>
      <c r="D22" s="502"/>
      <c r="E22" s="503"/>
      <c r="F22" s="503"/>
      <c r="G22" s="484"/>
      <c r="H22" s="486"/>
      <c r="I22" s="23">
        <f t="shared" si="0"/>
      </c>
      <c r="J22" s="24">
        <f t="shared" si="1"/>
      </c>
      <c r="K22" s="490"/>
      <c r="L22" s="489">
        <f t="shared" si="3"/>
      </c>
      <c r="M22" s="401" t="str">
        <f t="shared" si="4"/>
        <v>--</v>
      </c>
      <c r="N22" s="310" t="str">
        <f t="shared" si="5"/>
        <v>--</v>
      </c>
      <c r="O22" s="412" t="str">
        <f t="shared" si="6"/>
        <v>--</v>
      </c>
      <c r="P22" s="413" t="str">
        <f t="shared" si="7"/>
        <v>--</v>
      </c>
      <c r="Q22" s="382" t="str">
        <f t="shared" si="8"/>
        <v>--</v>
      </c>
      <c r="R22" s="421" t="str">
        <f t="shared" si="9"/>
        <v>--</v>
      </c>
      <c r="S22" s="429" t="str">
        <f t="shared" si="10"/>
        <v>--</v>
      </c>
      <c r="T22" s="435" t="str">
        <f t="shared" si="11"/>
        <v>--</v>
      </c>
      <c r="U22" s="391">
        <f t="shared" si="2"/>
      </c>
      <c r="V22" s="251">
        <f t="shared" si="12"/>
      </c>
      <c r="W22" s="252"/>
    </row>
    <row r="23" spans="2:23" ht="16.5" customHeight="1">
      <c r="B23" s="238"/>
      <c r="C23" s="477"/>
      <c r="D23" s="502"/>
      <c r="E23" s="503"/>
      <c r="F23" s="503"/>
      <c r="G23" s="484"/>
      <c r="H23" s="486"/>
      <c r="I23" s="23">
        <f t="shared" si="0"/>
      </c>
      <c r="J23" s="24">
        <f t="shared" si="1"/>
      </c>
      <c r="K23" s="490"/>
      <c r="L23" s="489">
        <f t="shared" si="3"/>
      </c>
      <c r="M23" s="401" t="str">
        <f t="shared" si="4"/>
        <v>--</v>
      </c>
      <c r="N23" s="310" t="str">
        <f t="shared" si="5"/>
        <v>--</v>
      </c>
      <c r="O23" s="412" t="str">
        <f t="shared" si="6"/>
        <v>--</v>
      </c>
      <c r="P23" s="413" t="str">
        <f t="shared" si="7"/>
        <v>--</v>
      </c>
      <c r="Q23" s="382" t="str">
        <f t="shared" si="8"/>
        <v>--</v>
      </c>
      <c r="R23" s="421" t="str">
        <f t="shared" si="9"/>
        <v>--</v>
      </c>
      <c r="S23" s="429" t="str">
        <f t="shared" si="10"/>
        <v>--</v>
      </c>
      <c r="T23" s="435" t="str">
        <f t="shared" si="11"/>
        <v>--</v>
      </c>
      <c r="U23" s="391">
        <f t="shared" si="2"/>
      </c>
      <c r="V23" s="251">
        <f t="shared" si="12"/>
      </c>
      <c r="W23" s="252"/>
    </row>
    <row r="24" spans="2:23" ht="16.5" customHeight="1">
      <c r="B24" s="238"/>
      <c r="C24" s="477"/>
      <c r="D24" s="502"/>
      <c r="E24" s="503"/>
      <c r="F24" s="503"/>
      <c r="G24" s="484"/>
      <c r="H24" s="486"/>
      <c r="I24" s="23">
        <f t="shared" si="0"/>
      </c>
      <c r="J24" s="24">
        <f t="shared" si="1"/>
      </c>
      <c r="K24" s="490"/>
      <c r="L24" s="489">
        <f t="shared" si="3"/>
      </c>
      <c r="M24" s="401" t="str">
        <f t="shared" si="4"/>
        <v>--</v>
      </c>
      <c r="N24" s="310" t="str">
        <f t="shared" si="5"/>
        <v>--</v>
      </c>
      <c r="O24" s="412" t="str">
        <f t="shared" si="6"/>
        <v>--</v>
      </c>
      <c r="P24" s="413" t="str">
        <f t="shared" si="7"/>
        <v>--</v>
      </c>
      <c r="Q24" s="382" t="str">
        <f t="shared" si="8"/>
        <v>--</v>
      </c>
      <c r="R24" s="421" t="str">
        <f t="shared" si="9"/>
        <v>--</v>
      </c>
      <c r="S24" s="429" t="str">
        <f t="shared" si="10"/>
        <v>--</v>
      </c>
      <c r="T24" s="435" t="str">
        <f t="shared" si="11"/>
        <v>--</v>
      </c>
      <c r="U24" s="391">
        <f t="shared" si="2"/>
      </c>
      <c r="V24" s="251">
        <f t="shared" si="12"/>
      </c>
      <c r="W24" s="252"/>
    </row>
    <row r="25" spans="2:23" ht="16.5" customHeight="1">
      <c r="B25" s="238"/>
      <c r="C25" s="477"/>
      <c r="D25" s="502"/>
      <c r="E25" s="503"/>
      <c r="F25" s="503"/>
      <c r="G25" s="484"/>
      <c r="H25" s="486"/>
      <c r="I25" s="23">
        <f t="shared" si="0"/>
      </c>
      <c r="J25" s="24">
        <f t="shared" si="1"/>
      </c>
      <c r="K25" s="490"/>
      <c r="L25" s="489">
        <f t="shared" si="3"/>
      </c>
      <c r="M25" s="401" t="str">
        <f t="shared" si="4"/>
        <v>--</v>
      </c>
      <c r="N25" s="310" t="str">
        <f t="shared" si="5"/>
        <v>--</v>
      </c>
      <c r="O25" s="412" t="str">
        <f t="shared" si="6"/>
        <v>--</v>
      </c>
      <c r="P25" s="413" t="str">
        <f t="shared" si="7"/>
        <v>--</v>
      </c>
      <c r="Q25" s="382" t="str">
        <f t="shared" si="8"/>
        <v>--</v>
      </c>
      <c r="R25" s="421" t="str">
        <f t="shared" si="9"/>
        <v>--</v>
      </c>
      <c r="S25" s="429" t="str">
        <f t="shared" si="10"/>
        <v>--</v>
      </c>
      <c r="T25" s="435" t="str">
        <f t="shared" si="11"/>
        <v>--</v>
      </c>
      <c r="U25" s="391">
        <f t="shared" si="2"/>
      </c>
      <c r="V25" s="251">
        <f t="shared" si="12"/>
      </c>
      <c r="W25" s="252"/>
    </row>
    <row r="26" spans="2:23" ht="16.5" customHeight="1">
      <c r="B26" s="238"/>
      <c r="C26" s="477"/>
      <c r="D26" s="502"/>
      <c r="E26" s="503"/>
      <c r="F26" s="503"/>
      <c r="G26" s="484"/>
      <c r="H26" s="486"/>
      <c r="I26" s="23">
        <f t="shared" si="0"/>
      </c>
      <c r="J26" s="24">
        <f t="shared" si="1"/>
      </c>
      <c r="K26" s="490"/>
      <c r="L26" s="489">
        <f t="shared" si="3"/>
      </c>
      <c r="M26" s="401" t="str">
        <f t="shared" si="4"/>
        <v>--</v>
      </c>
      <c r="N26" s="310" t="str">
        <f t="shared" si="5"/>
        <v>--</v>
      </c>
      <c r="O26" s="412" t="str">
        <f t="shared" si="6"/>
        <v>--</v>
      </c>
      <c r="P26" s="413" t="str">
        <f t="shared" si="7"/>
        <v>--</v>
      </c>
      <c r="Q26" s="382" t="str">
        <f t="shared" si="8"/>
        <v>--</v>
      </c>
      <c r="R26" s="421" t="str">
        <f t="shared" si="9"/>
        <v>--</v>
      </c>
      <c r="S26" s="429" t="str">
        <f t="shared" si="10"/>
        <v>--</v>
      </c>
      <c r="T26" s="435" t="str">
        <f t="shared" si="11"/>
        <v>--</v>
      </c>
      <c r="U26" s="391">
        <f t="shared" si="2"/>
      </c>
      <c r="V26" s="251">
        <f t="shared" si="12"/>
      </c>
      <c r="W26" s="252"/>
    </row>
    <row r="27" spans="2:23" ht="16.5" customHeight="1">
      <c r="B27" s="238"/>
      <c r="C27" s="477"/>
      <c r="D27" s="502"/>
      <c r="E27" s="503"/>
      <c r="F27" s="503"/>
      <c r="G27" s="484"/>
      <c r="H27" s="486"/>
      <c r="I27" s="23">
        <f t="shared" si="0"/>
      </c>
      <c r="J27" s="24">
        <f t="shared" si="1"/>
      </c>
      <c r="K27" s="490"/>
      <c r="L27" s="489">
        <f t="shared" si="3"/>
      </c>
      <c r="M27" s="401" t="str">
        <f t="shared" si="4"/>
        <v>--</v>
      </c>
      <c r="N27" s="310" t="str">
        <f t="shared" si="5"/>
        <v>--</v>
      </c>
      <c r="O27" s="412" t="str">
        <f t="shared" si="6"/>
        <v>--</v>
      </c>
      <c r="P27" s="413" t="str">
        <f t="shared" si="7"/>
        <v>--</v>
      </c>
      <c r="Q27" s="382" t="str">
        <f t="shared" si="8"/>
        <v>--</v>
      </c>
      <c r="R27" s="421" t="str">
        <f t="shared" si="9"/>
        <v>--</v>
      </c>
      <c r="S27" s="429" t="str">
        <f t="shared" si="10"/>
        <v>--</v>
      </c>
      <c r="T27" s="435" t="str">
        <f t="shared" si="11"/>
        <v>--</v>
      </c>
      <c r="U27" s="391">
        <f t="shared" si="2"/>
      </c>
      <c r="V27" s="251">
        <f t="shared" si="12"/>
      </c>
      <c r="W27" s="252"/>
    </row>
    <row r="28" spans="2:23" ht="16.5" customHeight="1">
      <c r="B28" s="238"/>
      <c r="C28" s="477"/>
      <c r="D28" s="502"/>
      <c r="E28" s="503"/>
      <c r="F28" s="503"/>
      <c r="G28" s="484"/>
      <c r="H28" s="486"/>
      <c r="I28" s="23">
        <f t="shared" si="0"/>
      </c>
      <c r="J28" s="24">
        <f t="shared" si="1"/>
      </c>
      <c r="K28" s="490"/>
      <c r="L28" s="489">
        <f t="shared" si="3"/>
      </c>
      <c r="M28" s="401" t="str">
        <f t="shared" si="4"/>
        <v>--</v>
      </c>
      <c r="N28" s="310" t="str">
        <f t="shared" si="5"/>
        <v>--</v>
      </c>
      <c r="O28" s="412" t="str">
        <f t="shared" si="6"/>
        <v>--</v>
      </c>
      <c r="P28" s="413" t="str">
        <f t="shared" si="7"/>
        <v>--</v>
      </c>
      <c r="Q28" s="382" t="str">
        <f t="shared" si="8"/>
        <v>--</v>
      </c>
      <c r="R28" s="421" t="str">
        <f t="shared" si="9"/>
        <v>--</v>
      </c>
      <c r="S28" s="429" t="str">
        <f t="shared" si="10"/>
        <v>--</v>
      </c>
      <c r="T28" s="435" t="str">
        <f t="shared" si="11"/>
        <v>--</v>
      </c>
      <c r="U28" s="391">
        <f t="shared" si="2"/>
      </c>
      <c r="V28" s="251">
        <f t="shared" si="12"/>
      </c>
      <c r="W28" s="252"/>
    </row>
    <row r="29" spans="2:23" ht="16.5" customHeight="1">
      <c r="B29" s="238"/>
      <c r="C29" s="477"/>
      <c r="D29" s="503"/>
      <c r="E29" s="503"/>
      <c r="F29" s="503"/>
      <c r="G29" s="484"/>
      <c r="H29" s="486"/>
      <c r="I29" s="23">
        <f t="shared" si="0"/>
      </c>
      <c r="J29" s="24">
        <f t="shared" si="1"/>
      </c>
      <c r="K29" s="490"/>
      <c r="L29" s="489">
        <f t="shared" si="3"/>
      </c>
      <c r="M29" s="401" t="str">
        <f t="shared" si="4"/>
        <v>--</v>
      </c>
      <c r="N29" s="310" t="str">
        <f t="shared" si="5"/>
        <v>--</v>
      </c>
      <c r="O29" s="412" t="str">
        <f t="shared" si="6"/>
        <v>--</v>
      </c>
      <c r="P29" s="413" t="str">
        <f t="shared" si="7"/>
        <v>--</v>
      </c>
      <c r="Q29" s="382" t="str">
        <f t="shared" si="8"/>
        <v>--</v>
      </c>
      <c r="R29" s="421" t="str">
        <f t="shared" si="9"/>
        <v>--</v>
      </c>
      <c r="S29" s="429" t="str">
        <f t="shared" si="10"/>
        <v>--</v>
      </c>
      <c r="T29" s="435" t="str">
        <f t="shared" si="11"/>
        <v>--</v>
      </c>
      <c r="U29" s="391">
        <f t="shared" si="2"/>
      </c>
      <c r="V29" s="251">
        <f t="shared" si="12"/>
      </c>
      <c r="W29" s="252"/>
    </row>
    <row r="30" spans="2:23" ht="16.5" customHeight="1">
      <c r="B30" s="238"/>
      <c r="C30" s="477"/>
      <c r="D30" s="503"/>
      <c r="E30" s="503"/>
      <c r="F30" s="503"/>
      <c r="G30" s="484"/>
      <c r="H30" s="486"/>
      <c r="I30" s="23">
        <f t="shared" si="0"/>
      </c>
      <c r="J30" s="24">
        <f t="shared" si="1"/>
      </c>
      <c r="K30" s="490"/>
      <c r="L30" s="489">
        <f t="shared" si="3"/>
      </c>
      <c r="M30" s="401" t="str">
        <f t="shared" si="4"/>
        <v>--</v>
      </c>
      <c r="N30" s="310" t="str">
        <f t="shared" si="5"/>
        <v>--</v>
      </c>
      <c r="O30" s="412" t="str">
        <f t="shared" si="6"/>
        <v>--</v>
      </c>
      <c r="P30" s="413" t="str">
        <f t="shared" si="7"/>
        <v>--</v>
      </c>
      <c r="Q30" s="382" t="str">
        <f t="shared" si="8"/>
        <v>--</v>
      </c>
      <c r="R30" s="421" t="str">
        <f t="shared" si="9"/>
        <v>--</v>
      </c>
      <c r="S30" s="429" t="str">
        <f t="shared" si="10"/>
        <v>--</v>
      </c>
      <c r="T30" s="435" t="str">
        <f t="shared" si="11"/>
        <v>--</v>
      </c>
      <c r="U30" s="391">
        <f t="shared" si="2"/>
      </c>
      <c r="V30" s="251">
        <f t="shared" si="12"/>
      </c>
      <c r="W30" s="252"/>
    </row>
    <row r="31" spans="2:23" ht="16.5" customHeight="1">
      <c r="B31" s="238"/>
      <c r="C31" s="477"/>
      <c r="D31" s="503"/>
      <c r="E31" s="503"/>
      <c r="F31" s="503"/>
      <c r="G31" s="484"/>
      <c r="H31" s="486"/>
      <c r="I31" s="23">
        <f t="shared" si="0"/>
      </c>
      <c r="J31" s="24">
        <f t="shared" si="1"/>
      </c>
      <c r="K31" s="490"/>
      <c r="L31" s="489">
        <f t="shared" si="3"/>
      </c>
      <c r="M31" s="401" t="str">
        <f t="shared" si="4"/>
        <v>--</v>
      </c>
      <c r="N31" s="310" t="str">
        <f t="shared" si="5"/>
        <v>--</v>
      </c>
      <c r="O31" s="412" t="str">
        <f t="shared" si="6"/>
        <v>--</v>
      </c>
      <c r="P31" s="413" t="str">
        <f t="shared" si="7"/>
        <v>--</v>
      </c>
      <c r="Q31" s="382" t="str">
        <f t="shared" si="8"/>
        <v>--</v>
      </c>
      <c r="R31" s="421" t="str">
        <f t="shared" si="9"/>
        <v>--</v>
      </c>
      <c r="S31" s="429" t="str">
        <f t="shared" si="10"/>
        <v>--</v>
      </c>
      <c r="T31" s="435" t="str">
        <f t="shared" si="11"/>
        <v>--</v>
      </c>
      <c r="U31" s="391">
        <f t="shared" si="2"/>
      </c>
      <c r="V31" s="251">
        <f t="shared" si="12"/>
      </c>
      <c r="W31" s="252"/>
    </row>
    <row r="32" spans="2:23" ht="16.5" customHeight="1">
      <c r="B32" s="238"/>
      <c r="C32" s="477"/>
      <c r="D32" s="503"/>
      <c r="E32" s="503"/>
      <c r="F32" s="503"/>
      <c r="G32" s="484"/>
      <c r="H32" s="486"/>
      <c r="I32" s="23">
        <f t="shared" si="0"/>
      </c>
      <c r="J32" s="24">
        <f t="shared" si="1"/>
      </c>
      <c r="K32" s="490"/>
      <c r="L32" s="489">
        <f t="shared" si="3"/>
      </c>
      <c r="M32" s="401" t="str">
        <f t="shared" si="4"/>
        <v>--</v>
      </c>
      <c r="N32" s="310" t="str">
        <f t="shared" si="5"/>
        <v>--</v>
      </c>
      <c r="O32" s="412" t="str">
        <f t="shared" si="6"/>
        <v>--</v>
      </c>
      <c r="P32" s="413" t="str">
        <f t="shared" si="7"/>
        <v>--</v>
      </c>
      <c r="Q32" s="382" t="str">
        <f t="shared" si="8"/>
        <v>--</v>
      </c>
      <c r="R32" s="421" t="str">
        <f t="shared" si="9"/>
        <v>--</v>
      </c>
      <c r="S32" s="429" t="str">
        <f t="shared" si="10"/>
        <v>--</v>
      </c>
      <c r="T32" s="435" t="str">
        <f t="shared" si="11"/>
        <v>--</v>
      </c>
      <c r="U32" s="391">
        <f t="shared" si="2"/>
      </c>
      <c r="V32" s="251">
        <f t="shared" si="12"/>
      </c>
      <c r="W32" s="252"/>
    </row>
    <row r="33" spans="2:23" ht="16.5" customHeight="1">
      <c r="B33" s="238"/>
      <c r="C33" s="477"/>
      <c r="D33" s="503"/>
      <c r="E33" s="503"/>
      <c r="F33" s="503"/>
      <c r="G33" s="484"/>
      <c r="H33" s="486"/>
      <c r="I33" s="23">
        <f t="shared" si="0"/>
      </c>
      <c r="J33" s="24">
        <f t="shared" si="1"/>
      </c>
      <c r="K33" s="490"/>
      <c r="L33" s="489">
        <f t="shared" si="3"/>
      </c>
      <c r="M33" s="401" t="str">
        <f t="shared" si="4"/>
        <v>--</v>
      </c>
      <c r="N33" s="310" t="str">
        <f t="shared" si="5"/>
        <v>--</v>
      </c>
      <c r="O33" s="412" t="str">
        <f t="shared" si="6"/>
        <v>--</v>
      </c>
      <c r="P33" s="413" t="str">
        <f t="shared" si="7"/>
        <v>--</v>
      </c>
      <c r="Q33" s="382" t="str">
        <f t="shared" si="8"/>
        <v>--</v>
      </c>
      <c r="R33" s="421" t="str">
        <f t="shared" si="9"/>
        <v>--</v>
      </c>
      <c r="S33" s="429" t="str">
        <f t="shared" si="10"/>
        <v>--</v>
      </c>
      <c r="T33" s="435" t="str">
        <f t="shared" si="11"/>
        <v>--</v>
      </c>
      <c r="U33" s="391">
        <f t="shared" si="2"/>
      </c>
      <c r="V33" s="251">
        <f t="shared" si="12"/>
      </c>
      <c r="W33" s="252"/>
    </row>
    <row r="34" spans="2:23" ht="16.5" customHeight="1">
      <c r="B34" s="238"/>
      <c r="C34" s="477"/>
      <c r="D34" s="503"/>
      <c r="E34" s="503"/>
      <c r="F34" s="503"/>
      <c r="G34" s="484"/>
      <c r="H34" s="486"/>
      <c r="I34" s="23">
        <f t="shared" si="0"/>
      </c>
      <c r="J34" s="24">
        <f t="shared" si="1"/>
      </c>
      <c r="K34" s="490"/>
      <c r="L34" s="489">
        <f t="shared" si="3"/>
      </c>
      <c r="M34" s="401" t="str">
        <f t="shared" si="4"/>
        <v>--</v>
      </c>
      <c r="N34" s="310" t="str">
        <f t="shared" si="5"/>
        <v>--</v>
      </c>
      <c r="O34" s="412" t="str">
        <f t="shared" si="6"/>
        <v>--</v>
      </c>
      <c r="P34" s="413" t="str">
        <f t="shared" si="7"/>
        <v>--</v>
      </c>
      <c r="Q34" s="382" t="str">
        <f t="shared" si="8"/>
        <v>--</v>
      </c>
      <c r="R34" s="421" t="str">
        <f t="shared" si="9"/>
        <v>--</v>
      </c>
      <c r="S34" s="429" t="str">
        <f t="shared" si="10"/>
        <v>--</v>
      </c>
      <c r="T34" s="435" t="str">
        <f t="shared" si="11"/>
        <v>--</v>
      </c>
      <c r="U34" s="391">
        <f t="shared" si="2"/>
      </c>
      <c r="V34" s="251">
        <f t="shared" si="12"/>
      </c>
      <c r="W34" s="252"/>
    </row>
    <row r="35" spans="2:23" ht="16.5" customHeight="1">
      <c r="B35" s="238"/>
      <c r="C35" s="477"/>
      <c r="D35" s="503"/>
      <c r="E35" s="503"/>
      <c r="F35" s="503"/>
      <c r="G35" s="484"/>
      <c r="H35" s="486"/>
      <c r="I35" s="23">
        <f t="shared" si="0"/>
      </c>
      <c r="J35" s="24">
        <f t="shared" si="1"/>
      </c>
      <c r="K35" s="490"/>
      <c r="L35" s="489">
        <f t="shared" si="3"/>
      </c>
      <c r="M35" s="401" t="str">
        <f t="shared" si="4"/>
        <v>--</v>
      </c>
      <c r="N35" s="310" t="str">
        <f t="shared" si="5"/>
        <v>--</v>
      </c>
      <c r="O35" s="412" t="str">
        <f t="shared" si="6"/>
        <v>--</v>
      </c>
      <c r="P35" s="413" t="str">
        <f t="shared" si="7"/>
        <v>--</v>
      </c>
      <c r="Q35" s="382" t="str">
        <f t="shared" si="8"/>
        <v>--</v>
      </c>
      <c r="R35" s="421" t="str">
        <f t="shared" si="9"/>
        <v>--</v>
      </c>
      <c r="S35" s="429" t="str">
        <f t="shared" si="10"/>
        <v>--</v>
      </c>
      <c r="T35" s="435" t="str">
        <f t="shared" si="11"/>
        <v>--</v>
      </c>
      <c r="U35" s="391">
        <f t="shared" si="2"/>
      </c>
      <c r="V35" s="251">
        <f t="shared" si="12"/>
      </c>
      <c r="W35" s="252"/>
    </row>
    <row r="36" spans="2:23" ht="16.5" customHeight="1">
      <c r="B36" s="238"/>
      <c r="C36" s="477"/>
      <c r="D36" s="503"/>
      <c r="E36" s="503"/>
      <c r="F36" s="503"/>
      <c r="G36" s="484"/>
      <c r="H36" s="486"/>
      <c r="I36" s="23">
        <f t="shared" si="0"/>
      </c>
      <c r="J36" s="24">
        <f t="shared" si="1"/>
      </c>
      <c r="K36" s="490"/>
      <c r="L36" s="489">
        <f>IF(D36="","","--")</f>
      </c>
      <c r="M36" s="401" t="str">
        <f>IF(K36="P",5*ROUND(IF(J36&gt;10,J36,10)/60,2),"--")</f>
        <v>--</v>
      </c>
      <c r="N36" s="310" t="str">
        <f>IF(K36="RP",5*L36/100*ROUND(IF(J36&gt;10,J36,10)/60,2),"--")</f>
        <v>--</v>
      </c>
      <c r="O36" s="412" t="str">
        <f>IF(K36="F",50*IF(J36&lt;300,ROUND(IF(J36&gt;10,J36,10)/60,2),5),"--")</f>
        <v>--</v>
      </c>
      <c r="P36" s="413" t="str">
        <f>IF(AND(K36="F",J36&gt;300),(ROUND(J36/60,2)-5)*10,"--")</f>
        <v>--</v>
      </c>
      <c r="Q36" s="382" t="str">
        <f>IF(K36="R",50*L36/100*IF(J36&lt;300,ROUND(IF(J36&gt;10,J36,10)/60,2),5),"--")</f>
        <v>--</v>
      </c>
      <c r="R36" s="421" t="str">
        <f>IF(AND(K36="R",J36&gt;300),(ROUND(J36/60,2)-5)*10*L36/100,"--")</f>
        <v>--</v>
      </c>
      <c r="S36" s="429" t="str">
        <f>IF(K36="RF",ROUND(J36/60,2)*10,"--")</f>
        <v>--</v>
      </c>
      <c r="T36" s="435" t="str">
        <f>IF(K36="R",ROUND(J36/60,2)*10*L36/100,"--")</f>
        <v>--</v>
      </c>
      <c r="U36" s="391">
        <f t="shared" si="2"/>
      </c>
      <c r="V36" s="251">
        <f t="shared" si="12"/>
      </c>
      <c r="W36" s="252"/>
    </row>
    <row r="37" spans="2:23" ht="16.5" customHeight="1">
      <c r="B37" s="238"/>
      <c r="C37" s="477"/>
      <c r="D37" s="503"/>
      <c r="E37" s="503"/>
      <c r="F37" s="503"/>
      <c r="G37" s="484"/>
      <c r="H37" s="486"/>
      <c r="I37" s="23">
        <f t="shared" si="0"/>
      </c>
      <c r="J37" s="24">
        <f t="shared" si="1"/>
      </c>
      <c r="K37" s="490"/>
      <c r="L37" s="489">
        <f>IF(D37="","","--")</f>
      </c>
      <c r="M37" s="401" t="str">
        <f>IF(K37="P",5*ROUND(IF(J37&gt;10,J37,10)/60,2),"--")</f>
        <v>--</v>
      </c>
      <c r="N37" s="310" t="str">
        <f>IF(K37="RP",5*L37/100*ROUND(IF(J37&gt;10,J37,10)/60,2),"--")</f>
        <v>--</v>
      </c>
      <c r="O37" s="412" t="str">
        <f>IF(K37="F",50*IF(J37&lt;300,ROUND(IF(J37&gt;10,J37,10)/60,2),5),"--")</f>
        <v>--</v>
      </c>
      <c r="P37" s="413" t="str">
        <f>IF(AND(K37="F",J37&gt;300),(ROUND(J37/60,2)-5)*10,"--")</f>
        <v>--</v>
      </c>
      <c r="Q37" s="382" t="str">
        <f>IF(K37="R",50*L37/100*IF(J37&lt;300,ROUND(IF(J37&gt;10,J37,10)/60,2),5),"--")</f>
        <v>--</v>
      </c>
      <c r="R37" s="421" t="str">
        <f>IF(AND(K37="R",J37&gt;300),(ROUND(J37/60,2)-5)*10*L37/100,"--")</f>
        <v>--</v>
      </c>
      <c r="S37" s="429" t="str">
        <f>IF(K37="RF",ROUND(J37/60,2)*10,"--")</f>
        <v>--</v>
      </c>
      <c r="T37" s="435" t="str">
        <f>IF(K37="R",ROUND(J37/60,2)*10*L37/100,"--")</f>
        <v>--</v>
      </c>
      <c r="U37" s="391">
        <f t="shared" si="2"/>
      </c>
      <c r="V37" s="251">
        <f t="shared" si="12"/>
      </c>
      <c r="W37" s="252"/>
    </row>
    <row r="38" spans="2:23" ht="16.5" customHeight="1">
      <c r="B38" s="238"/>
      <c r="C38" s="477"/>
      <c r="D38" s="503"/>
      <c r="E38" s="503"/>
      <c r="F38" s="503"/>
      <c r="G38" s="484"/>
      <c r="H38" s="486"/>
      <c r="I38" s="23">
        <f t="shared" si="0"/>
      </c>
      <c r="J38" s="24">
        <f t="shared" si="1"/>
      </c>
      <c r="K38" s="490"/>
      <c r="L38" s="489">
        <f>IF(D38="","","--")</f>
      </c>
      <c r="M38" s="401" t="str">
        <f>IF(K38="P",5*ROUND(IF(J38&gt;10,J38,10)/60,2),"--")</f>
        <v>--</v>
      </c>
      <c r="N38" s="310" t="str">
        <f>IF(K38="RP",5*L38/100*ROUND(IF(J38&gt;10,J38,10)/60,2),"--")</f>
        <v>--</v>
      </c>
      <c r="O38" s="412" t="str">
        <f>IF(K38="F",50*IF(J38&lt;300,ROUND(IF(J38&gt;10,J38,10)/60,2),5),"--")</f>
        <v>--</v>
      </c>
      <c r="P38" s="413" t="str">
        <f>IF(AND(K38="F",J38&gt;300),(ROUND(J38/60,2)-5)*10,"--")</f>
        <v>--</v>
      </c>
      <c r="Q38" s="382" t="str">
        <f>IF(K38="R",50*L38/100*IF(J38&lt;300,ROUND(IF(J38&gt;10,J38,10)/60,2),5),"--")</f>
        <v>--</v>
      </c>
      <c r="R38" s="421" t="str">
        <f>IF(AND(K38="R",J38&gt;300),(ROUND(J38/60,2)-5)*10*L38/100,"--")</f>
        <v>--</v>
      </c>
      <c r="S38" s="429" t="str">
        <f>IF(K38="RF",ROUND(J38/60,2)*10,"--")</f>
        <v>--</v>
      </c>
      <c r="T38" s="435" t="str">
        <f>IF(K38="R",ROUND(J38/60,2)*10*L38/100,"--")</f>
        <v>--</v>
      </c>
      <c r="U38" s="391">
        <f t="shared" si="2"/>
      </c>
      <c r="V38" s="251">
        <f t="shared" si="12"/>
      </c>
      <c r="W38" s="252"/>
    </row>
    <row r="39" spans="2:23" ht="16.5" customHeight="1" thickBot="1">
      <c r="B39" s="238"/>
      <c r="C39" s="481"/>
      <c r="D39" s="504"/>
      <c r="E39" s="504"/>
      <c r="F39" s="504"/>
      <c r="G39" s="487"/>
      <c r="H39" s="487"/>
      <c r="I39" s="253"/>
      <c r="J39" s="253"/>
      <c r="K39" s="487"/>
      <c r="L39" s="496"/>
      <c r="M39" s="402"/>
      <c r="N39" s="405"/>
      <c r="O39" s="414"/>
      <c r="P39" s="415"/>
      <c r="Q39" s="422"/>
      <c r="R39" s="423"/>
      <c r="S39" s="430"/>
      <c r="T39" s="436"/>
      <c r="U39" s="475"/>
      <c r="V39" s="474"/>
      <c r="W39" s="252"/>
    </row>
    <row r="40" spans="2:23" ht="16.5" customHeight="1" thickBot="1" thickTop="1">
      <c r="B40" s="238"/>
      <c r="C40" s="207" t="s">
        <v>44</v>
      </c>
      <c r="D40" s="208" t="s">
        <v>45</v>
      </c>
      <c r="E40" s="29"/>
      <c r="F40" s="32"/>
      <c r="G40" s="32"/>
      <c r="H40" s="32"/>
      <c r="I40" s="32"/>
      <c r="J40" s="32"/>
      <c r="K40" s="254"/>
      <c r="L40" s="254"/>
      <c r="M40" s="307">
        <f aca="true" t="shared" si="13" ref="M40:S40">SUM(N17:N39)</f>
        <v>0</v>
      </c>
      <c r="N40" s="424">
        <f t="shared" si="13"/>
        <v>0</v>
      </c>
      <c r="O40" s="424">
        <f t="shared" si="13"/>
        <v>0</v>
      </c>
      <c r="P40" s="425">
        <f t="shared" si="13"/>
        <v>0</v>
      </c>
      <c r="Q40" s="425">
        <f t="shared" si="13"/>
        <v>0</v>
      </c>
      <c r="R40" s="431">
        <f t="shared" si="13"/>
        <v>671.2</v>
      </c>
      <c r="S40" s="437">
        <f t="shared" si="13"/>
        <v>0</v>
      </c>
      <c r="T40" s="255"/>
      <c r="U40" s="255"/>
      <c r="V40" s="56">
        <f>SUM(V17:V39)</f>
        <v>0</v>
      </c>
      <c r="W40" s="473"/>
    </row>
    <row r="41" spans="2:23" s="256" customFormat="1" ht="9.75" thickTop="1">
      <c r="B41" s="257"/>
      <c r="C41" s="209"/>
      <c r="D41" s="211" t="s">
        <v>46</v>
      </c>
      <c r="E41" s="210"/>
      <c r="F41" s="217"/>
      <c r="G41" s="217"/>
      <c r="H41" s="217"/>
      <c r="I41" s="217"/>
      <c r="J41" s="217"/>
      <c r="K41" s="258"/>
      <c r="L41" s="219"/>
      <c r="M41" s="219"/>
      <c r="N41" s="259"/>
      <c r="O41" s="259"/>
      <c r="P41" s="260"/>
      <c r="Q41" s="260"/>
      <c r="R41" s="260"/>
      <c r="S41" s="260"/>
      <c r="T41" s="261"/>
      <c r="U41" s="230"/>
      <c r="V41" s="230"/>
      <c r="W41" s="262"/>
    </row>
    <row r="42" spans="2:23" ht="16.5" customHeight="1" thickBot="1">
      <c r="B42" s="263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5"/>
      <c r="U42" s="264"/>
      <c r="V42" s="264"/>
      <c r="W42" s="266"/>
    </row>
    <row r="43" spans="2:22" ht="16.5" customHeight="1" thickTop="1">
      <c r="B43" s="12"/>
      <c r="T43" s="3"/>
      <c r="V43" s="12"/>
    </row>
    <row r="44" ht="16.5" customHeight="1">
      <c r="T44" s="3"/>
    </row>
    <row r="45" ht="16.5" customHeight="1">
      <c r="T45" s="3"/>
    </row>
    <row r="46" ht="12.75">
      <c r="T46" s="3"/>
    </row>
    <row r="47" ht="12.75">
      <c r="T47" s="3"/>
    </row>
    <row r="48" ht="12.75">
      <c r="T48" s="3"/>
    </row>
    <row r="49" ht="12.75">
      <c r="T49" s="3"/>
    </row>
    <row r="50" ht="12.75">
      <c r="T50" s="3"/>
    </row>
    <row r="51" ht="12.75">
      <c r="T51" s="3"/>
    </row>
    <row r="52" ht="12.75">
      <c r="T52" s="3"/>
    </row>
    <row r="53" ht="12.75">
      <c r="T53" s="3"/>
    </row>
    <row r="54" ht="12.75">
      <c r="T54" s="3"/>
    </row>
    <row r="55" ht="12.75">
      <c r="T55" s="3"/>
    </row>
    <row r="56" ht="12.75">
      <c r="T56" s="3"/>
    </row>
    <row r="57" ht="12.75">
      <c r="T57" s="3"/>
    </row>
    <row r="58" ht="12.75">
      <c r="T58" s="3"/>
    </row>
    <row r="59" ht="12.75">
      <c r="T59" s="3"/>
    </row>
    <row r="60" ht="12.75">
      <c r="T60" s="3"/>
    </row>
    <row r="61" ht="12.75">
      <c r="T61" s="3"/>
    </row>
    <row r="62" ht="12.75">
      <c r="T62" s="3"/>
    </row>
    <row r="63" ht="12.75">
      <c r="T63" s="3"/>
    </row>
    <row r="64" ht="12.75">
      <c r="T64" s="3"/>
    </row>
    <row r="65" ht="12.75">
      <c r="T65" s="3"/>
    </row>
    <row r="66" ht="12.75">
      <c r="T66" s="3"/>
    </row>
    <row r="67" ht="12.75">
      <c r="T67" s="3"/>
    </row>
    <row r="68" ht="12.75">
      <c r="T68" s="3"/>
    </row>
    <row r="69" ht="12.75">
      <c r="T69" s="3"/>
    </row>
    <row r="70" ht="12.75">
      <c r="T70" s="3"/>
    </row>
    <row r="71" ht="12.75">
      <c r="T71" s="3"/>
    </row>
    <row r="72" ht="12.75">
      <c r="T72" s="3"/>
    </row>
    <row r="73" ht="12.75">
      <c r="T73" s="3"/>
    </row>
    <row r="74" ht="12.75">
      <c r="T74" s="3"/>
    </row>
    <row r="75" ht="12.75">
      <c r="T75" s="3"/>
    </row>
    <row r="76" ht="12.75">
      <c r="T76" s="3"/>
    </row>
    <row r="77" ht="12.75">
      <c r="T77" s="3"/>
    </row>
    <row r="78" ht="12.75">
      <c r="T78" s="3"/>
    </row>
    <row r="79" ht="12.75">
      <c r="T79" s="3"/>
    </row>
    <row r="80" ht="12.75">
      <c r="T80" s="3"/>
    </row>
    <row r="81" ht="12.75">
      <c r="T81" s="3"/>
    </row>
    <row r="82" ht="12.75">
      <c r="T82" s="3"/>
    </row>
    <row r="83" ht="12.75">
      <c r="T83" s="3"/>
    </row>
    <row r="84" ht="12.75">
      <c r="T84" s="3"/>
    </row>
    <row r="85" ht="12.75">
      <c r="T85" s="3"/>
    </row>
    <row r="86" ht="12.75">
      <c r="T86" s="3"/>
    </row>
    <row r="87" ht="12.75">
      <c r="T87" s="3"/>
    </row>
    <row r="88" ht="12.75">
      <c r="T88" s="3"/>
    </row>
    <row r="89" ht="12.75">
      <c r="T89" s="3"/>
    </row>
    <row r="90" ht="12.75">
      <c r="T90" s="3"/>
    </row>
    <row r="91" ht="12.75">
      <c r="T91" s="3"/>
    </row>
    <row r="92" ht="12.75">
      <c r="T92" s="3"/>
    </row>
    <row r="93" ht="12.75">
      <c r="T93" s="3"/>
    </row>
    <row r="94" ht="12.75">
      <c r="T94" s="3"/>
    </row>
    <row r="95" ht="12.75">
      <c r="T95" s="3"/>
    </row>
    <row r="96" ht="12.75">
      <c r="T96" s="3"/>
    </row>
    <row r="97" ht="12.75">
      <c r="T97" s="3"/>
    </row>
    <row r="98" ht="12.75">
      <c r="T98" s="3"/>
    </row>
    <row r="99" ht="12.75">
      <c r="T99" s="3"/>
    </row>
    <row r="100" ht="12.75">
      <c r="T100" s="3"/>
    </row>
    <row r="101" ht="12.75">
      <c r="T101" s="3"/>
    </row>
    <row r="102" ht="12.75">
      <c r="T102" s="3"/>
    </row>
    <row r="103" ht="12.75">
      <c r="T103" s="3"/>
    </row>
    <row r="104" ht="12.75">
      <c r="T104" s="3"/>
    </row>
    <row r="105" ht="12.75">
      <c r="T105" s="3"/>
    </row>
    <row r="106" ht="12.75">
      <c r="T106" s="3"/>
    </row>
    <row r="107" ht="12.75">
      <c r="T107" s="3"/>
    </row>
    <row r="108" ht="12.75">
      <c r="T108" s="3"/>
    </row>
    <row r="109" ht="12.75">
      <c r="T109" s="3"/>
    </row>
    <row r="110" ht="12.75">
      <c r="T110" s="3"/>
    </row>
    <row r="111" ht="12.75">
      <c r="T111" s="3"/>
    </row>
    <row r="112" ht="12.75">
      <c r="T112" s="3"/>
    </row>
    <row r="113" ht="12.75">
      <c r="T113" s="3"/>
    </row>
    <row r="114" ht="12.75">
      <c r="T114" s="3"/>
    </row>
    <row r="115" ht="12.75">
      <c r="T115" s="3"/>
    </row>
    <row r="116" ht="12.75">
      <c r="T116" s="3"/>
    </row>
    <row r="117" ht="12.75">
      <c r="T117" s="3"/>
    </row>
    <row r="118" ht="12.75">
      <c r="T118" s="3"/>
    </row>
    <row r="119" ht="12.75">
      <c r="T119" s="3"/>
    </row>
    <row r="120" ht="12.75">
      <c r="T120" s="3"/>
    </row>
    <row r="121" ht="12.75">
      <c r="T121" s="3"/>
    </row>
    <row r="122" ht="12.75">
      <c r="T122" s="3"/>
    </row>
    <row r="123" ht="12.75">
      <c r="T123" s="3"/>
    </row>
    <row r="124" ht="12.75">
      <c r="T124" s="3"/>
    </row>
    <row r="125" ht="12.75">
      <c r="T125" s="3"/>
    </row>
    <row r="126" ht="12.75">
      <c r="T126" s="3"/>
    </row>
    <row r="127" ht="12.75">
      <c r="T127" s="3"/>
    </row>
    <row r="128" ht="12.75">
      <c r="T128" s="3"/>
    </row>
    <row r="129" ht="12.75">
      <c r="T129" s="3"/>
    </row>
    <row r="130" ht="12.75">
      <c r="T130" s="3"/>
    </row>
    <row r="131" ht="12.75">
      <c r="T131" s="3"/>
    </row>
    <row r="132" ht="12.75">
      <c r="T132" s="3"/>
    </row>
    <row r="133" ht="12.75">
      <c r="T133" s="3"/>
    </row>
    <row r="134" ht="12.75">
      <c r="T134" s="3"/>
    </row>
    <row r="135" ht="12.75">
      <c r="T135" s="3"/>
    </row>
    <row r="136" ht="12.75">
      <c r="T136" s="3"/>
    </row>
    <row r="137" ht="12.75">
      <c r="T137" s="3"/>
    </row>
    <row r="138" ht="12.75">
      <c r="T138" s="3"/>
    </row>
    <row r="139" ht="12.75">
      <c r="T139" s="3"/>
    </row>
    <row r="140" ht="12.75">
      <c r="T140" s="3"/>
    </row>
    <row r="141" ht="12.75">
      <c r="T141" s="3"/>
    </row>
    <row r="142" ht="12.75">
      <c r="T142" s="3"/>
    </row>
    <row r="143" ht="12.75">
      <c r="T143" s="3"/>
    </row>
    <row r="144" ht="12.75">
      <c r="T144" s="3"/>
    </row>
    <row r="145" ht="12.75">
      <c r="T145" s="3"/>
    </row>
    <row r="146" ht="12.75">
      <c r="T146" s="3"/>
    </row>
    <row r="147" ht="12.75">
      <c r="T147" s="3"/>
    </row>
    <row r="148" ht="12.75">
      <c r="T148" s="3"/>
    </row>
    <row r="149" ht="12.75">
      <c r="T149" s="3"/>
    </row>
    <row r="150" ht="12.75">
      <c r="T150" s="3"/>
    </row>
    <row r="151" ht="12.75">
      <c r="T151" s="3"/>
    </row>
    <row r="152" ht="12.75">
      <c r="T152" s="3"/>
    </row>
    <row r="153" ht="12.75">
      <c r="T153" s="3"/>
    </row>
    <row r="154" ht="12.75">
      <c r="T154" s="3"/>
    </row>
    <row r="155" ht="12.75">
      <c r="T155" s="3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AE45"/>
  <sheetViews>
    <sheetView zoomScale="75" zoomScaleNormal="75" workbookViewId="0" topLeftCell="D1">
      <selection activeCell="I95" sqref="I95:S95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42.00390625" style="0" customWidth="1"/>
    <col min="5" max="5" width="8.7109375" style="0" customWidth="1"/>
    <col min="6" max="6" width="8.421875" style="0" customWidth="1"/>
    <col min="7" max="7" width="3.8515625" style="0" customWidth="1"/>
    <col min="8" max="8" width="10.421875" style="0" hidden="1" customWidth="1"/>
    <col min="9" max="9" width="11.7109375" style="0" hidden="1" customWidth="1"/>
    <col min="10" max="11" width="15.7109375" style="0" customWidth="1"/>
    <col min="12" max="14" width="9.7109375" style="0" customWidth="1"/>
    <col min="15" max="15" width="6.00390625" style="0" customWidth="1"/>
    <col min="16" max="16" width="5.421875" style="0" customWidth="1"/>
    <col min="17" max="17" width="6.00390625" style="0" customWidth="1"/>
    <col min="18" max="18" width="15.140625" style="0" hidden="1" customWidth="1"/>
    <col min="19" max="19" width="17.28125" style="0" hidden="1" customWidth="1"/>
    <col min="20" max="20" width="12.7109375" style="0" hidden="1" customWidth="1"/>
    <col min="21" max="21" width="13.7109375" style="0" hidden="1" customWidth="1"/>
    <col min="22" max="22" width="13.00390625" style="0" hidden="1" customWidth="1"/>
    <col min="23" max="23" width="14.8515625" style="0" hidden="1" customWidth="1"/>
    <col min="24" max="24" width="12.7109375" style="0" hidden="1" customWidth="1"/>
    <col min="25" max="25" width="14.00390625" style="0" hidden="1" customWidth="1"/>
    <col min="26" max="27" width="14.140625" style="0" hidden="1" customWidth="1"/>
    <col min="28" max="28" width="8.7109375" style="0" customWidth="1"/>
    <col min="29" max="29" width="15.00390625" style="0" hidden="1" customWidth="1"/>
    <col min="30" max="31" width="15.7109375" style="0" customWidth="1"/>
    <col min="32" max="32" width="17.8515625" style="0" customWidth="1"/>
    <col min="33" max="33" width="15.00390625" style="0" customWidth="1"/>
    <col min="34" max="34" width="14.28125" style="0" customWidth="1"/>
    <col min="35" max="35" width="14.00390625" style="0" customWidth="1"/>
    <col min="36" max="36" width="4.7109375" style="0" customWidth="1"/>
    <col min="37" max="37" width="7.57421875" style="0" customWidth="1"/>
    <col min="38" max="39" width="4.140625" style="0" customWidth="1"/>
    <col min="40" max="40" width="7.140625" style="0" customWidth="1"/>
    <col min="41" max="41" width="5.28125" style="0" customWidth="1"/>
    <col min="42" max="42" width="5.421875" style="0" customWidth="1"/>
    <col min="43" max="43" width="4.7109375" style="0" customWidth="1"/>
    <col min="44" max="44" width="5.28125" style="0" customWidth="1"/>
    <col min="45" max="46" width="13.28125" style="0" customWidth="1"/>
    <col min="47" max="47" width="6.57421875" style="0" customWidth="1"/>
    <col min="48" max="48" width="6.421875" style="0" customWidth="1"/>
    <col min="53" max="53" width="12.7109375" style="0" customWidth="1"/>
    <col min="57" max="57" width="21.00390625" style="0" customWidth="1"/>
  </cols>
  <sheetData>
    <row r="1" spans="1:31" s="61" customFormat="1" ht="31.5" customHeight="1">
      <c r="A1" s="111"/>
      <c r="AE1" s="455"/>
    </row>
    <row r="2" spans="1:31" s="61" customFormat="1" ht="26.25">
      <c r="A2" s="111"/>
      <c r="B2" s="62" t="str">
        <f>+'tot-0401'!B2</f>
        <v>ANEXO I-2a a la Resolución ENRE N° 686 /2007.-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</row>
    <row r="3" s="16" customFormat="1" ht="12.75">
      <c r="A3" s="44"/>
    </row>
    <row r="4" spans="1:2" s="68" customFormat="1" ht="11.25">
      <c r="A4" s="66" t="s">
        <v>11</v>
      </c>
      <c r="B4" s="144"/>
    </row>
    <row r="5" spans="1:2" s="68" customFormat="1" ht="11.25">
      <c r="A5" s="66" t="s">
        <v>12</v>
      </c>
      <c r="B5" s="144"/>
    </row>
    <row r="6" s="16" customFormat="1" ht="13.5" thickBot="1"/>
    <row r="7" spans="2:31" s="16" customFormat="1" ht="13.5" thickTop="1">
      <c r="B7" s="112"/>
      <c r="C7" s="113"/>
      <c r="D7" s="113"/>
      <c r="E7" s="114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5"/>
    </row>
    <row r="8" spans="2:31" s="15" customFormat="1" ht="20.25">
      <c r="B8" s="88"/>
      <c r="C8" s="87"/>
      <c r="D8" s="282" t="s">
        <v>23</v>
      </c>
      <c r="E8" s="87"/>
      <c r="F8" s="87"/>
      <c r="G8" s="87"/>
      <c r="H8" s="87"/>
      <c r="N8" s="87"/>
      <c r="O8" s="87"/>
      <c r="P8" s="283"/>
      <c r="Q8" s="283"/>
      <c r="R8" s="87"/>
      <c r="S8" s="87"/>
      <c r="T8" s="87"/>
      <c r="U8" s="87"/>
      <c r="V8" s="87"/>
      <c r="W8" s="87"/>
      <c r="X8" s="87"/>
      <c r="Y8" s="87"/>
      <c r="Z8" s="11"/>
      <c r="AA8" s="11"/>
      <c r="AB8" s="87"/>
      <c r="AC8" s="87"/>
      <c r="AD8"/>
      <c r="AE8" s="284"/>
    </row>
    <row r="9" spans="2:31" s="16" customFormat="1" ht="12.75">
      <c r="B9" s="9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16"/>
    </row>
    <row r="10" spans="2:31" s="15" customFormat="1" ht="20.25">
      <c r="B10" s="88"/>
      <c r="C10" s="87"/>
      <c r="D10" s="282" t="s">
        <v>93</v>
      </c>
      <c r="E10" s="87"/>
      <c r="F10" s="87"/>
      <c r="G10" s="87"/>
      <c r="H10" s="87"/>
      <c r="N10" s="87"/>
      <c r="O10" s="87"/>
      <c r="P10" s="283"/>
      <c r="Q10" s="283"/>
      <c r="R10" s="87"/>
      <c r="S10" s="87"/>
      <c r="T10" s="87"/>
      <c r="U10" s="87"/>
      <c r="V10" s="87"/>
      <c r="W10" s="87"/>
      <c r="X10" s="87"/>
      <c r="Y10" s="87"/>
      <c r="Z10" s="11"/>
      <c r="AA10" s="11"/>
      <c r="AB10" s="87"/>
      <c r="AC10" s="87"/>
      <c r="AD10"/>
      <c r="AE10" s="284"/>
    </row>
    <row r="11" spans="2:31" s="16" customFormat="1" ht="12.75">
      <c r="B11" s="93"/>
      <c r="C11" s="14"/>
      <c r="D11" s="14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16"/>
    </row>
    <row r="12" spans="2:31" s="15" customFormat="1" ht="21">
      <c r="B12" s="81" t="str">
        <f>+'tot-0401'!B14</f>
        <v>Desde el 01 al 31 de enero de 2004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129"/>
      <c r="O12" s="129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11"/>
      <c r="AA12" s="11"/>
      <c r="AB12" s="84"/>
      <c r="AC12" s="84"/>
      <c r="AD12" s="84"/>
      <c r="AE12" s="130"/>
    </row>
    <row r="13" spans="2:31" s="16" customFormat="1" ht="16.5" customHeight="1" thickBot="1">
      <c r="B13" s="93"/>
      <c r="C13" s="14"/>
      <c r="D13" s="14"/>
      <c r="E13" s="2"/>
      <c r="F13" s="2"/>
      <c r="G13" s="14"/>
      <c r="H13" s="14"/>
      <c r="I13" s="14"/>
      <c r="J13" s="125"/>
      <c r="K13" s="14"/>
      <c r="L13" s="14"/>
      <c r="M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16"/>
    </row>
    <row r="14" spans="2:31" s="16" customFormat="1" ht="16.5" customHeight="1" thickBot="1" thickTop="1">
      <c r="B14" s="93"/>
      <c r="C14" s="14"/>
      <c r="D14" s="14"/>
      <c r="E14" s="2"/>
      <c r="F14" s="2"/>
      <c r="G14" s="14"/>
      <c r="H14" s="14"/>
      <c r="I14" s="14"/>
      <c r="J14" s="125"/>
      <c r="K14" s="14"/>
      <c r="L14" s="14"/>
      <c r="M14" s="717" t="s">
        <v>80</v>
      </c>
      <c r="N14" s="718"/>
      <c r="O14" s="718"/>
      <c r="P14" s="718"/>
      <c r="Q14" s="719"/>
      <c r="R14" s="466" t="b">
        <f>AND(Q15&lt;=0.82,Q16&lt;=1.17)</f>
        <v>1</v>
      </c>
      <c r="S14" s="466" t="b">
        <f>AND(Q15&gt;=1.17,Q16&gt;=1.7)</f>
        <v>0</v>
      </c>
      <c r="T14" s="467">
        <f>((Q16/1.17)+(Q15/0.82))*0.852446393-1.454892785</f>
        <v>-0.43113967470752534</v>
      </c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16"/>
    </row>
    <row r="15" spans="2:31" s="16" customFormat="1" ht="16.5" customHeight="1" thickBot="1" thickTop="1">
      <c r="B15" s="93"/>
      <c r="C15" s="14"/>
      <c r="D15" s="131" t="s">
        <v>47</v>
      </c>
      <c r="E15" s="450">
        <v>56.353</v>
      </c>
      <c r="F15" s="206"/>
      <c r="G15" s="14"/>
      <c r="H15" s="14"/>
      <c r="I15" s="14"/>
      <c r="J15"/>
      <c r="K15"/>
      <c r="L15" s="14"/>
      <c r="M15" s="468" t="s">
        <v>81</v>
      </c>
      <c r="N15" s="469"/>
      <c r="O15" s="469"/>
      <c r="P15" s="469"/>
      <c r="Q15" s="470">
        <v>0.34</v>
      </c>
      <c r="R15" s="471"/>
      <c r="S15" s="466"/>
      <c r="T15" s="467"/>
      <c r="U15" s="14"/>
      <c r="V15" s="14"/>
      <c r="W15" s="14"/>
      <c r="X15" s="14"/>
      <c r="Y15" s="14"/>
      <c r="Z15" s="84"/>
      <c r="AA15" s="84"/>
      <c r="AB15" s="14"/>
      <c r="AC15" s="14"/>
      <c r="AD15" s="14"/>
      <c r="AE15" s="116"/>
    </row>
    <row r="16" spans="2:31" s="16" customFormat="1" ht="16.5" customHeight="1" thickBot="1" thickTop="1">
      <c r="B16" s="93"/>
      <c r="C16" s="14"/>
      <c r="D16" s="131" t="s">
        <v>48</v>
      </c>
      <c r="E16" s="450">
        <v>46.961</v>
      </c>
      <c r="F16" s="206"/>
      <c r="G16" s="14"/>
      <c r="H16" s="14"/>
      <c r="I16" s="14"/>
      <c r="J16" s="232" t="s">
        <v>56</v>
      </c>
      <c r="K16" s="285">
        <f>4*Q17</f>
        <v>1</v>
      </c>
      <c r="L16" s="14"/>
      <c r="M16" s="468" t="s">
        <v>82</v>
      </c>
      <c r="N16" s="469"/>
      <c r="O16" s="469"/>
      <c r="P16" s="469"/>
      <c r="Q16" s="470">
        <v>0.92</v>
      </c>
      <c r="R16" s="471"/>
      <c r="S16" s="466"/>
      <c r="T16" s="467"/>
      <c r="U16" s="14"/>
      <c r="V16" s="118"/>
      <c r="W16" s="118"/>
      <c r="X16" s="118"/>
      <c r="Y16" s="118"/>
      <c r="Z16" s="14"/>
      <c r="AA16" s="14"/>
      <c r="AB16" s="118"/>
      <c r="AE16" s="116"/>
    </row>
    <row r="17" spans="2:31" s="16" customFormat="1" ht="16.5" customHeight="1" thickBot="1" thickTop="1">
      <c r="B17" s="93"/>
      <c r="C17" s="14"/>
      <c r="D17" s="457"/>
      <c r="E17" s="458"/>
      <c r="F17" s="465"/>
      <c r="G17" s="14"/>
      <c r="H17" s="14"/>
      <c r="I17" s="14"/>
      <c r="J17" s="232"/>
      <c r="K17" s="285"/>
      <c r="L17" s="14"/>
      <c r="M17" s="468" t="s">
        <v>83</v>
      </c>
      <c r="N17" s="469"/>
      <c r="O17" s="469"/>
      <c r="P17" s="469"/>
      <c r="Q17" s="470">
        <f>IF(R14=TRUE,0.25,IF(S14=TRUE,1,T14))</f>
        <v>0.25</v>
      </c>
      <c r="R17" s="472"/>
      <c r="S17" s="472"/>
      <c r="T17" s="472"/>
      <c r="U17" s="14"/>
      <c r="V17" s="118"/>
      <c r="W17" s="118"/>
      <c r="X17" s="118"/>
      <c r="Y17" s="118"/>
      <c r="Z17" s="14"/>
      <c r="AA17" s="14"/>
      <c r="AB17" s="118"/>
      <c r="AE17" s="116"/>
    </row>
    <row r="18" spans="2:31" s="16" customFormat="1" ht="16.5" customHeight="1" thickBot="1" thickTop="1">
      <c r="B18" s="93"/>
      <c r="C18" s="14"/>
      <c r="D18" s="14"/>
      <c r="E18" s="1"/>
      <c r="F18" s="14"/>
      <c r="G18" s="14"/>
      <c r="H18" s="14"/>
      <c r="I18" s="14"/>
      <c r="J18" s="14"/>
      <c r="K18" s="14"/>
      <c r="L18" s="14"/>
      <c r="M18" s="14"/>
      <c r="N18" s="119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16"/>
    </row>
    <row r="19" spans="2:31" s="16" customFormat="1" ht="33.75" customHeight="1" thickBot="1" thickTop="1">
      <c r="B19" s="93"/>
      <c r="C19" s="132" t="s">
        <v>24</v>
      </c>
      <c r="D19" s="286" t="s">
        <v>14</v>
      </c>
      <c r="E19" s="138" t="s">
        <v>25</v>
      </c>
      <c r="F19" s="139" t="s">
        <v>26</v>
      </c>
      <c r="G19" s="134" t="s">
        <v>27</v>
      </c>
      <c r="H19" s="300" t="s">
        <v>28</v>
      </c>
      <c r="I19" s="302" t="s">
        <v>29</v>
      </c>
      <c r="J19" s="135" t="s">
        <v>30</v>
      </c>
      <c r="K19" s="136" t="s">
        <v>31</v>
      </c>
      <c r="L19" s="140" t="s">
        <v>32</v>
      </c>
      <c r="M19" s="141" t="s">
        <v>33</v>
      </c>
      <c r="N19" s="140" t="s">
        <v>34</v>
      </c>
      <c r="O19" s="140" t="s">
        <v>35</v>
      </c>
      <c r="P19" s="136" t="s">
        <v>36</v>
      </c>
      <c r="Q19" s="135" t="s">
        <v>37</v>
      </c>
      <c r="R19" s="308" t="s">
        <v>38</v>
      </c>
      <c r="S19" s="311" t="s">
        <v>39</v>
      </c>
      <c r="T19" s="267" t="s">
        <v>57</v>
      </c>
      <c r="U19" s="268"/>
      <c r="V19" s="269"/>
      <c r="W19" s="321" t="s">
        <v>58</v>
      </c>
      <c r="X19" s="322"/>
      <c r="Y19" s="323"/>
      <c r="Z19" s="293" t="s">
        <v>40</v>
      </c>
      <c r="AA19" s="294" t="s">
        <v>41</v>
      </c>
      <c r="AB19" s="142" t="s">
        <v>42</v>
      </c>
      <c r="AC19" s="331" t="s">
        <v>43</v>
      </c>
      <c r="AD19" s="142" t="s">
        <v>43</v>
      </c>
      <c r="AE19" s="120"/>
    </row>
    <row r="20" spans="2:31" s="16" customFormat="1" ht="16.5" customHeight="1" thickTop="1">
      <c r="B20" s="93"/>
      <c r="C20" s="290"/>
      <c r="D20" s="299"/>
      <c r="E20" s="299"/>
      <c r="F20" s="290"/>
      <c r="G20" s="290"/>
      <c r="H20" s="301"/>
      <c r="I20" s="303"/>
      <c r="J20" s="290"/>
      <c r="K20" s="290"/>
      <c r="L20" s="290"/>
      <c r="M20" s="290"/>
      <c r="N20" s="290"/>
      <c r="O20" s="290"/>
      <c r="P20" s="290"/>
      <c r="Q20" s="290"/>
      <c r="R20" s="306"/>
      <c r="S20" s="312"/>
      <c r="T20" s="315"/>
      <c r="U20" s="316"/>
      <c r="V20" s="317"/>
      <c r="W20" s="324"/>
      <c r="X20" s="324"/>
      <c r="Y20" s="325"/>
      <c r="Z20" s="291"/>
      <c r="AA20" s="295"/>
      <c r="AB20" s="290"/>
      <c r="AC20" s="440"/>
      <c r="AD20" s="439"/>
      <c r="AE20" s="116"/>
    </row>
    <row r="21" spans="2:31" s="16" customFormat="1" ht="16.5" customHeight="1">
      <c r="B21" s="93"/>
      <c r="C21" s="17"/>
      <c r="D21" s="17"/>
      <c r="E21" s="57"/>
      <c r="F21" s="17"/>
      <c r="G21" s="18"/>
      <c r="H21" s="271"/>
      <c r="I21" s="304"/>
      <c r="J21" s="19"/>
      <c r="K21" s="14"/>
      <c r="L21" s="17"/>
      <c r="M21" s="17"/>
      <c r="N21" s="18"/>
      <c r="O21" s="18"/>
      <c r="P21" s="17"/>
      <c r="Q21" s="17"/>
      <c r="R21" s="309"/>
      <c r="S21" s="313"/>
      <c r="T21" s="289"/>
      <c r="U21" s="287"/>
      <c r="V21" s="288"/>
      <c r="W21" s="326"/>
      <c r="X21" s="326"/>
      <c r="Y21" s="327"/>
      <c r="Z21" s="292"/>
      <c r="AA21" s="296"/>
      <c r="AB21" s="17"/>
      <c r="AC21" s="333"/>
      <c r="AD21" s="143"/>
      <c r="AE21" s="116"/>
    </row>
    <row r="22" spans="2:31" s="16" customFormat="1" ht="16.5" customHeight="1">
      <c r="B22" s="93"/>
      <c r="C22" s="477" t="s">
        <v>88</v>
      </c>
      <c r="D22" s="572" t="s">
        <v>2</v>
      </c>
      <c r="E22" s="573">
        <v>500</v>
      </c>
      <c r="F22" s="572">
        <v>506</v>
      </c>
      <c r="G22" s="572" t="s">
        <v>1</v>
      </c>
      <c r="H22" s="280">
        <f aca="true" t="shared" si="0" ref="H22:H36">IF(G22="A",200,IF(G22="B",60,20))</f>
        <v>20</v>
      </c>
      <c r="I22" s="451">
        <f>IF(E22=500,IF(F22&lt;100,$E$15,F22*$E$15/100),IF(F22&lt;100,$E$16,F22*$E$16/100))</f>
        <v>285.14618</v>
      </c>
      <c r="J22" s="484">
        <v>37992.103472222225</v>
      </c>
      <c r="K22" s="485">
        <v>37992.118055555555</v>
      </c>
      <c r="L22" s="23">
        <f>IF(D22="","",(K22-J22)*24)</f>
        <v>0.3499999999185093</v>
      </c>
      <c r="M22" s="24">
        <f>IF(D22="","",ROUND((K22-J22)*24*60,0))</f>
        <v>21</v>
      </c>
      <c r="N22" s="488" t="s">
        <v>87</v>
      </c>
      <c r="O22" s="507" t="str">
        <f>IF(D22="","","--")</f>
        <v>--</v>
      </c>
      <c r="P22" s="22" t="str">
        <f>IF(D22="","","NO")</f>
        <v>NO</v>
      </c>
      <c r="Q22" s="490" t="str">
        <f>IF(D22="","",IF(OR(N22="P",N22="RP"),"--","NO"))</f>
        <v>--</v>
      </c>
      <c r="R22" s="508">
        <f>IF(N22="P",I22*H22*ROUND(M22/60,2)*0.01,"--")</f>
        <v>19.9602326</v>
      </c>
      <c r="S22" s="509" t="str">
        <f>IF(N22="RP",I22*H22*ROUND(M22/60,2)*0.01*O22/100,"--")</f>
        <v>--</v>
      </c>
      <c r="T22" s="491" t="str">
        <f>IF(AND(N22="F",Q22="NO"),I22*H22*IF(P22="SI",1.2,1),"--")</f>
        <v>--</v>
      </c>
      <c r="U22" s="492" t="str">
        <f>IF(AND(N22="F",M22&gt;=10),I22*H22*IF(P22="SI",1.2,1)*IF(M22&lt;=300,ROUND(M22/60,2),5),"--")</f>
        <v>--</v>
      </c>
      <c r="V22" s="493" t="str">
        <f>IF(AND(N22="F",M22&gt;300),(ROUND(M22/60,2)-5)*I22*H22*0.1*IF(P22="SI",1.2,1),"--")</f>
        <v>--</v>
      </c>
      <c r="W22" s="510" t="str">
        <f>IF(AND(N22="R",Q22="NO"),I22*H22*O22/100*IF(P22="SI",1.2,1),"--")</f>
        <v>--</v>
      </c>
      <c r="X22" s="511" t="str">
        <f>IF(AND(N22="R",M22&gt;=10),IF(M22&lt;=300,I22*H22*O22/100*IF(P22="SI",1.2,1)*ROUND(M22/60,2),5),"--")</f>
        <v>--</v>
      </c>
      <c r="Y22" s="512" t="str">
        <f>IF(AND(N22="R",M22&gt;300),(ROUND(M22/60,2)-5)*I22*H22*0.1*O22/100*IF(P22="SI",1.2,1),"--")</f>
        <v>--</v>
      </c>
      <c r="Z22" s="494" t="str">
        <f>IF(N22="RF",ROUND(M22/60,2)*I22*H22*0.1*IF(P22="SI",1.2,1),"--")</f>
        <v>--</v>
      </c>
      <c r="AA22" s="495" t="str">
        <f>IF(N22="RR",ROUND(M22/60,2)*I22*H22*0.1*O22/100*IF(P22="SI",1.2,1),"--")</f>
        <v>--</v>
      </c>
      <c r="AB22" s="513" t="str">
        <f>IF(D22="","","SI")</f>
        <v>SI</v>
      </c>
      <c r="AC22" s="334">
        <f>SUM(R22:AA22)*IF(AB22="SI",1,2)</f>
        <v>19.9602326</v>
      </c>
      <c r="AD22" s="25">
        <f>IF(D22="","",AC22*$K$16)</f>
        <v>19.9602326</v>
      </c>
      <c r="AE22" s="116"/>
    </row>
    <row r="23" spans="2:31" s="16" customFormat="1" ht="16.5" customHeight="1">
      <c r="B23" s="93"/>
      <c r="C23" s="477"/>
      <c r="D23" s="477"/>
      <c r="E23" s="505"/>
      <c r="F23" s="480"/>
      <c r="G23" s="505"/>
      <c r="H23" s="280">
        <f t="shared" si="0"/>
        <v>20</v>
      </c>
      <c r="I23" s="451">
        <f aca="true" t="shared" si="1" ref="I23:I37">IF(E23=500,IF(F23&lt;100,$E$15,F23*$E$15/100),IF(F23&lt;100,$E$16,F23*$E$16/100))</f>
        <v>46.961</v>
      </c>
      <c r="J23" s="484"/>
      <c r="K23" s="485"/>
      <c r="L23" s="23">
        <f aca="true" t="shared" si="2" ref="L23:L37">IF(D23="","",(K23-J23)*24)</f>
      </c>
      <c r="M23" s="24">
        <f aca="true" t="shared" si="3" ref="M23:M37">IF(D23="","",ROUND((K23-J23)*24*60,0))</f>
      </c>
      <c r="N23" s="488"/>
      <c r="O23" s="507">
        <f aca="true" t="shared" si="4" ref="O23:O37">IF(D23="","","--")</f>
      </c>
      <c r="P23" s="22">
        <f aca="true" t="shared" si="5" ref="P23:P37">IF(D23="","","NO")</f>
      </c>
      <c r="Q23" s="490">
        <f aca="true" t="shared" si="6" ref="Q23:Q40">IF(D23="","",IF(OR(N23="P",N23="RP"),"--","NO"))</f>
      </c>
      <c r="R23" s="508" t="str">
        <f aca="true" t="shared" si="7" ref="R23:R37">IF(N23="P",I23*H23*ROUND(M23/60,2)*0.01,"--")</f>
        <v>--</v>
      </c>
      <c r="S23" s="509" t="str">
        <f aca="true" t="shared" si="8" ref="S23:S37">IF(N23="RP",I23*H23*ROUND(M23/60,2)*0.01*O23/100,"--")</f>
        <v>--</v>
      </c>
      <c r="T23" s="491" t="str">
        <f aca="true" t="shared" si="9" ref="T23:T37">IF(AND(N23="F",Q23="NO"),I23*H23*IF(P23="SI",1.2,1),"--")</f>
        <v>--</v>
      </c>
      <c r="U23" s="492" t="str">
        <f aca="true" t="shared" si="10" ref="U23:U37">IF(AND(N23="F",M23&gt;=10),I23*H23*IF(P23="SI",1.2,1)*IF(M23&lt;=300,ROUND(M23/60,2),5),"--")</f>
        <v>--</v>
      </c>
      <c r="V23" s="493" t="str">
        <f aca="true" t="shared" si="11" ref="V23:V37">IF(AND(N23="F",M23&gt;300),(ROUND(M23/60,2)-5)*I23*H23*0.1*IF(P23="SI",1.2,1),"--")</f>
        <v>--</v>
      </c>
      <c r="W23" s="510" t="str">
        <f aca="true" t="shared" si="12" ref="W23:W37">IF(AND(N23="R",Q23="NO"),I23*H23*O23/100*IF(P23="SI",1.2,1),"--")</f>
        <v>--</v>
      </c>
      <c r="X23" s="511" t="str">
        <f aca="true" t="shared" si="13" ref="X23:X37">IF(AND(N23="R",M23&gt;=10),IF(M23&lt;=300,I23*H23*O23/100*IF(P23="SI",1.2,1)*ROUND(M23/60,2),5),"--")</f>
        <v>--</v>
      </c>
      <c r="Y23" s="512" t="str">
        <f aca="true" t="shared" si="14" ref="Y23:Y37">IF(AND(N23="R",M23&gt;300),(ROUND(M23/60,2)-5)*I23*H23*0.1*O23/100*IF(P23="SI",1.2,1),"--")</f>
        <v>--</v>
      </c>
      <c r="Z23" s="494" t="str">
        <f>IF(N23="RF",ROUND(M23/60,2)*I23*H23*0.1*IF(P23="SI",1.2,1),"--")</f>
        <v>--</v>
      </c>
      <c r="AA23" s="495" t="str">
        <f>IF(N23="RR",ROUND(M23/60,2)*I23*H23*0.1*O23/100*IF(P23="SI",1.2,1),"--")</f>
        <v>--</v>
      </c>
      <c r="AB23" s="513">
        <f aca="true" t="shared" si="15" ref="AB23:AB37">IF(D23="","","SI")</f>
      </c>
      <c r="AC23" s="334">
        <f aca="true" t="shared" si="16" ref="AC23:AC37">SUM(R23:AA23)*IF(AB23="SI",1,2)</f>
        <v>0</v>
      </c>
      <c r="AD23" s="25">
        <f aca="true" t="shared" si="17" ref="AD23:AD37">IF(D23="","",AC23*$K$16)</f>
      </c>
      <c r="AE23" s="116"/>
    </row>
    <row r="24" spans="2:31" s="16" customFormat="1" ht="16.5" customHeight="1">
      <c r="B24" s="93"/>
      <c r="C24" s="477"/>
      <c r="D24" s="477"/>
      <c r="E24" s="505"/>
      <c r="F24" s="480"/>
      <c r="G24" s="505"/>
      <c r="H24" s="280">
        <f t="shared" si="0"/>
        <v>20</v>
      </c>
      <c r="I24" s="451">
        <f t="shared" si="1"/>
        <v>46.961</v>
      </c>
      <c r="J24" s="484"/>
      <c r="K24" s="485"/>
      <c r="L24" s="23">
        <f t="shared" si="2"/>
      </c>
      <c r="M24" s="24">
        <f t="shared" si="3"/>
      </c>
      <c r="N24" s="488"/>
      <c r="O24" s="507">
        <f t="shared" si="4"/>
      </c>
      <c r="P24" s="22">
        <f t="shared" si="5"/>
      </c>
      <c r="Q24" s="490">
        <f t="shared" si="6"/>
      </c>
      <c r="R24" s="508" t="str">
        <f t="shared" si="7"/>
        <v>--</v>
      </c>
      <c r="S24" s="509" t="str">
        <f t="shared" si="8"/>
        <v>--</v>
      </c>
      <c r="T24" s="491" t="str">
        <f t="shared" si="9"/>
        <v>--</v>
      </c>
      <c r="U24" s="492" t="str">
        <f t="shared" si="10"/>
        <v>--</v>
      </c>
      <c r="V24" s="493" t="str">
        <f t="shared" si="11"/>
        <v>--</v>
      </c>
      <c r="W24" s="510" t="str">
        <f t="shared" si="12"/>
        <v>--</v>
      </c>
      <c r="X24" s="511" t="str">
        <f t="shared" si="13"/>
        <v>--</v>
      </c>
      <c r="Y24" s="512" t="str">
        <f t="shared" si="14"/>
        <v>--</v>
      </c>
      <c r="Z24" s="494" t="str">
        <f aca="true" t="shared" si="18" ref="Z24:Z39">IF(N24="RF",ROUND(M24/60,2)*I24*H24*0.1*IF(P24="SI",1.2,1),"--")</f>
        <v>--</v>
      </c>
      <c r="AA24" s="495" t="str">
        <f aca="true" t="shared" si="19" ref="AA24:AA39">IF(N24="RR",ROUND(M24/60,2)*I24*H24*0.1*O24/100*IF(P24="SI",1.2,1),"--")</f>
        <v>--</v>
      </c>
      <c r="AB24" s="513">
        <f t="shared" si="15"/>
      </c>
      <c r="AC24" s="334">
        <f t="shared" si="16"/>
        <v>0</v>
      </c>
      <c r="AD24" s="25">
        <f t="shared" si="17"/>
      </c>
      <c r="AE24" s="116"/>
    </row>
    <row r="25" spans="2:31" s="16" customFormat="1" ht="16.5" customHeight="1">
      <c r="B25" s="93"/>
      <c r="C25" s="477"/>
      <c r="D25" s="477"/>
      <c r="E25" s="505"/>
      <c r="F25" s="480"/>
      <c r="G25" s="505"/>
      <c r="H25" s="280">
        <f t="shared" si="0"/>
        <v>20</v>
      </c>
      <c r="I25" s="451">
        <f t="shared" si="1"/>
        <v>46.961</v>
      </c>
      <c r="J25" s="484"/>
      <c r="K25" s="485"/>
      <c r="L25" s="23">
        <f t="shared" si="2"/>
      </c>
      <c r="M25" s="24">
        <f t="shared" si="3"/>
      </c>
      <c r="N25" s="488"/>
      <c r="O25" s="507">
        <f t="shared" si="4"/>
      </c>
      <c r="P25" s="22">
        <f t="shared" si="5"/>
      </c>
      <c r="Q25" s="490">
        <f t="shared" si="6"/>
      </c>
      <c r="R25" s="508" t="str">
        <f t="shared" si="7"/>
        <v>--</v>
      </c>
      <c r="S25" s="509" t="str">
        <f t="shared" si="8"/>
        <v>--</v>
      </c>
      <c r="T25" s="491" t="str">
        <f t="shared" si="9"/>
        <v>--</v>
      </c>
      <c r="U25" s="492" t="str">
        <f t="shared" si="10"/>
        <v>--</v>
      </c>
      <c r="V25" s="493" t="str">
        <f t="shared" si="11"/>
        <v>--</v>
      </c>
      <c r="W25" s="510" t="str">
        <f t="shared" si="12"/>
        <v>--</v>
      </c>
      <c r="X25" s="511" t="str">
        <f t="shared" si="13"/>
        <v>--</v>
      </c>
      <c r="Y25" s="512" t="str">
        <f t="shared" si="14"/>
        <v>--</v>
      </c>
      <c r="Z25" s="494" t="str">
        <f t="shared" si="18"/>
        <v>--</v>
      </c>
      <c r="AA25" s="495" t="str">
        <f t="shared" si="19"/>
        <v>--</v>
      </c>
      <c r="AB25" s="513">
        <f t="shared" si="15"/>
      </c>
      <c r="AC25" s="334">
        <f t="shared" si="16"/>
        <v>0</v>
      </c>
      <c r="AD25" s="25">
        <f t="shared" si="17"/>
      </c>
      <c r="AE25" s="116"/>
    </row>
    <row r="26" spans="2:31" s="16" customFormat="1" ht="16.5" customHeight="1">
      <c r="B26" s="93"/>
      <c r="C26" s="477"/>
      <c r="D26" s="477"/>
      <c r="E26" s="505"/>
      <c r="F26" s="480"/>
      <c r="G26" s="505"/>
      <c r="H26" s="280">
        <f t="shared" si="0"/>
        <v>20</v>
      </c>
      <c r="I26" s="451">
        <f t="shared" si="1"/>
        <v>46.961</v>
      </c>
      <c r="J26" s="484"/>
      <c r="K26" s="485"/>
      <c r="L26" s="23">
        <f t="shared" si="2"/>
      </c>
      <c r="M26" s="24">
        <f t="shared" si="3"/>
      </c>
      <c r="N26" s="488"/>
      <c r="O26" s="507">
        <f t="shared" si="4"/>
      </c>
      <c r="P26" s="22">
        <f t="shared" si="5"/>
      </c>
      <c r="Q26" s="490">
        <f t="shared" si="6"/>
      </c>
      <c r="R26" s="508" t="str">
        <f t="shared" si="7"/>
        <v>--</v>
      </c>
      <c r="S26" s="509" t="str">
        <f t="shared" si="8"/>
        <v>--</v>
      </c>
      <c r="T26" s="491" t="str">
        <f t="shared" si="9"/>
        <v>--</v>
      </c>
      <c r="U26" s="492" t="str">
        <f t="shared" si="10"/>
        <v>--</v>
      </c>
      <c r="V26" s="493" t="str">
        <f t="shared" si="11"/>
        <v>--</v>
      </c>
      <c r="W26" s="510" t="str">
        <f t="shared" si="12"/>
        <v>--</v>
      </c>
      <c r="X26" s="511" t="str">
        <f t="shared" si="13"/>
        <v>--</v>
      </c>
      <c r="Y26" s="512" t="str">
        <f t="shared" si="14"/>
        <v>--</v>
      </c>
      <c r="Z26" s="494" t="str">
        <f t="shared" si="18"/>
        <v>--</v>
      </c>
      <c r="AA26" s="495" t="str">
        <f t="shared" si="19"/>
        <v>--</v>
      </c>
      <c r="AB26" s="513">
        <f t="shared" si="15"/>
      </c>
      <c r="AC26" s="334">
        <f t="shared" si="16"/>
        <v>0</v>
      </c>
      <c r="AD26" s="25">
        <f t="shared" si="17"/>
      </c>
      <c r="AE26" s="116"/>
    </row>
    <row r="27" spans="2:31" s="16" customFormat="1" ht="16.5" customHeight="1">
      <c r="B27" s="93"/>
      <c r="C27" s="477"/>
      <c r="D27" s="477"/>
      <c r="E27" s="505"/>
      <c r="F27" s="480"/>
      <c r="G27" s="505"/>
      <c r="H27" s="280">
        <f t="shared" si="0"/>
        <v>20</v>
      </c>
      <c r="I27" s="451">
        <f t="shared" si="1"/>
        <v>46.961</v>
      </c>
      <c r="J27" s="484"/>
      <c r="K27" s="485"/>
      <c r="L27" s="23">
        <f t="shared" si="2"/>
      </c>
      <c r="M27" s="24">
        <f t="shared" si="3"/>
      </c>
      <c r="N27" s="488"/>
      <c r="O27" s="507">
        <f t="shared" si="4"/>
      </c>
      <c r="P27" s="22">
        <f t="shared" si="5"/>
      </c>
      <c r="Q27" s="490">
        <f t="shared" si="6"/>
      </c>
      <c r="R27" s="508" t="str">
        <f t="shared" si="7"/>
        <v>--</v>
      </c>
      <c r="S27" s="509" t="str">
        <f t="shared" si="8"/>
        <v>--</v>
      </c>
      <c r="T27" s="491" t="str">
        <f t="shared" si="9"/>
        <v>--</v>
      </c>
      <c r="U27" s="492" t="str">
        <f t="shared" si="10"/>
        <v>--</v>
      </c>
      <c r="V27" s="493" t="str">
        <f t="shared" si="11"/>
        <v>--</v>
      </c>
      <c r="W27" s="510" t="str">
        <f t="shared" si="12"/>
        <v>--</v>
      </c>
      <c r="X27" s="511" t="str">
        <f t="shared" si="13"/>
        <v>--</v>
      </c>
      <c r="Y27" s="512" t="str">
        <f t="shared" si="14"/>
        <v>--</v>
      </c>
      <c r="Z27" s="494" t="str">
        <f t="shared" si="18"/>
        <v>--</v>
      </c>
      <c r="AA27" s="495" t="str">
        <f t="shared" si="19"/>
        <v>--</v>
      </c>
      <c r="AB27" s="513">
        <f t="shared" si="15"/>
      </c>
      <c r="AC27" s="334">
        <f t="shared" si="16"/>
        <v>0</v>
      </c>
      <c r="AD27" s="25">
        <f t="shared" si="17"/>
      </c>
      <c r="AE27" s="121"/>
    </row>
    <row r="28" spans="2:31" s="16" customFormat="1" ht="16.5" customHeight="1">
      <c r="B28" s="93"/>
      <c r="C28" s="477"/>
      <c r="D28" s="477"/>
      <c r="E28" s="505"/>
      <c r="F28" s="480"/>
      <c r="G28" s="505"/>
      <c r="H28" s="280">
        <f t="shared" si="0"/>
        <v>20</v>
      </c>
      <c r="I28" s="451">
        <f t="shared" si="1"/>
        <v>46.961</v>
      </c>
      <c r="J28" s="484"/>
      <c r="K28" s="485"/>
      <c r="L28" s="23">
        <f t="shared" si="2"/>
      </c>
      <c r="M28" s="24">
        <f t="shared" si="3"/>
      </c>
      <c r="N28" s="488"/>
      <c r="O28" s="507">
        <f t="shared" si="4"/>
      </c>
      <c r="P28" s="22">
        <f t="shared" si="5"/>
      </c>
      <c r="Q28" s="490">
        <f t="shared" si="6"/>
      </c>
      <c r="R28" s="508" t="str">
        <f t="shared" si="7"/>
        <v>--</v>
      </c>
      <c r="S28" s="509" t="str">
        <f t="shared" si="8"/>
        <v>--</v>
      </c>
      <c r="T28" s="491" t="str">
        <f t="shared" si="9"/>
        <v>--</v>
      </c>
      <c r="U28" s="492" t="str">
        <f t="shared" si="10"/>
        <v>--</v>
      </c>
      <c r="V28" s="493" t="str">
        <f t="shared" si="11"/>
        <v>--</v>
      </c>
      <c r="W28" s="510" t="str">
        <f t="shared" si="12"/>
        <v>--</v>
      </c>
      <c r="X28" s="511" t="str">
        <f t="shared" si="13"/>
        <v>--</v>
      </c>
      <c r="Y28" s="512" t="str">
        <f t="shared" si="14"/>
        <v>--</v>
      </c>
      <c r="Z28" s="494" t="str">
        <f t="shared" si="18"/>
        <v>--</v>
      </c>
      <c r="AA28" s="495" t="str">
        <f t="shared" si="19"/>
        <v>--</v>
      </c>
      <c r="AB28" s="513">
        <f t="shared" si="15"/>
      </c>
      <c r="AC28" s="334">
        <f t="shared" si="16"/>
        <v>0</v>
      </c>
      <c r="AD28" s="25">
        <f t="shared" si="17"/>
      </c>
      <c r="AE28" s="121"/>
    </row>
    <row r="29" spans="2:31" s="16" customFormat="1" ht="16.5" customHeight="1">
      <c r="B29" s="93"/>
      <c r="C29" s="477"/>
      <c r="D29" s="477"/>
      <c r="E29" s="505"/>
      <c r="F29" s="480"/>
      <c r="G29" s="505"/>
      <c r="H29" s="280">
        <f t="shared" si="0"/>
        <v>20</v>
      </c>
      <c r="I29" s="451">
        <f t="shared" si="1"/>
        <v>46.961</v>
      </c>
      <c r="J29" s="484"/>
      <c r="K29" s="485"/>
      <c r="L29" s="23">
        <f t="shared" si="2"/>
      </c>
      <c r="M29" s="24">
        <f t="shared" si="3"/>
      </c>
      <c r="N29" s="488"/>
      <c r="O29" s="507">
        <f t="shared" si="4"/>
      </c>
      <c r="P29" s="22">
        <f t="shared" si="5"/>
      </c>
      <c r="Q29" s="490">
        <f t="shared" si="6"/>
      </c>
      <c r="R29" s="508" t="str">
        <f t="shared" si="7"/>
        <v>--</v>
      </c>
      <c r="S29" s="509" t="str">
        <f t="shared" si="8"/>
        <v>--</v>
      </c>
      <c r="T29" s="491" t="str">
        <f t="shared" si="9"/>
        <v>--</v>
      </c>
      <c r="U29" s="492" t="str">
        <f t="shared" si="10"/>
        <v>--</v>
      </c>
      <c r="V29" s="493" t="str">
        <f t="shared" si="11"/>
        <v>--</v>
      </c>
      <c r="W29" s="510" t="str">
        <f t="shared" si="12"/>
        <v>--</v>
      </c>
      <c r="X29" s="511" t="str">
        <f t="shared" si="13"/>
        <v>--</v>
      </c>
      <c r="Y29" s="512" t="str">
        <f t="shared" si="14"/>
        <v>--</v>
      </c>
      <c r="Z29" s="494" t="str">
        <f t="shared" si="18"/>
        <v>--</v>
      </c>
      <c r="AA29" s="495" t="str">
        <f t="shared" si="19"/>
        <v>--</v>
      </c>
      <c r="AB29" s="513">
        <f t="shared" si="15"/>
      </c>
      <c r="AC29" s="334">
        <f t="shared" si="16"/>
        <v>0</v>
      </c>
      <c r="AD29" s="25">
        <f t="shared" si="17"/>
      </c>
      <c r="AE29" s="121"/>
    </row>
    <row r="30" spans="2:31" s="16" customFormat="1" ht="16.5" customHeight="1">
      <c r="B30" s="93"/>
      <c r="C30" s="477"/>
      <c r="D30" s="477"/>
      <c r="E30" s="505"/>
      <c r="F30" s="480"/>
      <c r="G30" s="505"/>
      <c r="H30" s="280">
        <f t="shared" si="0"/>
        <v>20</v>
      </c>
      <c r="I30" s="451">
        <f t="shared" si="1"/>
        <v>46.961</v>
      </c>
      <c r="J30" s="484"/>
      <c r="K30" s="485"/>
      <c r="L30" s="23">
        <f t="shared" si="2"/>
      </c>
      <c r="M30" s="24">
        <f t="shared" si="3"/>
      </c>
      <c r="N30" s="488"/>
      <c r="O30" s="507">
        <f t="shared" si="4"/>
      </c>
      <c r="P30" s="22">
        <f t="shared" si="5"/>
      </c>
      <c r="Q30" s="490">
        <f t="shared" si="6"/>
      </c>
      <c r="R30" s="508" t="str">
        <f t="shared" si="7"/>
        <v>--</v>
      </c>
      <c r="S30" s="509" t="str">
        <f t="shared" si="8"/>
        <v>--</v>
      </c>
      <c r="T30" s="491" t="str">
        <f t="shared" si="9"/>
        <v>--</v>
      </c>
      <c r="U30" s="492" t="str">
        <f t="shared" si="10"/>
        <v>--</v>
      </c>
      <c r="V30" s="493" t="str">
        <f t="shared" si="11"/>
        <v>--</v>
      </c>
      <c r="W30" s="510" t="str">
        <f t="shared" si="12"/>
        <v>--</v>
      </c>
      <c r="X30" s="511" t="str">
        <f t="shared" si="13"/>
        <v>--</v>
      </c>
      <c r="Y30" s="512" t="str">
        <f t="shared" si="14"/>
        <v>--</v>
      </c>
      <c r="Z30" s="494" t="str">
        <f t="shared" si="18"/>
        <v>--</v>
      </c>
      <c r="AA30" s="495" t="str">
        <f t="shared" si="19"/>
        <v>--</v>
      </c>
      <c r="AB30" s="513">
        <f t="shared" si="15"/>
      </c>
      <c r="AC30" s="334">
        <f t="shared" si="16"/>
        <v>0</v>
      </c>
      <c r="AD30" s="25">
        <f t="shared" si="17"/>
      </c>
      <c r="AE30" s="121"/>
    </row>
    <row r="31" spans="2:31" s="16" customFormat="1" ht="16.5" customHeight="1">
      <c r="B31" s="93"/>
      <c r="C31" s="477"/>
      <c r="D31" s="477"/>
      <c r="E31" s="505"/>
      <c r="F31" s="480"/>
      <c r="G31" s="505"/>
      <c r="H31" s="280">
        <f t="shared" si="0"/>
        <v>20</v>
      </c>
      <c r="I31" s="451">
        <f t="shared" si="1"/>
        <v>46.961</v>
      </c>
      <c r="J31" s="484"/>
      <c r="K31" s="485"/>
      <c r="L31" s="23">
        <f t="shared" si="2"/>
      </c>
      <c r="M31" s="24">
        <f t="shared" si="3"/>
      </c>
      <c r="N31" s="488"/>
      <c r="O31" s="507">
        <f t="shared" si="4"/>
      </c>
      <c r="P31" s="22">
        <f t="shared" si="5"/>
      </c>
      <c r="Q31" s="490">
        <f t="shared" si="6"/>
      </c>
      <c r="R31" s="508" t="str">
        <f t="shared" si="7"/>
        <v>--</v>
      </c>
      <c r="S31" s="509" t="str">
        <f t="shared" si="8"/>
        <v>--</v>
      </c>
      <c r="T31" s="491" t="str">
        <f t="shared" si="9"/>
        <v>--</v>
      </c>
      <c r="U31" s="492" t="str">
        <f t="shared" si="10"/>
        <v>--</v>
      </c>
      <c r="V31" s="493" t="str">
        <f t="shared" si="11"/>
        <v>--</v>
      </c>
      <c r="W31" s="510" t="str">
        <f t="shared" si="12"/>
        <v>--</v>
      </c>
      <c r="X31" s="511" t="str">
        <f t="shared" si="13"/>
        <v>--</v>
      </c>
      <c r="Y31" s="512" t="str">
        <f t="shared" si="14"/>
        <v>--</v>
      </c>
      <c r="Z31" s="494" t="str">
        <f t="shared" si="18"/>
        <v>--</v>
      </c>
      <c r="AA31" s="495" t="str">
        <f t="shared" si="19"/>
        <v>--</v>
      </c>
      <c r="AB31" s="513">
        <f t="shared" si="15"/>
      </c>
      <c r="AC31" s="334">
        <f t="shared" si="16"/>
        <v>0</v>
      </c>
      <c r="AD31" s="25">
        <f t="shared" si="17"/>
      </c>
      <c r="AE31" s="121"/>
    </row>
    <row r="32" spans="2:31" s="16" customFormat="1" ht="16.5" customHeight="1">
      <c r="B32" s="93"/>
      <c r="C32" s="477"/>
      <c r="D32" s="477"/>
      <c r="E32" s="505"/>
      <c r="F32" s="480"/>
      <c r="G32" s="505"/>
      <c r="H32" s="280">
        <f t="shared" si="0"/>
        <v>20</v>
      </c>
      <c r="I32" s="451">
        <f t="shared" si="1"/>
        <v>46.961</v>
      </c>
      <c r="J32" s="484"/>
      <c r="K32" s="486"/>
      <c r="L32" s="23">
        <f t="shared" si="2"/>
      </c>
      <c r="M32" s="24">
        <f t="shared" si="3"/>
      </c>
      <c r="N32" s="488"/>
      <c r="O32" s="507">
        <f t="shared" si="4"/>
      </c>
      <c r="P32" s="22">
        <f t="shared" si="5"/>
      </c>
      <c r="Q32" s="490">
        <f t="shared" si="6"/>
      </c>
      <c r="R32" s="508" t="str">
        <f t="shared" si="7"/>
        <v>--</v>
      </c>
      <c r="S32" s="509" t="str">
        <f t="shared" si="8"/>
        <v>--</v>
      </c>
      <c r="T32" s="491" t="str">
        <f t="shared" si="9"/>
        <v>--</v>
      </c>
      <c r="U32" s="492" t="str">
        <f t="shared" si="10"/>
        <v>--</v>
      </c>
      <c r="V32" s="493" t="str">
        <f t="shared" si="11"/>
        <v>--</v>
      </c>
      <c r="W32" s="510" t="str">
        <f t="shared" si="12"/>
        <v>--</v>
      </c>
      <c r="X32" s="511" t="str">
        <f t="shared" si="13"/>
        <v>--</v>
      </c>
      <c r="Y32" s="512" t="str">
        <f t="shared" si="14"/>
        <v>--</v>
      </c>
      <c r="Z32" s="494" t="str">
        <f t="shared" si="18"/>
        <v>--</v>
      </c>
      <c r="AA32" s="495" t="str">
        <f t="shared" si="19"/>
        <v>--</v>
      </c>
      <c r="AB32" s="513">
        <f t="shared" si="15"/>
      </c>
      <c r="AC32" s="334">
        <f t="shared" si="16"/>
        <v>0</v>
      </c>
      <c r="AD32" s="25">
        <f t="shared" si="17"/>
      </c>
      <c r="AE32" s="121"/>
    </row>
    <row r="33" spans="2:31" s="16" customFormat="1" ht="16.5" customHeight="1">
      <c r="B33" s="93"/>
      <c r="C33" s="477"/>
      <c r="D33" s="477"/>
      <c r="E33" s="505"/>
      <c r="F33" s="480"/>
      <c r="G33" s="505"/>
      <c r="H33" s="280">
        <f t="shared" si="0"/>
        <v>20</v>
      </c>
      <c r="I33" s="451">
        <f t="shared" si="1"/>
        <v>46.961</v>
      </c>
      <c r="J33" s="484"/>
      <c r="K33" s="486"/>
      <c r="L33" s="23">
        <f t="shared" si="2"/>
      </c>
      <c r="M33" s="24">
        <f t="shared" si="3"/>
      </c>
      <c r="N33" s="488"/>
      <c r="O33" s="507">
        <f t="shared" si="4"/>
      </c>
      <c r="P33" s="22">
        <f t="shared" si="5"/>
      </c>
      <c r="Q33" s="490">
        <f t="shared" si="6"/>
      </c>
      <c r="R33" s="508" t="str">
        <f t="shared" si="7"/>
        <v>--</v>
      </c>
      <c r="S33" s="509" t="str">
        <f t="shared" si="8"/>
        <v>--</v>
      </c>
      <c r="T33" s="491" t="str">
        <f t="shared" si="9"/>
        <v>--</v>
      </c>
      <c r="U33" s="492" t="str">
        <f t="shared" si="10"/>
        <v>--</v>
      </c>
      <c r="V33" s="493" t="str">
        <f t="shared" si="11"/>
        <v>--</v>
      </c>
      <c r="W33" s="510" t="str">
        <f t="shared" si="12"/>
        <v>--</v>
      </c>
      <c r="X33" s="511" t="str">
        <f t="shared" si="13"/>
        <v>--</v>
      </c>
      <c r="Y33" s="512" t="str">
        <f t="shared" si="14"/>
        <v>--</v>
      </c>
      <c r="Z33" s="494" t="str">
        <f t="shared" si="18"/>
        <v>--</v>
      </c>
      <c r="AA33" s="495" t="str">
        <f t="shared" si="19"/>
        <v>--</v>
      </c>
      <c r="AB33" s="513">
        <f t="shared" si="15"/>
      </c>
      <c r="AC33" s="334">
        <f t="shared" si="16"/>
        <v>0</v>
      </c>
      <c r="AD33" s="25">
        <f t="shared" si="17"/>
      </c>
      <c r="AE33" s="121"/>
    </row>
    <row r="34" spans="2:31" s="16" customFormat="1" ht="16.5" customHeight="1">
      <c r="B34" s="93"/>
      <c r="C34" s="477"/>
      <c r="D34" s="477"/>
      <c r="E34" s="505"/>
      <c r="F34" s="480"/>
      <c r="G34" s="505"/>
      <c r="H34" s="280">
        <f t="shared" si="0"/>
        <v>20</v>
      </c>
      <c r="I34" s="451">
        <f t="shared" si="1"/>
        <v>46.961</v>
      </c>
      <c r="J34" s="484"/>
      <c r="K34" s="486"/>
      <c r="L34" s="23">
        <f t="shared" si="2"/>
      </c>
      <c r="M34" s="24">
        <f t="shared" si="3"/>
      </c>
      <c r="N34" s="488"/>
      <c r="O34" s="507">
        <f t="shared" si="4"/>
      </c>
      <c r="P34" s="22">
        <f t="shared" si="5"/>
      </c>
      <c r="Q34" s="490">
        <f t="shared" si="6"/>
      </c>
      <c r="R34" s="508" t="str">
        <f t="shared" si="7"/>
        <v>--</v>
      </c>
      <c r="S34" s="509" t="str">
        <f t="shared" si="8"/>
        <v>--</v>
      </c>
      <c r="T34" s="491" t="str">
        <f t="shared" si="9"/>
        <v>--</v>
      </c>
      <c r="U34" s="492" t="str">
        <f t="shared" si="10"/>
        <v>--</v>
      </c>
      <c r="V34" s="493" t="str">
        <f t="shared" si="11"/>
        <v>--</v>
      </c>
      <c r="W34" s="510" t="str">
        <f t="shared" si="12"/>
        <v>--</v>
      </c>
      <c r="X34" s="511" t="str">
        <f t="shared" si="13"/>
        <v>--</v>
      </c>
      <c r="Y34" s="512" t="str">
        <f t="shared" si="14"/>
        <v>--</v>
      </c>
      <c r="Z34" s="494" t="str">
        <f t="shared" si="18"/>
        <v>--</v>
      </c>
      <c r="AA34" s="495" t="str">
        <f t="shared" si="19"/>
        <v>--</v>
      </c>
      <c r="AB34" s="513">
        <f t="shared" si="15"/>
      </c>
      <c r="AC34" s="334">
        <f t="shared" si="16"/>
        <v>0</v>
      </c>
      <c r="AD34" s="25">
        <f t="shared" si="17"/>
      </c>
      <c r="AE34" s="121"/>
    </row>
    <row r="35" spans="2:31" s="16" customFormat="1" ht="16.5" customHeight="1">
      <c r="B35" s="93"/>
      <c r="C35" s="477"/>
      <c r="D35" s="477"/>
      <c r="E35" s="505"/>
      <c r="F35" s="480"/>
      <c r="G35" s="505"/>
      <c r="H35" s="280">
        <f t="shared" si="0"/>
        <v>20</v>
      </c>
      <c r="I35" s="451">
        <f t="shared" si="1"/>
        <v>46.961</v>
      </c>
      <c r="J35" s="484"/>
      <c r="K35" s="486"/>
      <c r="L35" s="23">
        <f t="shared" si="2"/>
      </c>
      <c r="M35" s="24">
        <f t="shared" si="3"/>
      </c>
      <c r="N35" s="488"/>
      <c r="O35" s="507">
        <f t="shared" si="4"/>
      </c>
      <c r="P35" s="22">
        <f t="shared" si="5"/>
      </c>
      <c r="Q35" s="490">
        <f t="shared" si="6"/>
      </c>
      <c r="R35" s="508" t="str">
        <f t="shared" si="7"/>
        <v>--</v>
      </c>
      <c r="S35" s="509" t="str">
        <f t="shared" si="8"/>
        <v>--</v>
      </c>
      <c r="T35" s="491" t="str">
        <f t="shared" si="9"/>
        <v>--</v>
      </c>
      <c r="U35" s="492" t="str">
        <f t="shared" si="10"/>
        <v>--</v>
      </c>
      <c r="V35" s="493" t="str">
        <f t="shared" si="11"/>
        <v>--</v>
      </c>
      <c r="W35" s="510" t="str">
        <f t="shared" si="12"/>
        <v>--</v>
      </c>
      <c r="X35" s="511" t="str">
        <f t="shared" si="13"/>
        <v>--</v>
      </c>
      <c r="Y35" s="512" t="str">
        <f t="shared" si="14"/>
        <v>--</v>
      </c>
      <c r="Z35" s="494" t="str">
        <f t="shared" si="18"/>
        <v>--</v>
      </c>
      <c r="AA35" s="495" t="str">
        <f t="shared" si="19"/>
        <v>--</v>
      </c>
      <c r="AB35" s="513">
        <f t="shared" si="15"/>
      </c>
      <c r="AC35" s="334">
        <f t="shared" si="16"/>
        <v>0</v>
      </c>
      <c r="AD35" s="25">
        <f t="shared" si="17"/>
      </c>
      <c r="AE35" s="121"/>
    </row>
    <row r="36" spans="2:31" s="16" customFormat="1" ht="16.5" customHeight="1">
      <c r="B36" s="93"/>
      <c r="C36" s="477"/>
      <c r="D36" s="477"/>
      <c r="E36" s="505"/>
      <c r="F36" s="480"/>
      <c r="G36" s="505"/>
      <c r="H36" s="280">
        <f t="shared" si="0"/>
        <v>20</v>
      </c>
      <c r="I36" s="451">
        <f t="shared" si="1"/>
        <v>46.961</v>
      </c>
      <c r="J36" s="484"/>
      <c r="K36" s="486"/>
      <c r="L36" s="23">
        <f t="shared" si="2"/>
      </c>
      <c r="M36" s="24">
        <f t="shared" si="3"/>
      </c>
      <c r="N36" s="488"/>
      <c r="O36" s="507">
        <f t="shared" si="4"/>
      </c>
      <c r="P36" s="22">
        <f t="shared" si="5"/>
      </c>
      <c r="Q36" s="490">
        <f t="shared" si="6"/>
      </c>
      <c r="R36" s="508" t="str">
        <f t="shared" si="7"/>
        <v>--</v>
      </c>
      <c r="S36" s="509" t="str">
        <f t="shared" si="8"/>
        <v>--</v>
      </c>
      <c r="T36" s="491" t="str">
        <f t="shared" si="9"/>
        <v>--</v>
      </c>
      <c r="U36" s="492" t="str">
        <f t="shared" si="10"/>
        <v>--</v>
      </c>
      <c r="V36" s="493" t="str">
        <f t="shared" si="11"/>
        <v>--</v>
      </c>
      <c r="W36" s="510" t="str">
        <f t="shared" si="12"/>
        <v>--</v>
      </c>
      <c r="X36" s="511" t="str">
        <f t="shared" si="13"/>
        <v>--</v>
      </c>
      <c r="Y36" s="512" t="str">
        <f t="shared" si="14"/>
        <v>--</v>
      </c>
      <c r="Z36" s="494" t="str">
        <f t="shared" si="18"/>
        <v>--</v>
      </c>
      <c r="AA36" s="495" t="str">
        <f t="shared" si="19"/>
        <v>--</v>
      </c>
      <c r="AB36" s="513">
        <f t="shared" si="15"/>
      </c>
      <c r="AC36" s="334">
        <f t="shared" si="16"/>
        <v>0</v>
      </c>
      <c r="AD36" s="25">
        <f t="shared" si="17"/>
      </c>
      <c r="AE36" s="121"/>
    </row>
    <row r="37" spans="2:31" s="16" customFormat="1" ht="16.5" customHeight="1">
      <c r="B37" s="93"/>
      <c r="C37" s="477"/>
      <c r="D37" s="477"/>
      <c r="E37" s="505"/>
      <c r="F37" s="480"/>
      <c r="G37" s="505"/>
      <c r="H37" s="280">
        <f>IF(G37="A",200,IF(G37="B",60,20))</f>
        <v>20</v>
      </c>
      <c r="I37" s="451">
        <f t="shared" si="1"/>
        <v>46.961</v>
      </c>
      <c r="J37" s="484"/>
      <c r="K37" s="486"/>
      <c r="L37" s="23">
        <f t="shared" si="2"/>
      </c>
      <c r="M37" s="24">
        <f t="shared" si="3"/>
      </c>
      <c r="N37" s="488"/>
      <c r="O37" s="507">
        <f t="shared" si="4"/>
      </c>
      <c r="P37" s="22">
        <f t="shared" si="5"/>
      </c>
      <c r="Q37" s="490">
        <f t="shared" si="6"/>
      </c>
      <c r="R37" s="508" t="str">
        <f t="shared" si="7"/>
        <v>--</v>
      </c>
      <c r="S37" s="509" t="str">
        <f t="shared" si="8"/>
        <v>--</v>
      </c>
      <c r="T37" s="491" t="str">
        <f t="shared" si="9"/>
        <v>--</v>
      </c>
      <c r="U37" s="492" t="str">
        <f t="shared" si="10"/>
        <v>--</v>
      </c>
      <c r="V37" s="493" t="str">
        <f t="shared" si="11"/>
        <v>--</v>
      </c>
      <c r="W37" s="510" t="str">
        <f t="shared" si="12"/>
        <v>--</v>
      </c>
      <c r="X37" s="511" t="str">
        <f t="shared" si="13"/>
        <v>--</v>
      </c>
      <c r="Y37" s="512" t="str">
        <f t="shared" si="14"/>
        <v>--</v>
      </c>
      <c r="Z37" s="494" t="str">
        <f t="shared" si="18"/>
        <v>--</v>
      </c>
      <c r="AA37" s="495" t="str">
        <f t="shared" si="19"/>
        <v>--</v>
      </c>
      <c r="AB37" s="513">
        <f t="shared" si="15"/>
      </c>
      <c r="AC37" s="334">
        <f t="shared" si="16"/>
        <v>0</v>
      </c>
      <c r="AD37" s="25">
        <f t="shared" si="17"/>
      </c>
      <c r="AE37" s="121"/>
    </row>
    <row r="38" spans="2:31" s="16" customFormat="1" ht="16.5" customHeight="1">
      <c r="B38" s="93"/>
      <c r="C38" s="477"/>
      <c r="D38" s="477"/>
      <c r="E38" s="505"/>
      <c r="F38" s="480"/>
      <c r="G38" s="505"/>
      <c r="H38" s="280">
        <f>IF(G38="A",200,IF(G38="B",60,20))</f>
        <v>20</v>
      </c>
      <c r="I38" s="451">
        <f>IF(E38=500,IF(F38&lt;100,$E$15,F38*$E$15/100),IF(F38&lt;100,$E$16,F38*$E$16/100))</f>
        <v>46.961</v>
      </c>
      <c r="J38" s="484"/>
      <c r="K38" s="486"/>
      <c r="L38" s="23">
        <f>IF(D38="","",(K38-J38)*24)</f>
      </c>
      <c r="M38" s="24">
        <f>IF(D38="","",ROUND((K38-J38)*24*60,0))</f>
      </c>
      <c r="N38" s="488"/>
      <c r="O38" s="507">
        <f>IF(D38="","","--")</f>
      </c>
      <c r="P38" s="22">
        <f>IF(D38="","","NO")</f>
      </c>
      <c r="Q38" s="490">
        <f t="shared" si="6"/>
      </c>
      <c r="R38" s="508" t="str">
        <f>IF(N38="P",I38*H38*ROUND(M38/60,2)*0.01,"--")</f>
        <v>--</v>
      </c>
      <c r="S38" s="509" t="str">
        <f>IF(N38="RP",I38*H38*ROUND(M38/60,2)*0.01*O38/100,"--")</f>
        <v>--</v>
      </c>
      <c r="T38" s="491" t="str">
        <f>IF(AND(N38="F",Q38="NO"),I38*H38*IF(P38="SI",1.2,1),"--")</f>
        <v>--</v>
      </c>
      <c r="U38" s="492" t="str">
        <f>IF(AND(N38="F",M38&gt;=10),I38*H38*IF(P38="SI",1.2,1)*IF(M38&lt;=300,ROUND(M38/60,2),5),"--")</f>
        <v>--</v>
      </c>
      <c r="V38" s="493" t="str">
        <f>IF(AND(N38="F",M38&gt;300),(ROUND(M38/60,2)-5)*I38*H38*0.1*IF(P38="SI",1.2,1),"--")</f>
        <v>--</v>
      </c>
      <c r="W38" s="510" t="str">
        <f>IF(AND(N38="R",Q38="NO"),I38*H38*O38/100*IF(P38="SI",1.2,1),"--")</f>
        <v>--</v>
      </c>
      <c r="X38" s="511" t="str">
        <f>IF(AND(N38="R",M38&gt;=10),IF(M38&lt;=300,I38*H38*O38/100*IF(P38="SI",1.2,1)*ROUND(M38/60,2),5),"--")</f>
        <v>--</v>
      </c>
      <c r="Y38" s="512" t="str">
        <f>IF(AND(N38="R",M38&gt;300),(ROUND(M38/60,2)-5)*I38*H38*0.1*O38/100*IF(P38="SI",1.2,1),"--")</f>
        <v>--</v>
      </c>
      <c r="Z38" s="494" t="str">
        <f t="shared" si="18"/>
        <v>--</v>
      </c>
      <c r="AA38" s="495" t="str">
        <f t="shared" si="19"/>
        <v>--</v>
      </c>
      <c r="AB38" s="513">
        <f>IF(D38="","","SI")</f>
      </c>
      <c r="AC38" s="334">
        <f>SUM(R38:AA38)*IF(AB38="SI",1,2)</f>
        <v>0</v>
      </c>
      <c r="AD38" s="25">
        <f>IF(D38="","",AC38*$K$16)</f>
      </c>
      <c r="AE38" s="121"/>
    </row>
    <row r="39" spans="2:31" s="16" customFormat="1" ht="16.5" customHeight="1">
      <c r="B39" s="93"/>
      <c r="C39" s="477"/>
      <c r="D39" s="477"/>
      <c r="E39" s="506"/>
      <c r="F39" s="480"/>
      <c r="G39" s="505"/>
      <c r="H39" s="280">
        <f>IF(G39="A",200,IF(G39="B",60,20))</f>
        <v>20</v>
      </c>
      <c r="I39" s="451">
        <f>IF(E39=500,IF(F39&lt;100,$E$15,F39*$E$15/100),IF(F39&lt;100,$E$16,F39*$E$16/100))</f>
        <v>46.961</v>
      </c>
      <c r="J39" s="484"/>
      <c r="K39" s="486"/>
      <c r="L39" s="23">
        <f>IF(D39="","",(K39-J39)*24)</f>
      </c>
      <c r="M39" s="24">
        <f>IF(D39="","",ROUND((K39-J39)*24*60,0))</f>
      </c>
      <c r="N39" s="488"/>
      <c r="O39" s="507">
        <f>IF(D39="","","--")</f>
      </c>
      <c r="P39" s="22">
        <f>IF(D39="","","NO")</f>
      </c>
      <c r="Q39" s="490">
        <f t="shared" si="6"/>
      </c>
      <c r="R39" s="508" t="str">
        <f>IF(N39="P",I39*H39*ROUND(M39/60,2)*0.01,"--")</f>
        <v>--</v>
      </c>
      <c r="S39" s="509" t="str">
        <f>IF(N39="RP",I39*H39*ROUND(M39/60,2)*0.01*O39/100,"--")</f>
        <v>--</v>
      </c>
      <c r="T39" s="491" t="str">
        <f>IF(AND(N39="F",Q39="NO"),I39*H39*IF(P39="SI",1.2,1),"--")</f>
        <v>--</v>
      </c>
      <c r="U39" s="492" t="str">
        <f>IF(AND(N39="F",M39&gt;=10),I39*H39*IF(P39="SI",1.2,1)*IF(M39&lt;=300,ROUND(M39/60,2),5),"--")</f>
        <v>--</v>
      </c>
      <c r="V39" s="493" t="str">
        <f>IF(AND(N39="F",M39&gt;300),(ROUND(M39/60,2)-5)*I39*H39*0.1*IF(P39="SI",1.2,1),"--")</f>
        <v>--</v>
      </c>
      <c r="W39" s="510" t="str">
        <f>IF(AND(N39="R",Q39="NO"),I39*H39*O39/100*IF(P39="SI",1.2,1),"--")</f>
        <v>--</v>
      </c>
      <c r="X39" s="511" t="str">
        <f>IF(AND(N39="R",M39&gt;=10),IF(M39&lt;=300,I39*H39*O39/100*IF(P39="SI",1.2,1)*ROUND(M39/60,2),5),"--")</f>
        <v>--</v>
      </c>
      <c r="Y39" s="512" t="str">
        <f>IF(AND(N39="R",M39&gt;300),(ROUND(M39/60,2)-5)*I39*H39*0.1*O39/100*IF(P39="SI",1.2,1),"--")</f>
        <v>--</v>
      </c>
      <c r="Z39" s="494" t="str">
        <f t="shared" si="18"/>
        <v>--</v>
      </c>
      <c r="AA39" s="495" t="str">
        <f t="shared" si="19"/>
        <v>--</v>
      </c>
      <c r="AB39" s="513">
        <f>IF(D39="","","SI")</f>
      </c>
      <c r="AC39" s="334">
        <f>SUM(R39:AA39)*IF(AB39="SI",1,2)</f>
        <v>0</v>
      </c>
      <c r="AD39" s="25">
        <f>IF(D39="","",AC39*$K$16)</f>
      </c>
      <c r="AE39" s="121"/>
    </row>
    <row r="40" spans="2:31" s="16" customFormat="1" ht="16.5" customHeight="1">
      <c r="B40" s="93"/>
      <c r="C40" s="477"/>
      <c r="D40" s="477"/>
      <c r="E40" s="506"/>
      <c r="F40" s="480"/>
      <c r="G40" s="505"/>
      <c r="H40" s="280">
        <f>IF(G40="A",200,IF(G40="B",60,20))</f>
        <v>20</v>
      </c>
      <c r="I40" s="451">
        <f>IF(E40=500,IF(F40&lt;100,$E$15,F40*$E$15/100),IF(F40&lt;100,$E$16,F40*$E$16/100))</f>
        <v>46.961</v>
      </c>
      <c r="J40" s="484"/>
      <c r="K40" s="486"/>
      <c r="L40" s="23">
        <f>IF(D40="","",(K40-J40)*24)</f>
      </c>
      <c r="M40" s="24">
        <f>IF(D40="","",ROUND((K40-J40)*24*60,0))</f>
      </c>
      <c r="N40" s="488"/>
      <c r="O40" s="507">
        <f>IF(D40="","","--")</f>
      </c>
      <c r="P40" s="22">
        <f>IF(D40="","","NO")</f>
      </c>
      <c r="Q40" s="490">
        <f t="shared" si="6"/>
      </c>
      <c r="R40" s="508" t="str">
        <f>IF(N40="P",I40*H40*ROUND(M40/60,2)*0.01,"--")</f>
        <v>--</v>
      </c>
      <c r="S40" s="509" t="str">
        <f>IF(N40="RP",I40*H40*ROUND(M40/60,2)*0.01*O40/100,"--")</f>
        <v>--</v>
      </c>
      <c r="T40" s="491" t="str">
        <f>IF(AND(N40="F",Q40="NO"),I40*H40*IF(P40="SI",1.2,1),"--")</f>
        <v>--</v>
      </c>
      <c r="U40" s="492" t="str">
        <f>IF(AND(N40="F",M40&gt;=10),I40*H40*IF(P40="SI",1.2,1)*IF(M40&lt;=300,ROUND(M40/60,2),5),"--")</f>
        <v>--</v>
      </c>
      <c r="V40" s="493" t="str">
        <f>IF(AND(N40="F",M40&gt;300),(ROUND(M40/60,2)-5)*I40*H40*0.1*IF(P40="SI",1.2,1),"--")</f>
        <v>--</v>
      </c>
      <c r="W40" s="510" t="str">
        <f>IF(AND(N40="R",Q40="NO"),I40*H40*O40/100*IF(P40="SI",1.2,1),"--")</f>
        <v>--</v>
      </c>
      <c r="X40" s="511" t="str">
        <f>IF(AND(N40="R",M40&gt;=10),IF(M40&lt;=300,I40*H40*O40/100*IF(P40="SI",1.2,1)*ROUND(M40/60,2),5),"--")</f>
        <v>--</v>
      </c>
      <c r="Y40" s="512" t="str">
        <f>IF(AND(N40="R",M40&gt;300),(ROUND(M40/60,2)-5)*I40*H40*0.1*O40/100*IF(P40="SI",1.2,1),"--")</f>
        <v>--</v>
      </c>
      <c r="Z40" s="494" t="str">
        <f>IF(N40="RF",ROUND(M40/60,2)*I40*H40*0.1*IF(P40="SI",1.2,1),"--")</f>
        <v>--</v>
      </c>
      <c r="AA40" s="495" t="str">
        <f>IF(N40="RR",ROUND(M40/60,2)*I40*H40*0.1*O40/100*IF(P40="SI",1.2,1),"--")</f>
        <v>--</v>
      </c>
      <c r="AB40" s="513">
        <f>IF(D40="","","SI")</f>
      </c>
      <c r="AC40" s="334">
        <f>SUM(R40:AA40)*IF(AB40="SI",1,2)</f>
        <v>0</v>
      </c>
      <c r="AD40" s="25">
        <f>IF(D40="","",AC40*$K$16)</f>
      </c>
      <c r="AE40" s="121"/>
    </row>
    <row r="41" spans="2:31" s="16" customFormat="1" ht="16.5" customHeight="1" thickBot="1">
      <c r="B41" s="93"/>
      <c r="C41" s="481"/>
      <c r="D41" s="481"/>
      <c r="E41" s="482"/>
      <c r="F41" s="481"/>
      <c r="G41" s="483"/>
      <c r="H41" s="273"/>
      <c r="I41" s="305"/>
      <c r="J41" s="487"/>
      <c r="K41" s="487"/>
      <c r="L41" s="27"/>
      <c r="M41" s="27"/>
      <c r="N41" s="487"/>
      <c r="O41" s="496"/>
      <c r="P41" s="27"/>
      <c r="Q41" s="487"/>
      <c r="R41" s="514"/>
      <c r="S41" s="515"/>
      <c r="T41" s="497"/>
      <c r="U41" s="498"/>
      <c r="V41" s="499"/>
      <c r="W41" s="516"/>
      <c r="X41" s="517"/>
      <c r="Y41" s="518"/>
      <c r="Z41" s="500"/>
      <c r="AA41" s="501"/>
      <c r="AB41" s="519"/>
      <c r="AC41" s="335"/>
      <c r="AD41" s="28"/>
      <c r="AE41" s="121"/>
    </row>
    <row r="42" spans="2:31" s="16" customFormat="1" ht="16.5" customHeight="1" thickBot="1" thickTop="1">
      <c r="B42" s="93"/>
      <c r="C42" s="207" t="s">
        <v>44</v>
      </c>
      <c r="D42" s="208" t="s">
        <v>45</v>
      </c>
      <c r="E42" s="30"/>
      <c r="F42" s="1"/>
      <c r="G42" s="31"/>
      <c r="H42" s="1"/>
      <c r="I42" s="32"/>
      <c r="J42" s="32"/>
      <c r="K42" s="32"/>
      <c r="L42" s="32"/>
      <c r="M42" s="32"/>
      <c r="N42" s="32"/>
      <c r="O42" s="33"/>
      <c r="P42" s="32"/>
      <c r="Q42" s="32"/>
      <c r="R42" s="307">
        <f aca="true" t="shared" si="20" ref="R42:AA42">SUM(R20:R41)</f>
        <v>19.9602326</v>
      </c>
      <c r="S42" s="314">
        <f t="shared" si="20"/>
        <v>0</v>
      </c>
      <c r="T42" s="318">
        <f t="shared" si="20"/>
        <v>0</v>
      </c>
      <c r="U42" s="319">
        <f t="shared" si="20"/>
        <v>0</v>
      </c>
      <c r="V42" s="320">
        <f t="shared" si="20"/>
        <v>0</v>
      </c>
      <c r="W42" s="328">
        <f t="shared" si="20"/>
        <v>0</v>
      </c>
      <c r="X42" s="329">
        <f t="shared" si="20"/>
        <v>0</v>
      </c>
      <c r="Y42" s="330">
        <f t="shared" si="20"/>
        <v>0</v>
      </c>
      <c r="Z42" s="297">
        <f t="shared" si="20"/>
        <v>0</v>
      </c>
      <c r="AA42" s="298">
        <f t="shared" si="20"/>
        <v>0</v>
      </c>
      <c r="AB42" s="34"/>
      <c r="AC42" s="332">
        <f>ROUND(SUM(AC20:AC41),2)</f>
        <v>19.96</v>
      </c>
      <c r="AD42" s="59">
        <f>ROUND(SUM(AD20:AD41),2)</f>
        <v>19.96</v>
      </c>
      <c r="AE42" s="121"/>
    </row>
    <row r="43" spans="2:31" s="212" customFormat="1" ht="9.75" thickTop="1">
      <c r="B43" s="213"/>
      <c r="C43" s="209"/>
      <c r="D43" s="211" t="s">
        <v>46</v>
      </c>
      <c r="E43" s="214"/>
      <c r="F43" s="215"/>
      <c r="G43" s="216"/>
      <c r="H43" s="215"/>
      <c r="I43" s="217"/>
      <c r="J43" s="217"/>
      <c r="K43" s="217"/>
      <c r="L43" s="217"/>
      <c r="M43" s="217"/>
      <c r="N43" s="217"/>
      <c r="O43" s="218"/>
      <c r="P43" s="217"/>
      <c r="Q43" s="217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20"/>
      <c r="AD43" s="220"/>
      <c r="AE43" s="221"/>
    </row>
    <row r="44" spans="2:31" s="16" customFormat="1" ht="16.5" customHeight="1" thickBot="1">
      <c r="B44" s="122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4"/>
    </row>
    <row r="45" spans="2:31" ht="16.5" customHeight="1" thickTop="1">
      <c r="B45" s="12"/>
      <c r="AE45" s="12"/>
    </row>
  </sheetData>
  <mergeCells count="1">
    <mergeCell ref="M14:Q14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C155"/>
  <sheetViews>
    <sheetView zoomScale="75" zoomScaleNormal="75" workbookViewId="0" topLeftCell="D1">
      <selection activeCell="I95" sqref="I95:S95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5" width="25.710937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8" width="15.7109375" style="0" customWidth="1"/>
  </cols>
  <sheetData>
    <row r="1" spans="1:28" s="61" customFormat="1" ht="26.2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456"/>
    </row>
    <row r="2" spans="1:28" s="61" customFormat="1" ht="26.25">
      <c r="A2" s="111"/>
      <c r="B2" s="154" t="str">
        <f>+'tot-0401'!B2</f>
        <v>ANEXO I-2a a la Resolución ENRE N° 686 /2007.-</v>
      </c>
      <c r="C2" s="154"/>
      <c r="D2" s="154"/>
      <c r="E2" s="62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</row>
    <row r="3" spans="1:28" s="16" customFormat="1" ht="12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</row>
    <row r="4" spans="1:28" s="68" customFormat="1" ht="11.25">
      <c r="A4" s="178" t="s">
        <v>59</v>
      </c>
      <c r="B4" s="179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</row>
    <row r="5" spans="1:28" s="68" customFormat="1" ht="11.25">
      <c r="A5" s="178" t="s">
        <v>12</v>
      </c>
      <c r="B5" s="179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</row>
    <row r="6" spans="1:28" s="16" customFormat="1" ht="13.5" thickBo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</row>
    <row r="7" spans="1:28" s="16" customFormat="1" ht="13.5" thickTop="1">
      <c r="A7" s="44"/>
      <c r="B7" s="145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15"/>
    </row>
    <row r="8" spans="1:28" s="10" customFormat="1" ht="20.25">
      <c r="A8" s="156"/>
      <c r="B8" s="157"/>
      <c r="C8" s="156"/>
      <c r="D8" s="159" t="s">
        <v>23</v>
      </c>
      <c r="E8" s="156"/>
      <c r="F8" s="156"/>
      <c r="G8" s="158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35"/>
      <c r="S8" s="35"/>
      <c r="T8" s="35"/>
      <c r="U8" s="35"/>
      <c r="V8" s="35"/>
      <c r="W8" s="35"/>
      <c r="X8" s="35"/>
      <c r="Y8" s="35"/>
      <c r="Z8" s="35"/>
      <c r="AA8" s="35"/>
      <c r="AB8" s="128"/>
    </row>
    <row r="9" spans="1:28" s="16" customFormat="1" ht="12.75">
      <c r="A9" s="44"/>
      <c r="B9" s="147"/>
      <c r="C9" s="44"/>
      <c r="D9" s="45"/>
      <c r="E9" s="153"/>
      <c r="F9" s="44"/>
      <c r="G9" s="45"/>
      <c r="H9" s="44"/>
      <c r="I9" s="44"/>
      <c r="J9" s="44"/>
      <c r="K9" s="44"/>
      <c r="L9" s="44"/>
      <c r="M9" s="44"/>
      <c r="N9" s="44"/>
      <c r="O9" s="44"/>
      <c r="P9" s="44"/>
      <c r="Q9" s="44"/>
      <c r="R9" s="45"/>
      <c r="S9" s="45"/>
      <c r="T9" s="45"/>
      <c r="U9" s="45"/>
      <c r="V9" s="45"/>
      <c r="W9" s="45"/>
      <c r="X9" s="45"/>
      <c r="Y9" s="45"/>
      <c r="Z9" s="45"/>
      <c r="AA9" s="45"/>
      <c r="AB9" s="116"/>
    </row>
    <row r="10" spans="1:28" s="10" customFormat="1" ht="20.25">
      <c r="A10" s="156"/>
      <c r="B10" s="157"/>
      <c r="C10" s="156"/>
      <c r="D10" s="7" t="s">
        <v>95</v>
      </c>
      <c r="E10" s="156"/>
      <c r="F10" s="47"/>
      <c r="G10" s="35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128"/>
    </row>
    <row r="11" spans="1:28" s="16" customFormat="1" ht="12.75">
      <c r="A11" s="44"/>
      <c r="B11" s="147"/>
      <c r="C11" s="44"/>
      <c r="D11" s="45"/>
      <c r="E11" s="45"/>
      <c r="F11" s="45"/>
      <c r="G11" s="148"/>
      <c r="H11" s="45"/>
      <c r="I11" s="45"/>
      <c r="J11" s="45"/>
      <c r="K11" s="45"/>
      <c r="L11" s="45"/>
      <c r="M11" s="44"/>
      <c r="N11" s="44"/>
      <c r="O11" s="44"/>
      <c r="P11" s="44"/>
      <c r="Q11" s="44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116"/>
    </row>
    <row r="12" spans="1:28" s="15" customFormat="1" ht="19.5">
      <c r="A12" s="161"/>
      <c r="B12" s="162" t="str">
        <f>+'tot-0401'!B14</f>
        <v>Desde el 01 al 31 de enero de 2004</v>
      </c>
      <c r="C12" s="163"/>
      <c r="D12" s="164"/>
      <c r="E12" s="164"/>
      <c r="F12" s="164"/>
      <c r="G12" s="164"/>
      <c r="H12" s="164"/>
      <c r="I12" s="164"/>
      <c r="J12" s="164"/>
      <c r="K12" s="164"/>
      <c r="L12" s="164"/>
      <c r="M12" s="163"/>
      <c r="N12" s="163"/>
      <c r="O12" s="163"/>
      <c r="P12" s="163"/>
      <c r="Q12" s="163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5"/>
    </row>
    <row r="13" spans="1:28" s="16" customFormat="1" ht="13.5" thickBot="1">
      <c r="A13" s="44"/>
      <c r="B13" s="147"/>
      <c r="C13" s="44"/>
      <c r="D13" s="45"/>
      <c r="E13" s="45"/>
      <c r="F13" s="45"/>
      <c r="G13" s="148"/>
      <c r="H13" s="45"/>
      <c r="I13" s="45"/>
      <c r="J13" s="45"/>
      <c r="K13" s="45"/>
      <c r="L13" s="45"/>
      <c r="M13" s="44"/>
      <c r="N13" s="44"/>
      <c r="O13" s="44"/>
      <c r="P13" s="44"/>
      <c r="Q13" s="44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116"/>
    </row>
    <row r="14" spans="1:28" s="16" customFormat="1" ht="16.5" customHeight="1" thickBot="1" thickTop="1">
      <c r="A14" s="44"/>
      <c r="B14" s="147"/>
      <c r="C14" s="44"/>
      <c r="D14" s="275" t="s">
        <v>60</v>
      </c>
      <c r="E14" s="276"/>
      <c r="F14" s="277">
        <v>0.059</v>
      </c>
      <c r="H14" s="44"/>
      <c r="I14" s="44"/>
      <c r="J14" s="44"/>
      <c r="K14" s="44"/>
      <c r="L14" s="44"/>
      <c r="M14" s="44"/>
      <c r="N14" s="44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116"/>
    </row>
    <row r="15" spans="1:28" s="16" customFormat="1" ht="16.5" customHeight="1" thickBot="1" thickTop="1">
      <c r="A15" s="44"/>
      <c r="B15" s="147"/>
      <c r="C15" s="44"/>
      <c r="D15" s="166" t="s">
        <v>61</v>
      </c>
      <c r="E15" s="167"/>
      <c r="F15" s="168">
        <v>200</v>
      </c>
      <c r="G1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6"/>
      <c r="V15" s="46"/>
      <c r="W15" s="46"/>
      <c r="X15" s="46"/>
      <c r="Y15" s="46"/>
      <c r="Z15" s="46"/>
      <c r="AA15" s="44"/>
      <c r="AB15" s="116"/>
    </row>
    <row r="16" spans="1:28" s="16" customFormat="1" ht="16.5" customHeight="1" thickBot="1" thickTop="1">
      <c r="A16" s="44"/>
      <c r="B16" s="147"/>
      <c r="C16" s="44"/>
      <c r="D16" s="45"/>
      <c r="E16" s="45"/>
      <c r="F16" s="45"/>
      <c r="G16" s="149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116"/>
    </row>
    <row r="17" spans="1:28" s="16" customFormat="1" ht="33.75" customHeight="1" thickBot="1" thickTop="1">
      <c r="A17" s="44"/>
      <c r="B17" s="147"/>
      <c r="C17" s="169" t="s">
        <v>24</v>
      </c>
      <c r="D17" s="172" t="s">
        <v>62</v>
      </c>
      <c r="E17" s="170" t="s">
        <v>10</v>
      </c>
      <c r="F17" s="173" t="s">
        <v>63</v>
      </c>
      <c r="G17" s="174" t="s">
        <v>25</v>
      </c>
      <c r="H17" s="270" t="s">
        <v>29</v>
      </c>
      <c r="I17" s="170" t="s">
        <v>30</v>
      </c>
      <c r="J17" s="170" t="s">
        <v>31</v>
      </c>
      <c r="K17" s="172" t="s">
        <v>64</v>
      </c>
      <c r="L17" s="172" t="s">
        <v>33</v>
      </c>
      <c r="M17" s="140" t="s">
        <v>34</v>
      </c>
      <c r="N17" s="140" t="s">
        <v>35</v>
      </c>
      <c r="O17" s="171" t="s">
        <v>37</v>
      </c>
      <c r="P17" s="170" t="s">
        <v>65</v>
      </c>
      <c r="Q17" s="340" t="s">
        <v>28</v>
      </c>
      <c r="R17" s="343" t="s">
        <v>38</v>
      </c>
      <c r="S17" s="347" t="s">
        <v>39</v>
      </c>
      <c r="T17" s="267" t="s">
        <v>66</v>
      </c>
      <c r="U17" s="269"/>
      <c r="V17" s="357" t="s">
        <v>67</v>
      </c>
      <c r="W17" s="358"/>
      <c r="X17" s="366" t="s">
        <v>40</v>
      </c>
      <c r="Y17" s="369" t="s">
        <v>41</v>
      </c>
      <c r="Z17" s="142" t="s">
        <v>42</v>
      </c>
      <c r="AA17" s="174" t="s">
        <v>43</v>
      </c>
      <c r="AB17" s="116"/>
    </row>
    <row r="18" spans="1:28" s="16" customFormat="1" ht="16.5" customHeight="1" thickTop="1">
      <c r="A18" s="44"/>
      <c r="B18" s="147"/>
      <c r="C18" s="337"/>
      <c r="D18" s="337"/>
      <c r="E18" s="337"/>
      <c r="F18" s="337"/>
      <c r="G18" s="338"/>
      <c r="H18" s="336"/>
      <c r="I18" s="337"/>
      <c r="J18" s="337"/>
      <c r="K18" s="337"/>
      <c r="L18" s="337"/>
      <c r="M18" s="337"/>
      <c r="N18" s="290"/>
      <c r="O18" s="339"/>
      <c r="P18" s="337"/>
      <c r="Q18" s="341"/>
      <c r="R18" s="344"/>
      <c r="S18" s="348"/>
      <c r="T18" s="351"/>
      <c r="U18" s="352"/>
      <c r="V18" s="359"/>
      <c r="W18" s="360"/>
      <c r="X18" s="367"/>
      <c r="Y18" s="370"/>
      <c r="Z18" s="339"/>
      <c r="AA18" s="453"/>
      <c r="AB18" s="116"/>
    </row>
    <row r="19" spans="1:28" s="16" customFormat="1" ht="16.5" customHeight="1">
      <c r="A19" s="44"/>
      <c r="B19" s="147"/>
      <c r="C19" s="37"/>
      <c r="D19" s="37"/>
      <c r="E19" s="37"/>
      <c r="F19" s="37"/>
      <c r="G19" s="38"/>
      <c r="H19" s="278"/>
      <c r="I19" s="37"/>
      <c r="J19" s="37"/>
      <c r="K19" s="37"/>
      <c r="L19" s="37"/>
      <c r="M19" s="37"/>
      <c r="N19" s="18"/>
      <c r="O19" s="39"/>
      <c r="P19" s="37"/>
      <c r="Q19" s="342"/>
      <c r="R19" s="345"/>
      <c r="S19" s="349"/>
      <c r="T19" s="353"/>
      <c r="U19" s="354"/>
      <c r="V19" s="361"/>
      <c r="W19" s="362"/>
      <c r="X19" s="368"/>
      <c r="Y19" s="371"/>
      <c r="Z19" s="39"/>
      <c r="AA19" s="175"/>
      <c r="AB19" s="116"/>
    </row>
    <row r="20" spans="1:28" s="16" customFormat="1" ht="16.5" customHeight="1">
      <c r="A20" s="44"/>
      <c r="B20" s="147"/>
      <c r="C20" s="478" t="s">
        <v>89</v>
      </c>
      <c r="D20" s="575" t="s">
        <v>6</v>
      </c>
      <c r="E20" s="575" t="s">
        <v>7</v>
      </c>
      <c r="F20" s="575">
        <v>300</v>
      </c>
      <c r="G20" s="575" t="s">
        <v>3</v>
      </c>
      <c r="H20" s="452">
        <f aca="true" t="shared" si="0" ref="H20:H39">F20*$F$14</f>
        <v>17.7</v>
      </c>
      <c r="I20" s="529">
        <v>37998.44097222222</v>
      </c>
      <c r="J20" s="529">
        <v>37998.7625</v>
      </c>
      <c r="K20" s="40">
        <f aca="true" t="shared" si="1" ref="K20:K39">IF(D20="","",(J20-I20)*24)</f>
        <v>7.716666666674428</v>
      </c>
      <c r="L20" s="41">
        <f aca="true" t="shared" si="2" ref="L20:L39">IF(D20="","",ROUND((J20-I20)*24*60,0))</f>
        <v>463</v>
      </c>
      <c r="M20" s="531" t="s">
        <v>87</v>
      </c>
      <c r="N20" s="507" t="str">
        <f aca="true" t="shared" si="3" ref="N20:N39">IF(D20="","","--")</f>
        <v>--</v>
      </c>
      <c r="O20" s="532" t="str">
        <f>IF(D20="","",IF(OR(M20="P",M20="RP"),"--","NO"))</f>
        <v>--</v>
      </c>
      <c r="P20" s="490" t="str">
        <f aca="true" t="shared" si="4" ref="P20:P39">IF(D20="","","NO")</f>
        <v>NO</v>
      </c>
      <c r="Q20" s="552">
        <f aca="true" t="shared" si="5" ref="Q20:Q39">$F$15*IF(OR(M20="P",M20="RP"),0.1,1)*IF(P20="SI",1,0.1)</f>
        <v>2</v>
      </c>
      <c r="R20" s="535">
        <f aca="true" t="shared" si="6" ref="R20:R39">IF(M20="P",H20*Q20*ROUND(L20/60,2),"--")</f>
        <v>273.28799999999995</v>
      </c>
      <c r="S20" s="536" t="str">
        <f aca="true" t="shared" si="7" ref="S20:S39">IF(M20="RP",H20*Q20*N20/100*ROUND(L20/60,2),"--")</f>
        <v>--</v>
      </c>
      <c r="T20" s="537" t="str">
        <f aca="true" t="shared" si="8" ref="T20:T39">IF(AND(M20="F",O20="NO"),H20*Q20,"--")</f>
        <v>--</v>
      </c>
      <c r="U20" s="538" t="str">
        <f aca="true" t="shared" si="9" ref="U20:U39">IF(M20="F",H20*Q20*ROUND(L20/60,2),"--")</f>
        <v>--</v>
      </c>
      <c r="V20" s="539" t="str">
        <f aca="true" t="shared" si="10" ref="V20:V39">IF(AND(M20="R",O20="NO"),H20*Q20*N20/100,"--")</f>
        <v>--</v>
      </c>
      <c r="W20" s="540" t="str">
        <f aca="true" t="shared" si="11" ref="W20:W39">IF(M20="R",H20*Q20*N20/100*ROUND(L20/60,2),"--")</f>
        <v>--</v>
      </c>
      <c r="X20" s="541" t="str">
        <f aca="true" t="shared" si="12" ref="X20:X39">IF(M20="RF",H20*Q20*ROUND(L20/60,2),"--")</f>
        <v>--</v>
      </c>
      <c r="Y20" s="542" t="str">
        <f aca="true" t="shared" si="13" ref="Y20:Y39">IF(M20="RR",H20*Q20*N20/100*ROUND(L20/60,2),"--")</f>
        <v>--</v>
      </c>
      <c r="Z20" s="553" t="str">
        <f aca="true" t="shared" si="14" ref="Z20:Z39">IF(D20="","","SI")</f>
        <v>SI</v>
      </c>
      <c r="AA20" s="176">
        <f aca="true" t="shared" si="15" ref="AA20:AA39">IF(D20="","",SUM(R20:Y20)*IF(Z20="SI",1,2))</f>
        <v>273.28799999999995</v>
      </c>
      <c r="AB20" s="116"/>
    </row>
    <row r="21" spans="1:28" s="16" customFormat="1" ht="16.5" customHeight="1">
      <c r="A21" s="44"/>
      <c r="B21" s="147"/>
      <c r="C21" s="478" t="s">
        <v>90</v>
      </c>
      <c r="D21" s="575" t="s">
        <v>6</v>
      </c>
      <c r="E21" s="575" t="s">
        <v>7</v>
      </c>
      <c r="F21" s="575">
        <v>300</v>
      </c>
      <c r="G21" s="575" t="s">
        <v>3</v>
      </c>
      <c r="H21" s="452">
        <f t="shared" si="0"/>
        <v>17.7</v>
      </c>
      <c r="I21" s="529">
        <v>37999.35972222222</v>
      </c>
      <c r="J21" s="529">
        <v>37999.74930555555</v>
      </c>
      <c r="K21" s="40">
        <f t="shared" si="1"/>
        <v>9.34999999991851</v>
      </c>
      <c r="L21" s="41">
        <f t="shared" si="2"/>
        <v>561</v>
      </c>
      <c r="M21" s="531" t="s">
        <v>87</v>
      </c>
      <c r="N21" s="507" t="str">
        <f t="shared" si="3"/>
        <v>--</v>
      </c>
      <c r="O21" s="532" t="str">
        <f aca="true" t="shared" si="16" ref="O21:O39">IF(D21="","",IF(M21="P","--","NO"))</f>
        <v>--</v>
      </c>
      <c r="P21" s="490" t="str">
        <f t="shared" si="4"/>
        <v>NO</v>
      </c>
      <c r="Q21" s="552">
        <f t="shared" si="5"/>
        <v>2</v>
      </c>
      <c r="R21" s="535">
        <f t="shared" si="6"/>
        <v>330.98999999999995</v>
      </c>
      <c r="S21" s="536" t="str">
        <f t="shared" si="7"/>
        <v>--</v>
      </c>
      <c r="T21" s="537" t="str">
        <f t="shared" si="8"/>
        <v>--</v>
      </c>
      <c r="U21" s="538" t="str">
        <f t="shared" si="9"/>
        <v>--</v>
      </c>
      <c r="V21" s="539" t="str">
        <f t="shared" si="10"/>
        <v>--</v>
      </c>
      <c r="W21" s="540" t="str">
        <f t="shared" si="11"/>
        <v>--</v>
      </c>
      <c r="X21" s="541" t="str">
        <f t="shared" si="12"/>
        <v>--</v>
      </c>
      <c r="Y21" s="542" t="str">
        <f t="shared" si="13"/>
        <v>--</v>
      </c>
      <c r="Z21" s="553" t="str">
        <f t="shared" si="14"/>
        <v>SI</v>
      </c>
      <c r="AA21" s="176">
        <f t="shared" si="15"/>
        <v>330.98999999999995</v>
      </c>
      <c r="AB21" s="116"/>
    </row>
    <row r="22" spans="1:28" s="16" customFormat="1" ht="16.5" customHeight="1">
      <c r="A22" s="44"/>
      <c r="B22" s="147"/>
      <c r="C22" s="478" t="s">
        <v>91</v>
      </c>
      <c r="D22" s="575" t="s">
        <v>6</v>
      </c>
      <c r="E22" s="575" t="s">
        <v>7</v>
      </c>
      <c r="F22" s="575">
        <v>300</v>
      </c>
      <c r="G22" s="575" t="s">
        <v>3</v>
      </c>
      <c r="H22" s="452">
        <f t="shared" si="0"/>
        <v>17.7</v>
      </c>
      <c r="I22" s="529">
        <v>38000.64444444444</v>
      </c>
      <c r="J22" s="529">
        <v>38000.763194444444</v>
      </c>
      <c r="K22" s="40">
        <f t="shared" si="1"/>
        <v>2.8500000000349246</v>
      </c>
      <c r="L22" s="41">
        <f t="shared" si="2"/>
        <v>171</v>
      </c>
      <c r="M22" s="531" t="s">
        <v>87</v>
      </c>
      <c r="N22" s="507" t="str">
        <f t="shared" si="3"/>
        <v>--</v>
      </c>
      <c r="O22" s="532" t="str">
        <f t="shared" si="16"/>
        <v>--</v>
      </c>
      <c r="P22" s="490" t="str">
        <f t="shared" si="4"/>
        <v>NO</v>
      </c>
      <c r="Q22" s="552">
        <f t="shared" si="5"/>
        <v>2</v>
      </c>
      <c r="R22" s="535">
        <f t="shared" si="6"/>
        <v>100.89</v>
      </c>
      <c r="S22" s="536" t="str">
        <f t="shared" si="7"/>
        <v>--</v>
      </c>
      <c r="T22" s="537" t="str">
        <f t="shared" si="8"/>
        <v>--</v>
      </c>
      <c r="U22" s="538" t="str">
        <f t="shared" si="9"/>
        <v>--</v>
      </c>
      <c r="V22" s="539" t="str">
        <f t="shared" si="10"/>
        <v>--</v>
      </c>
      <c r="W22" s="540" t="str">
        <f t="shared" si="11"/>
        <v>--</v>
      </c>
      <c r="X22" s="541" t="str">
        <f t="shared" si="12"/>
        <v>--</v>
      </c>
      <c r="Y22" s="542" t="str">
        <f t="shared" si="13"/>
        <v>--</v>
      </c>
      <c r="Z22" s="553" t="str">
        <f t="shared" si="14"/>
        <v>SI</v>
      </c>
      <c r="AA22" s="176">
        <f t="shared" si="15"/>
        <v>100.89</v>
      </c>
      <c r="AB22" s="116"/>
    </row>
    <row r="23" spans="1:28" s="16" customFormat="1" ht="16.5" customHeight="1">
      <c r="A23" s="44"/>
      <c r="B23" s="147"/>
      <c r="C23" s="478" t="s">
        <v>97</v>
      </c>
      <c r="D23" s="575" t="s">
        <v>6</v>
      </c>
      <c r="E23" s="575" t="s">
        <v>7</v>
      </c>
      <c r="F23" s="575">
        <v>300</v>
      </c>
      <c r="G23" s="575" t="s">
        <v>3</v>
      </c>
      <c r="H23" s="452">
        <f t="shared" si="0"/>
        <v>17.7</v>
      </c>
      <c r="I23" s="529">
        <v>38001.3625</v>
      </c>
      <c r="J23" s="529">
        <v>38001.509722222225</v>
      </c>
      <c r="K23" s="40">
        <f t="shared" si="1"/>
        <v>3.5333333333255723</v>
      </c>
      <c r="L23" s="41">
        <f t="shared" si="2"/>
        <v>212</v>
      </c>
      <c r="M23" s="531" t="s">
        <v>87</v>
      </c>
      <c r="N23" s="507" t="str">
        <f t="shared" si="3"/>
        <v>--</v>
      </c>
      <c r="O23" s="532" t="str">
        <f t="shared" si="16"/>
        <v>--</v>
      </c>
      <c r="P23" s="490" t="str">
        <f t="shared" si="4"/>
        <v>NO</v>
      </c>
      <c r="Q23" s="552">
        <f t="shared" si="5"/>
        <v>2</v>
      </c>
      <c r="R23" s="535">
        <f t="shared" si="6"/>
        <v>124.96199999999999</v>
      </c>
      <c r="S23" s="536" t="str">
        <f t="shared" si="7"/>
        <v>--</v>
      </c>
      <c r="T23" s="537" t="str">
        <f t="shared" si="8"/>
        <v>--</v>
      </c>
      <c r="U23" s="538" t="str">
        <f t="shared" si="9"/>
        <v>--</v>
      </c>
      <c r="V23" s="539" t="str">
        <f t="shared" si="10"/>
        <v>--</v>
      </c>
      <c r="W23" s="540" t="str">
        <f t="shared" si="11"/>
        <v>--</v>
      </c>
      <c r="X23" s="541" t="str">
        <f t="shared" si="12"/>
        <v>--</v>
      </c>
      <c r="Y23" s="542" t="str">
        <f t="shared" si="13"/>
        <v>--</v>
      </c>
      <c r="Z23" s="553" t="str">
        <f t="shared" si="14"/>
        <v>SI</v>
      </c>
      <c r="AA23" s="176">
        <f t="shared" si="15"/>
        <v>124.96199999999999</v>
      </c>
      <c r="AB23" s="116"/>
    </row>
    <row r="24" spans="1:28" s="16" customFormat="1" ht="16.5" customHeight="1">
      <c r="A24" s="44"/>
      <c r="B24" s="147"/>
      <c r="C24" s="478"/>
      <c r="D24" s="520"/>
      <c r="E24" s="521"/>
      <c r="F24" s="522"/>
      <c r="G24" s="523"/>
      <c r="H24" s="452">
        <f t="shared" si="0"/>
        <v>0</v>
      </c>
      <c r="I24" s="529"/>
      <c r="J24" s="529"/>
      <c r="K24" s="40">
        <f t="shared" si="1"/>
      </c>
      <c r="L24" s="41">
        <f t="shared" si="2"/>
      </c>
      <c r="M24" s="531"/>
      <c r="N24" s="507">
        <f t="shared" si="3"/>
      </c>
      <c r="O24" s="532">
        <f t="shared" si="16"/>
      </c>
      <c r="P24" s="490">
        <f t="shared" si="4"/>
      </c>
      <c r="Q24" s="552">
        <f t="shared" si="5"/>
        <v>20</v>
      </c>
      <c r="R24" s="535" t="str">
        <f t="shared" si="6"/>
        <v>--</v>
      </c>
      <c r="S24" s="536" t="str">
        <f t="shared" si="7"/>
        <v>--</v>
      </c>
      <c r="T24" s="537" t="str">
        <f t="shared" si="8"/>
        <v>--</v>
      </c>
      <c r="U24" s="538" t="str">
        <f t="shared" si="9"/>
        <v>--</v>
      </c>
      <c r="V24" s="539" t="str">
        <f t="shared" si="10"/>
        <v>--</v>
      </c>
      <c r="W24" s="540" t="str">
        <f t="shared" si="11"/>
        <v>--</v>
      </c>
      <c r="X24" s="541" t="str">
        <f t="shared" si="12"/>
        <v>--</v>
      </c>
      <c r="Y24" s="542" t="str">
        <f t="shared" si="13"/>
        <v>--</v>
      </c>
      <c r="Z24" s="553">
        <f t="shared" si="14"/>
      </c>
      <c r="AA24" s="176">
        <f t="shared" si="15"/>
      </c>
      <c r="AB24" s="116"/>
    </row>
    <row r="25" spans="1:28" s="16" customFormat="1" ht="16.5" customHeight="1">
      <c r="A25" s="44"/>
      <c r="B25" s="147"/>
      <c r="C25" s="478"/>
      <c r="D25" s="520"/>
      <c r="E25" s="521"/>
      <c r="F25" s="522"/>
      <c r="G25" s="523"/>
      <c r="H25" s="452">
        <f t="shared" si="0"/>
        <v>0</v>
      </c>
      <c r="I25" s="529"/>
      <c r="J25" s="529"/>
      <c r="K25" s="40">
        <f t="shared" si="1"/>
      </c>
      <c r="L25" s="41">
        <f t="shared" si="2"/>
      </c>
      <c r="M25" s="531"/>
      <c r="N25" s="507">
        <f t="shared" si="3"/>
      </c>
      <c r="O25" s="532">
        <f t="shared" si="16"/>
      </c>
      <c r="P25" s="490">
        <f t="shared" si="4"/>
      </c>
      <c r="Q25" s="552">
        <f t="shared" si="5"/>
        <v>20</v>
      </c>
      <c r="R25" s="535" t="str">
        <f t="shared" si="6"/>
        <v>--</v>
      </c>
      <c r="S25" s="536" t="str">
        <f t="shared" si="7"/>
        <v>--</v>
      </c>
      <c r="T25" s="537" t="str">
        <f t="shared" si="8"/>
        <v>--</v>
      </c>
      <c r="U25" s="538" t="str">
        <f t="shared" si="9"/>
        <v>--</v>
      </c>
      <c r="V25" s="539" t="str">
        <f t="shared" si="10"/>
        <v>--</v>
      </c>
      <c r="W25" s="540" t="str">
        <f t="shared" si="11"/>
        <v>--</v>
      </c>
      <c r="X25" s="541" t="str">
        <f t="shared" si="12"/>
        <v>--</v>
      </c>
      <c r="Y25" s="542" t="str">
        <f t="shared" si="13"/>
        <v>--</v>
      </c>
      <c r="Z25" s="553">
        <f t="shared" si="14"/>
      </c>
      <c r="AA25" s="176">
        <f t="shared" si="15"/>
      </c>
      <c r="AB25" s="116"/>
    </row>
    <row r="26" spans="1:29" s="16" customFormat="1" ht="16.5" customHeight="1">
      <c r="A26" s="44"/>
      <c r="B26" s="147"/>
      <c r="C26" s="478"/>
      <c r="D26" s="520"/>
      <c r="E26" s="521"/>
      <c r="F26" s="522"/>
      <c r="G26" s="523"/>
      <c r="H26" s="452">
        <f t="shared" si="0"/>
        <v>0</v>
      </c>
      <c r="I26" s="529"/>
      <c r="J26" s="529"/>
      <c r="K26" s="40">
        <f t="shared" si="1"/>
      </c>
      <c r="L26" s="41">
        <f t="shared" si="2"/>
      </c>
      <c r="M26" s="531"/>
      <c r="N26" s="507">
        <f t="shared" si="3"/>
      </c>
      <c r="O26" s="532">
        <f t="shared" si="16"/>
      </c>
      <c r="P26" s="490">
        <f t="shared" si="4"/>
      </c>
      <c r="Q26" s="552">
        <f t="shared" si="5"/>
        <v>20</v>
      </c>
      <c r="R26" s="535" t="str">
        <f t="shared" si="6"/>
        <v>--</v>
      </c>
      <c r="S26" s="536" t="str">
        <f t="shared" si="7"/>
        <v>--</v>
      </c>
      <c r="T26" s="537" t="str">
        <f t="shared" si="8"/>
        <v>--</v>
      </c>
      <c r="U26" s="538" t="str">
        <f t="shared" si="9"/>
        <v>--</v>
      </c>
      <c r="V26" s="539" t="str">
        <f t="shared" si="10"/>
        <v>--</v>
      </c>
      <c r="W26" s="540" t="str">
        <f t="shared" si="11"/>
        <v>--</v>
      </c>
      <c r="X26" s="541" t="str">
        <f t="shared" si="12"/>
        <v>--</v>
      </c>
      <c r="Y26" s="542" t="str">
        <f t="shared" si="13"/>
        <v>--</v>
      </c>
      <c r="Z26" s="553">
        <f t="shared" si="14"/>
      </c>
      <c r="AA26" s="176">
        <f t="shared" si="15"/>
      </c>
      <c r="AB26" s="116"/>
      <c r="AC26" s="45"/>
    </row>
    <row r="27" spans="1:28" s="16" customFormat="1" ht="16.5" customHeight="1">
      <c r="A27" s="44"/>
      <c r="B27" s="147"/>
      <c r="C27" s="478"/>
      <c r="D27" s="520"/>
      <c r="E27" s="521"/>
      <c r="F27" s="522"/>
      <c r="G27" s="523"/>
      <c r="H27" s="452">
        <f t="shared" si="0"/>
        <v>0</v>
      </c>
      <c r="I27" s="529"/>
      <c r="J27" s="529"/>
      <c r="K27" s="40">
        <f t="shared" si="1"/>
      </c>
      <c r="L27" s="41">
        <f t="shared" si="2"/>
      </c>
      <c r="M27" s="531"/>
      <c r="N27" s="507">
        <f t="shared" si="3"/>
      </c>
      <c r="O27" s="532">
        <f t="shared" si="16"/>
      </c>
      <c r="P27" s="490">
        <f t="shared" si="4"/>
      </c>
      <c r="Q27" s="552">
        <f t="shared" si="5"/>
        <v>20</v>
      </c>
      <c r="R27" s="535" t="str">
        <f t="shared" si="6"/>
        <v>--</v>
      </c>
      <c r="S27" s="536" t="str">
        <f t="shared" si="7"/>
        <v>--</v>
      </c>
      <c r="T27" s="537" t="str">
        <f t="shared" si="8"/>
        <v>--</v>
      </c>
      <c r="U27" s="538" t="str">
        <f t="shared" si="9"/>
        <v>--</v>
      </c>
      <c r="V27" s="539" t="str">
        <f t="shared" si="10"/>
        <v>--</v>
      </c>
      <c r="W27" s="540" t="str">
        <f t="shared" si="11"/>
        <v>--</v>
      </c>
      <c r="X27" s="541" t="str">
        <f t="shared" si="12"/>
        <v>--</v>
      </c>
      <c r="Y27" s="542" t="str">
        <f t="shared" si="13"/>
        <v>--</v>
      </c>
      <c r="Z27" s="553">
        <f t="shared" si="14"/>
      </c>
      <c r="AA27" s="176">
        <f t="shared" si="15"/>
      </c>
      <c r="AB27" s="116"/>
    </row>
    <row r="28" spans="1:28" s="16" customFormat="1" ht="16.5" customHeight="1">
      <c r="A28" s="44"/>
      <c r="B28" s="147"/>
      <c r="C28" s="478"/>
      <c r="D28" s="520"/>
      <c r="E28" s="521"/>
      <c r="F28" s="522"/>
      <c r="G28" s="523"/>
      <c r="H28" s="452">
        <f t="shared" si="0"/>
        <v>0</v>
      </c>
      <c r="I28" s="529"/>
      <c r="J28" s="529"/>
      <c r="K28" s="40">
        <f t="shared" si="1"/>
      </c>
      <c r="L28" s="41">
        <f t="shared" si="2"/>
      </c>
      <c r="M28" s="531"/>
      <c r="N28" s="507">
        <f t="shared" si="3"/>
      </c>
      <c r="O28" s="532">
        <f t="shared" si="16"/>
      </c>
      <c r="P28" s="490">
        <f t="shared" si="4"/>
      </c>
      <c r="Q28" s="552">
        <f t="shared" si="5"/>
        <v>20</v>
      </c>
      <c r="R28" s="535" t="str">
        <f t="shared" si="6"/>
        <v>--</v>
      </c>
      <c r="S28" s="536" t="str">
        <f t="shared" si="7"/>
        <v>--</v>
      </c>
      <c r="T28" s="537" t="str">
        <f t="shared" si="8"/>
        <v>--</v>
      </c>
      <c r="U28" s="538" t="str">
        <f t="shared" si="9"/>
        <v>--</v>
      </c>
      <c r="V28" s="539" t="str">
        <f t="shared" si="10"/>
        <v>--</v>
      </c>
      <c r="W28" s="540" t="str">
        <f t="shared" si="11"/>
        <v>--</v>
      </c>
      <c r="X28" s="541" t="str">
        <f t="shared" si="12"/>
        <v>--</v>
      </c>
      <c r="Y28" s="542" t="str">
        <f t="shared" si="13"/>
        <v>--</v>
      </c>
      <c r="Z28" s="553">
        <f t="shared" si="14"/>
      </c>
      <c r="AA28" s="176">
        <f t="shared" si="15"/>
      </c>
      <c r="AB28" s="116"/>
    </row>
    <row r="29" spans="1:28" s="16" customFormat="1" ht="16.5" customHeight="1">
      <c r="A29" s="44"/>
      <c r="B29" s="147"/>
      <c r="C29" s="478"/>
      <c r="D29" s="520"/>
      <c r="E29" s="521"/>
      <c r="F29" s="522"/>
      <c r="G29" s="523"/>
      <c r="H29" s="452">
        <f t="shared" si="0"/>
        <v>0</v>
      </c>
      <c r="I29" s="529"/>
      <c r="J29" s="529"/>
      <c r="K29" s="40">
        <f t="shared" si="1"/>
      </c>
      <c r="L29" s="41">
        <f t="shared" si="2"/>
      </c>
      <c r="M29" s="531"/>
      <c r="N29" s="507">
        <f t="shared" si="3"/>
      </c>
      <c r="O29" s="532">
        <f t="shared" si="16"/>
      </c>
      <c r="P29" s="490">
        <f t="shared" si="4"/>
      </c>
      <c r="Q29" s="552">
        <f t="shared" si="5"/>
        <v>20</v>
      </c>
      <c r="R29" s="535" t="str">
        <f t="shared" si="6"/>
        <v>--</v>
      </c>
      <c r="S29" s="536" t="str">
        <f t="shared" si="7"/>
        <v>--</v>
      </c>
      <c r="T29" s="537" t="str">
        <f t="shared" si="8"/>
        <v>--</v>
      </c>
      <c r="U29" s="538" t="str">
        <f t="shared" si="9"/>
        <v>--</v>
      </c>
      <c r="V29" s="539" t="str">
        <f t="shared" si="10"/>
        <v>--</v>
      </c>
      <c r="W29" s="540" t="str">
        <f t="shared" si="11"/>
        <v>--</v>
      </c>
      <c r="X29" s="541" t="str">
        <f t="shared" si="12"/>
        <v>--</v>
      </c>
      <c r="Y29" s="542" t="str">
        <f t="shared" si="13"/>
        <v>--</v>
      </c>
      <c r="Z29" s="553">
        <f t="shared" si="14"/>
      </c>
      <c r="AA29" s="176">
        <f t="shared" si="15"/>
      </c>
      <c r="AB29" s="116"/>
    </row>
    <row r="30" spans="1:28" s="16" customFormat="1" ht="16.5" customHeight="1">
      <c r="A30" s="44"/>
      <c r="B30" s="147"/>
      <c r="C30" s="478"/>
      <c r="D30" s="520"/>
      <c r="E30" s="524"/>
      <c r="F30" s="522"/>
      <c r="G30" s="523"/>
      <c r="H30" s="452">
        <f t="shared" si="0"/>
        <v>0</v>
      </c>
      <c r="I30" s="529"/>
      <c r="J30" s="529"/>
      <c r="K30" s="40">
        <f t="shared" si="1"/>
      </c>
      <c r="L30" s="41">
        <f t="shared" si="2"/>
      </c>
      <c r="M30" s="531"/>
      <c r="N30" s="507">
        <f t="shared" si="3"/>
      </c>
      <c r="O30" s="532">
        <f t="shared" si="16"/>
      </c>
      <c r="P30" s="490">
        <f t="shared" si="4"/>
      </c>
      <c r="Q30" s="552">
        <f t="shared" si="5"/>
        <v>20</v>
      </c>
      <c r="R30" s="535" t="str">
        <f t="shared" si="6"/>
        <v>--</v>
      </c>
      <c r="S30" s="536" t="str">
        <f t="shared" si="7"/>
        <v>--</v>
      </c>
      <c r="T30" s="537" t="str">
        <f t="shared" si="8"/>
        <v>--</v>
      </c>
      <c r="U30" s="538" t="str">
        <f t="shared" si="9"/>
        <v>--</v>
      </c>
      <c r="V30" s="539" t="str">
        <f t="shared" si="10"/>
        <v>--</v>
      </c>
      <c r="W30" s="540" t="str">
        <f t="shared" si="11"/>
        <v>--</v>
      </c>
      <c r="X30" s="541" t="str">
        <f t="shared" si="12"/>
        <v>--</v>
      </c>
      <c r="Y30" s="542" t="str">
        <f t="shared" si="13"/>
        <v>--</v>
      </c>
      <c r="Z30" s="553">
        <f t="shared" si="14"/>
      </c>
      <c r="AA30" s="176">
        <f t="shared" si="15"/>
      </c>
      <c r="AB30" s="116"/>
    </row>
    <row r="31" spans="1:28" s="16" customFormat="1" ht="16.5" customHeight="1">
      <c r="A31" s="44"/>
      <c r="B31" s="147"/>
      <c r="C31" s="478"/>
      <c r="D31" s="520"/>
      <c r="E31" s="524"/>
      <c r="F31" s="522"/>
      <c r="G31" s="523"/>
      <c r="H31" s="452">
        <f t="shared" si="0"/>
        <v>0</v>
      </c>
      <c r="I31" s="529"/>
      <c r="J31" s="529"/>
      <c r="K31" s="40">
        <f t="shared" si="1"/>
      </c>
      <c r="L31" s="41">
        <f t="shared" si="2"/>
      </c>
      <c r="M31" s="531"/>
      <c r="N31" s="507">
        <f t="shared" si="3"/>
      </c>
      <c r="O31" s="532">
        <f t="shared" si="16"/>
      </c>
      <c r="P31" s="490">
        <f t="shared" si="4"/>
      </c>
      <c r="Q31" s="552">
        <f t="shared" si="5"/>
        <v>20</v>
      </c>
      <c r="R31" s="535" t="str">
        <f t="shared" si="6"/>
        <v>--</v>
      </c>
      <c r="S31" s="536" t="str">
        <f t="shared" si="7"/>
        <v>--</v>
      </c>
      <c r="T31" s="537" t="str">
        <f t="shared" si="8"/>
        <v>--</v>
      </c>
      <c r="U31" s="538" t="str">
        <f t="shared" si="9"/>
        <v>--</v>
      </c>
      <c r="V31" s="539" t="str">
        <f t="shared" si="10"/>
        <v>--</v>
      </c>
      <c r="W31" s="540" t="str">
        <f t="shared" si="11"/>
        <v>--</v>
      </c>
      <c r="X31" s="541" t="str">
        <f t="shared" si="12"/>
        <v>--</v>
      </c>
      <c r="Y31" s="542" t="str">
        <f t="shared" si="13"/>
        <v>--</v>
      </c>
      <c r="Z31" s="553">
        <f t="shared" si="14"/>
      </c>
      <c r="AA31" s="176">
        <f t="shared" si="15"/>
      </c>
      <c r="AB31" s="116"/>
    </row>
    <row r="32" spans="1:28" s="16" customFormat="1" ht="16.5" customHeight="1">
      <c r="A32" s="44"/>
      <c r="B32" s="147"/>
      <c r="C32" s="478"/>
      <c r="D32" s="520"/>
      <c r="E32" s="524"/>
      <c r="F32" s="522"/>
      <c r="G32" s="523"/>
      <c r="H32" s="452">
        <f t="shared" si="0"/>
        <v>0</v>
      </c>
      <c r="I32" s="529"/>
      <c r="J32" s="529"/>
      <c r="K32" s="40">
        <f t="shared" si="1"/>
      </c>
      <c r="L32" s="41">
        <f t="shared" si="2"/>
      </c>
      <c r="M32" s="531"/>
      <c r="N32" s="507">
        <f t="shared" si="3"/>
      </c>
      <c r="O32" s="532">
        <f t="shared" si="16"/>
      </c>
      <c r="P32" s="490">
        <f t="shared" si="4"/>
      </c>
      <c r="Q32" s="552">
        <f t="shared" si="5"/>
        <v>20</v>
      </c>
      <c r="R32" s="535" t="str">
        <f t="shared" si="6"/>
        <v>--</v>
      </c>
      <c r="S32" s="536" t="str">
        <f t="shared" si="7"/>
        <v>--</v>
      </c>
      <c r="T32" s="537" t="str">
        <f t="shared" si="8"/>
        <v>--</v>
      </c>
      <c r="U32" s="538" t="str">
        <f t="shared" si="9"/>
        <v>--</v>
      </c>
      <c r="V32" s="539" t="str">
        <f t="shared" si="10"/>
        <v>--</v>
      </c>
      <c r="W32" s="540" t="str">
        <f t="shared" si="11"/>
        <v>--</v>
      </c>
      <c r="X32" s="541" t="str">
        <f t="shared" si="12"/>
        <v>--</v>
      </c>
      <c r="Y32" s="542" t="str">
        <f t="shared" si="13"/>
        <v>--</v>
      </c>
      <c r="Z32" s="553">
        <f t="shared" si="14"/>
      </c>
      <c r="AA32" s="176">
        <f t="shared" si="15"/>
      </c>
      <c r="AB32" s="116"/>
    </row>
    <row r="33" spans="1:28" s="16" customFormat="1" ht="16.5" customHeight="1">
      <c r="A33" s="44"/>
      <c r="B33" s="147"/>
      <c r="C33" s="478"/>
      <c r="D33" s="520"/>
      <c r="E33" s="524"/>
      <c r="F33" s="522"/>
      <c r="G33" s="523"/>
      <c r="H33" s="452">
        <f t="shared" si="0"/>
        <v>0</v>
      </c>
      <c r="I33" s="529"/>
      <c r="J33" s="529"/>
      <c r="K33" s="40">
        <f t="shared" si="1"/>
      </c>
      <c r="L33" s="41">
        <f t="shared" si="2"/>
      </c>
      <c r="M33" s="531"/>
      <c r="N33" s="507">
        <f t="shared" si="3"/>
      </c>
      <c r="O33" s="532">
        <f t="shared" si="16"/>
      </c>
      <c r="P33" s="490">
        <f t="shared" si="4"/>
      </c>
      <c r="Q33" s="552">
        <f t="shared" si="5"/>
        <v>20</v>
      </c>
      <c r="R33" s="535" t="str">
        <f t="shared" si="6"/>
        <v>--</v>
      </c>
      <c r="S33" s="536" t="str">
        <f t="shared" si="7"/>
        <v>--</v>
      </c>
      <c r="T33" s="537" t="str">
        <f t="shared" si="8"/>
        <v>--</v>
      </c>
      <c r="U33" s="538" t="str">
        <f t="shared" si="9"/>
        <v>--</v>
      </c>
      <c r="V33" s="539" t="str">
        <f t="shared" si="10"/>
        <v>--</v>
      </c>
      <c r="W33" s="540" t="str">
        <f t="shared" si="11"/>
        <v>--</v>
      </c>
      <c r="X33" s="541" t="str">
        <f t="shared" si="12"/>
        <v>--</v>
      </c>
      <c r="Y33" s="542" t="str">
        <f t="shared" si="13"/>
        <v>--</v>
      </c>
      <c r="Z33" s="553">
        <f t="shared" si="14"/>
      </c>
      <c r="AA33" s="176">
        <f t="shared" si="15"/>
      </c>
      <c r="AB33" s="116"/>
    </row>
    <row r="34" spans="1:28" s="16" customFormat="1" ht="16.5" customHeight="1">
      <c r="A34" s="44"/>
      <c r="B34" s="147"/>
      <c r="C34" s="478"/>
      <c r="D34" s="520"/>
      <c r="E34" s="524"/>
      <c r="F34" s="522"/>
      <c r="G34" s="523"/>
      <c r="H34" s="452">
        <f t="shared" si="0"/>
        <v>0</v>
      </c>
      <c r="I34" s="529"/>
      <c r="J34" s="529"/>
      <c r="K34" s="40">
        <f t="shared" si="1"/>
      </c>
      <c r="L34" s="41">
        <f t="shared" si="2"/>
      </c>
      <c r="M34" s="531"/>
      <c r="N34" s="507">
        <f t="shared" si="3"/>
      </c>
      <c r="O34" s="532">
        <f t="shared" si="16"/>
      </c>
      <c r="P34" s="490">
        <f t="shared" si="4"/>
      </c>
      <c r="Q34" s="552">
        <f t="shared" si="5"/>
        <v>20</v>
      </c>
      <c r="R34" s="535" t="str">
        <f t="shared" si="6"/>
        <v>--</v>
      </c>
      <c r="S34" s="536" t="str">
        <f t="shared" si="7"/>
        <v>--</v>
      </c>
      <c r="T34" s="537" t="str">
        <f t="shared" si="8"/>
        <v>--</v>
      </c>
      <c r="U34" s="538" t="str">
        <f t="shared" si="9"/>
        <v>--</v>
      </c>
      <c r="V34" s="539" t="str">
        <f t="shared" si="10"/>
        <v>--</v>
      </c>
      <c r="W34" s="540" t="str">
        <f t="shared" si="11"/>
        <v>--</v>
      </c>
      <c r="X34" s="541" t="str">
        <f t="shared" si="12"/>
        <v>--</v>
      </c>
      <c r="Y34" s="542" t="str">
        <f t="shared" si="13"/>
        <v>--</v>
      </c>
      <c r="Z34" s="553">
        <f t="shared" si="14"/>
      </c>
      <c r="AA34" s="176">
        <f t="shared" si="15"/>
      </c>
      <c r="AB34" s="116"/>
    </row>
    <row r="35" spans="1:28" s="16" customFormat="1" ht="16.5" customHeight="1">
      <c r="A35" s="44"/>
      <c r="B35" s="147"/>
      <c r="C35" s="478"/>
      <c r="D35" s="520"/>
      <c r="E35" s="524"/>
      <c r="F35" s="522"/>
      <c r="G35" s="523"/>
      <c r="H35" s="452">
        <f t="shared" si="0"/>
        <v>0</v>
      </c>
      <c r="I35" s="529"/>
      <c r="J35" s="529"/>
      <c r="K35" s="40">
        <f t="shared" si="1"/>
      </c>
      <c r="L35" s="41">
        <f t="shared" si="2"/>
      </c>
      <c r="M35" s="531"/>
      <c r="N35" s="507">
        <f t="shared" si="3"/>
      </c>
      <c r="O35" s="532">
        <f t="shared" si="16"/>
      </c>
      <c r="P35" s="490">
        <f t="shared" si="4"/>
      </c>
      <c r="Q35" s="552">
        <f t="shared" si="5"/>
        <v>20</v>
      </c>
      <c r="R35" s="535" t="str">
        <f t="shared" si="6"/>
        <v>--</v>
      </c>
      <c r="S35" s="536" t="str">
        <f t="shared" si="7"/>
        <v>--</v>
      </c>
      <c r="T35" s="537" t="str">
        <f t="shared" si="8"/>
        <v>--</v>
      </c>
      <c r="U35" s="538" t="str">
        <f t="shared" si="9"/>
        <v>--</v>
      </c>
      <c r="V35" s="539" t="str">
        <f t="shared" si="10"/>
        <v>--</v>
      </c>
      <c r="W35" s="540" t="str">
        <f t="shared" si="11"/>
        <v>--</v>
      </c>
      <c r="X35" s="541" t="str">
        <f t="shared" si="12"/>
        <v>--</v>
      </c>
      <c r="Y35" s="542" t="str">
        <f t="shared" si="13"/>
        <v>--</v>
      </c>
      <c r="Z35" s="553">
        <f t="shared" si="14"/>
      </c>
      <c r="AA35" s="176">
        <f t="shared" si="15"/>
      </c>
      <c r="AB35" s="116"/>
    </row>
    <row r="36" spans="1:28" s="16" customFormat="1" ht="16.5" customHeight="1">
      <c r="A36" s="44"/>
      <c r="B36" s="147"/>
      <c r="C36" s="478"/>
      <c r="D36" s="520"/>
      <c r="E36" s="524"/>
      <c r="F36" s="522"/>
      <c r="G36" s="523"/>
      <c r="H36" s="452">
        <f t="shared" si="0"/>
        <v>0</v>
      </c>
      <c r="I36" s="529"/>
      <c r="J36" s="529"/>
      <c r="K36" s="40">
        <f t="shared" si="1"/>
      </c>
      <c r="L36" s="41">
        <f t="shared" si="2"/>
      </c>
      <c r="M36" s="531"/>
      <c r="N36" s="507">
        <f t="shared" si="3"/>
      </c>
      <c r="O36" s="532">
        <f t="shared" si="16"/>
      </c>
      <c r="P36" s="490">
        <f t="shared" si="4"/>
      </c>
      <c r="Q36" s="552">
        <f t="shared" si="5"/>
        <v>20</v>
      </c>
      <c r="R36" s="535" t="str">
        <f t="shared" si="6"/>
        <v>--</v>
      </c>
      <c r="S36" s="536" t="str">
        <f t="shared" si="7"/>
        <v>--</v>
      </c>
      <c r="T36" s="537" t="str">
        <f t="shared" si="8"/>
        <v>--</v>
      </c>
      <c r="U36" s="538" t="str">
        <f t="shared" si="9"/>
        <v>--</v>
      </c>
      <c r="V36" s="539" t="str">
        <f t="shared" si="10"/>
        <v>--</v>
      </c>
      <c r="W36" s="540" t="str">
        <f t="shared" si="11"/>
        <v>--</v>
      </c>
      <c r="X36" s="541" t="str">
        <f t="shared" si="12"/>
        <v>--</v>
      </c>
      <c r="Y36" s="542" t="str">
        <f t="shared" si="13"/>
        <v>--</v>
      </c>
      <c r="Z36" s="553">
        <f t="shared" si="14"/>
      </c>
      <c r="AA36" s="176">
        <f t="shared" si="15"/>
      </c>
      <c r="AB36" s="116"/>
    </row>
    <row r="37" spans="1:28" s="16" customFormat="1" ht="16.5" customHeight="1">
      <c r="A37" s="44"/>
      <c r="B37" s="147"/>
      <c r="C37" s="478"/>
      <c r="D37" s="520"/>
      <c r="E37" s="524"/>
      <c r="F37" s="522"/>
      <c r="G37" s="523"/>
      <c r="H37" s="452">
        <f t="shared" si="0"/>
        <v>0</v>
      </c>
      <c r="I37" s="529"/>
      <c r="J37" s="529"/>
      <c r="K37" s="40">
        <f t="shared" si="1"/>
      </c>
      <c r="L37" s="41">
        <f t="shared" si="2"/>
      </c>
      <c r="M37" s="531"/>
      <c r="N37" s="507">
        <f t="shared" si="3"/>
      </c>
      <c r="O37" s="532">
        <f t="shared" si="16"/>
      </c>
      <c r="P37" s="490">
        <f t="shared" si="4"/>
      </c>
      <c r="Q37" s="552">
        <f t="shared" si="5"/>
        <v>20</v>
      </c>
      <c r="R37" s="535" t="str">
        <f t="shared" si="6"/>
        <v>--</v>
      </c>
      <c r="S37" s="536" t="str">
        <f t="shared" si="7"/>
        <v>--</v>
      </c>
      <c r="T37" s="537" t="str">
        <f t="shared" si="8"/>
        <v>--</v>
      </c>
      <c r="U37" s="538" t="str">
        <f t="shared" si="9"/>
        <v>--</v>
      </c>
      <c r="V37" s="539" t="str">
        <f t="shared" si="10"/>
        <v>--</v>
      </c>
      <c r="W37" s="540" t="str">
        <f t="shared" si="11"/>
        <v>--</v>
      </c>
      <c r="X37" s="541" t="str">
        <f t="shared" si="12"/>
        <v>--</v>
      </c>
      <c r="Y37" s="542" t="str">
        <f t="shared" si="13"/>
        <v>--</v>
      </c>
      <c r="Z37" s="553">
        <f t="shared" si="14"/>
      </c>
      <c r="AA37" s="176">
        <f t="shared" si="15"/>
      </c>
      <c r="AB37" s="116"/>
    </row>
    <row r="38" spans="1:28" s="16" customFormat="1" ht="16.5" customHeight="1">
      <c r="A38" s="44"/>
      <c r="B38" s="147"/>
      <c r="C38" s="478"/>
      <c r="D38" s="520"/>
      <c r="E38" s="524"/>
      <c r="F38" s="522"/>
      <c r="G38" s="523"/>
      <c r="H38" s="452">
        <f t="shared" si="0"/>
        <v>0</v>
      </c>
      <c r="I38" s="529"/>
      <c r="J38" s="529"/>
      <c r="K38" s="40">
        <f t="shared" si="1"/>
      </c>
      <c r="L38" s="41">
        <f t="shared" si="2"/>
      </c>
      <c r="M38" s="531"/>
      <c r="N38" s="507">
        <f t="shared" si="3"/>
      </c>
      <c r="O38" s="532">
        <f t="shared" si="16"/>
      </c>
      <c r="P38" s="490">
        <f t="shared" si="4"/>
      </c>
      <c r="Q38" s="552">
        <f t="shared" si="5"/>
        <v>20</v>
      </c>
      <c r="R38" s="535" t="str">
        <f t="shared" si="6"/>
        <v>--</v>
      </c>
      <c r="S38" s="536" t="str">
        <f t="shared" si="7"/>
        <v>--</v>
      </c>
      <c r="T38" s="537" t="str">
        <f t="shared" si="8"/>
        <v>--</v>
      </c>
      <c r="U38" s="538" t="str">
        <f t="shared" si="9"/>
        <v>--</v>
      </c>
      <c r="V38" s="539" t="str">
        <f t="shared" si="10"/>
        <v>--</v>
      </c>
      <c r="W38" s="540" t="str">
        <f t="shared" si="11"/>
        <v>--</v>
      </c>
      <c r="X38" s="541" t="str">
        <f t="shared" si="12"/>
        <v>--</v>
      </c>
      <c r="Y38" s="542" t="str">
        <f t="shared" si="13"/>
        <v>--</v>
      </c>
      <c r="Z38" s="553">
        <f t="shared" si="14"/>
      </c>
      <c r="AA38" s="176">
        <f t="shared" si="15"/>
      </c>
      <c r="AB38" s="116"/>
    </row>
    <row r="39" spans="1:28" s="16" customFormat="1" ht="16.5" customHeight="1">
      <c r="A39" s="44"/>
      <c r="B39" s="147"/>
      <c r="C39" s="478"/>
      <c r="D39" s="520"/>
      <c r="E39" s="524"/>
      <c r="F39" s="522"/>
      <c r="G39" s="523"/>
      <c r="H39" s="452">
        <f t="shared" si="0"/>
        <v>0</v>
      </c>
      <c r="I39" s="529"/>
      <c r="J39" s="529"/>
      <c r="K39" s="40">
        <f t="shared" si="1"/>
      </c>
      <c r="L39" s="41">
        <f t="shared" si="2"/>
      </c>
      <c r="M39" s="531"/>
      <c r="N39" s="507">
        <f t="shared" si="3"/>
      </c>
      <c r="O39" s="532">
        <f t="shared" si="16"/>
      </c>
      <c r="P39" s="490">
        <f t="shared" si="4"/>
      </c>
      <c r="Q39" s="552">
        <f t="shared" si="5"/>
        <v>20</v>
      </c>
      <c r="R39" s="535" t="str">
        <f t="shared" si="6"/>
        <v>--</v>
      </c>
      <c r="S39" s="536" t="str">
        <f t="shared" si="7"/>
        <v>--</v>
      </c>
      <c r="T39" s="537" t="str">
        <f t="shared" si="8"/>
        <v>--</v>
      </c>
      <c r="U39" s="538" t="str">
        <f t="shared" si="9"/>
        <v>--</v>
      </c>
      <c r="V39" s="539" t="str">
        <f t="shared" si="10"/>
        <v>--</v>
      </c>
      <c r="W39" s="540" t="str">
        <f t="shared" si="11"/>
        <v>--</v>
      </c>
      <c r="X39" s="541" t="str">
        <f t="shared" si="12"/>
        <v>--</v>
      </c>
      <c r="Y39" s="542" t="str">
        <f t="shared" si="13"/>
        <v>--</v>
      </c>
      <c r="Z39" s="553">
        <f t="shared" si="14"/>
      </c>
      <c r="AA39" s="176">
        <f t="shared" si="15"/>
      </c>
      <c r="AB39" s="116"/>
    </row>
    <row r="40" spans="1:28" s="16" customFormat="1" ht="16.5" customHeight="1" thickBot="1">
      <c r="A40" s="44"/>
      <c r="B40" s="147"/>
      <c r="C40" s="525"/>
      <c r="D40" s="526"/>
      <c r="E40" s="527"/>
      <c r="F40" s="526"/>
      <c r="G40" s="528"/>
      <c r="H40" s="274"/>
      <c r="I40" s="525"/>
      <c r="J40" s="530"/>
      <c r="K40" s="42"/>
      <c r="L40" s="43"/>
      <c r="M40" s="533"/>
      <c r="N40" s="496"/>
      <c r="O40" s="534"/>
      <c r="P40" s="533"/>
      <c r="Q40" s="554"/>
      <c r="R40" s="543"/>
      <c r="S40" s="544"/>
      <c r="T40" s="545"/>
      <c r="U40" s="546"/>
      <c r="V40" s="547"/>
      <c r="W40" s="548"/>
      <c r="X40" s="549"/>
      <c r="Y40" s="550"/>
      <c r="Z40" s="551"/>
      <c r="AA40" s="177"/>
      <c r="AB40" s="116"/>
    </row>
    <row r="41" spans="1:28" s="16" customFormat="1" ht="16.5" customHeight="1" thickBot="1" thickTop="1">
      <c r="A41" s="44"/>
      <c r="B41" s="147"/>
      <c r="C41" s="207" t="s">
        <v>44</v>
      </c>
      <c r="D41" s="208" t="s">
        <v>45</v>
      </c>
      <c r="E41" s="45"/>
      <c r="F41" s="45"/>
      <c r="G41" s="45"/>
      <c r="H41" s="45"/>
      <c r="I41" s="45"/>
      <c r="J41" s="46"/>
      <c r="K41" s="45"/>
      <c r="L41" s="45"/>
      <c r="M41" s="45"/>
      <c r="N41" s="45"/>
      <c r="O41" s="45"/>
      <c r="P41" s="45"/>
      <c r="Q41" s="45"/>
      <c r="R41" s="346">
        <f aca="true" t="shared" si="17" ref="R41:Y41">SUM(R18:R40)</f>
        <v>830.1299999999999</v>
      </c>
      <c r="S41" s="350">
        <f t="shared" si="17"/>
        <v>0</v>
      </c>
      <c r="T41" s="355">
        <f t="shared" si="17"/>
        <v>0</v>
      </c>
      <c r="U41" s="356">
        <f t="shared" si="17"/>
        <v>0</v>
      </c>
      <c r="V41" s="363">
        <f t="shared" si="17"/>
        <v>0</v>
      </c>
      <c r="W41" s="364">
        <f t="shared" si="17"/>
        <v>0</v>
      </c>
      <c r="X41" s="393">
        <f t="shared" si="17"/>
        <v>0</v>
      </c>
      <c r="Y41" s="394">
        <f t="shared" si="17"/>
        <v>0</v>
      </c>
      <c r="Z41" s="44"/>
      <c r="AA41" s="279">
        <f>ROUND(SUM(AA18:AA40),2)</f>
        <v>830.13</v>
      </c>
      <c r="AB41" s="116"/>
    </row>
    <row r="42" spans="1:28" s="212" customFormat="1" ht="9.75" thickTop="1">
      <c r="A42" s="222"/>
      <c r="B42" s="223"/>
      <c r="C42" s="209"/>
      <c r="D42" s="211" t="s">
        <v>46</v>
      </c>
      <c r="E42" s="224"/>
      <c r="F42" s="224"/>
      <c r="G42" s="224"/>
      <c r="H42" s="224"/>
      <c r="I42" s="224"/>
      <c r="J42" s="225"/>
      <c r="K42" s="224"/>
      <c r="L42" s="224"/>
      <c r="M42" s="224"/>
      <c r="N42" s="224"/>
      <c r="O42" s="224"/>
      <c r="P42" s="224"/>
      <c r="Q42" s="224"/>
      <c r="R42" s="227"/>
      <c r="S42" s="227"/>
      <c r="T42" s="227"/>
      <c r="U42" s="227"/>
      <c r="V42" s="227"/>
      <c r="W42" s="227"/>
      <c r="X42" s="227"/>
      <c r="Y42" s="227"/>
      <c r="Z42" s="222"/>
      <c r="AA42" s="226"/>
      <c r="AB42" s="228"/>
    </row>
    <row r="43" spans="1:28" s="16" customFormat="1" ht="16.5" customHeight="1" thickBot="1">
      <c r="A43" s="44"/>
      <c r="B43" s="150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2"/>
    </row>
    <row r="44" spans="1:29" ht="16.5" customHeight="1" thickTop="1">
      <c r="A44" s="3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16.5" customHeight="1">
      <c r="A45" s="3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16.5" customHeight="1">
      <c r="A46" s="3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ht="16.5" customHeight="1">
      <c r="A47" s="3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4:29" ht="16.5" customHeight="1"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4:29" ht="16.5" customHeight="1"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4:29" ht="16.5" customHeight="1"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4:29" ht="16.5" customHeight="1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4:29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4:29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4:29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4:29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4:29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4:29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4:29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4:29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4:29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4:29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4:29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4:29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4:29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4:29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4:29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4:29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4:29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4:29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4:29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4:29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4:29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4:29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4:29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4:29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4:29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4:29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4:29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4:29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4:29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4:29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4:29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4:29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4:29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4:29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4:29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4:29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4:29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4:29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4:29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4:29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4:29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4:29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4:29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4:29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4:29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4:29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4:29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4:29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4:29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4:29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4:29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4:29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4:29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4:29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4:29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4:29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4:29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4:29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4:29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4:29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4:29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4:29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4:29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4:29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4:29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4:29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4:29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4:29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4:29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4:29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4:29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4:29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4:29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4:29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4:29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4:29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4:29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4:29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4:29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4:29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4:29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4:29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4:29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4:29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4:29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4:29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4:29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4:29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4:29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4:29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4:29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4:29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4:29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4:29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4:29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4:29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4:29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4:29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4:29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4:29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ht="16.5" customHeight="1">
      <c r="AC152" s="5"/>
    </row>
    <row r="153" ht="16.5" customHeight="1">
      <c r="AC153" s="5"/>
    </row>
    <row r="154" ht="16.5" customHeight="1">
      <c r="AC154" s="5"/>
    </row>
    <row r="155" ht="16.5" customHeight="1">
      <c r="AC155" s="5"/>
    </row>
    <row r="156" ht="16.5" customHeight="1"/>
    <row r="157" ht="16.5" customHeight="1"/>
    <row r="158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41">
    <pageSetUpPr fitToPage="1"/>
  </sheetPr>
  <dimension ref="A1:AC155"/>
  <sheetViews>
    <sheetView zoomScale="75" zoomScaleNormal="75" workbookViewId="0" topLeftCell="E1">
      <selection activeCell="I95" sqref="I95:S95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5" width="25.710937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8" width="15.7109375" style="0" customWidth="1"/>
  </cols>
  <sheetData>
    <row r="1" spans="1:28" s="61" customFormat="1" ht="26.2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456"/>
    </row>
    <row r="2" spans="1:28" s="61" customFormat="1" ht="26.25">
      <c r="A2" s="111"/>
      <c r="B2" s="154" t="str">
        <f>+'tot-0401'!B2</f>
        <v>ANEXO I-2a a la Resolución ENRE N° 686 /2007.-</v>
      </c>
      <c r="C2" s="154"/>
      <c r="D2" s="154"/>
      <c r="E2" s="62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</row>
    <row r="3" spans="1:28" s="16" customFormat="1" ht="12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</row>
    <row r="4" spans="1:28" s="68" customFormat="1" ht="11.25">
      <c r="A4" s="178" t="s">
        <v>59</v>
      </c>
      <c r="B4" s="179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</row>
    <row r="5" spans="1:28" s="68" customFormat="1" ht="11.25">
      <c r="A5" s="178" t="s">
        <v>12</v>
      </c>
      <c r="B5" s="179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</row>
    <row r="6" spans="1:28" s="16" customFormat="1" ht="13.5" thickBo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</row>
    <row r="7" spans="1:28" s="16" customFormat="1" ht="13.5" thickTop="1">
      <c r="A7" s="44"/>
      <c r="B7" s="145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15"/>
    </row>
    <row r="8" spans="1:28" s="10" customFormat="1" ht="20.25">
      <c r="A8" s="156"/>
      <c r="B8" s="157"/>
      <c r="C8" s="156"/>
      <c r="D8" s="159" t="s">
        <v>23</v>
      </c>
      <c r="E8" s="156"/>
      <c r="F8" s="156"/>
      <c r="G8" s="158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35"/>
      <c r="S8" s="35"/>
      <c r="T8" s="35"/>
      <c r="U8" s="35"/>
      <c r="V8" s="35"/>
      <c r="W8" s="35"/>
      <c r="X8" s="35"/>
      <c r="Y8" s="35"/>
      <c r="Z8" s="35"/>
      <c r="AA8" s="35"/>
      <c r="AB8" s="128"/>
    </row>
    <row r="9" spans="1:28" s="16" customFormat="1" ht="12.75">
      <c r="A9" s="44"/>
      <c r="B9" s="147"/>
      <c r="C9" s="44"/>
      <c r="D9" s="45"/>
      <c r="E9" s="153"/>
      <c r="F9" s="44"/>
      <c r="G9" s="45"/>
      <c r="H9" s="44"/>
      <c r="I9" s="44"/>
      <c r="J9" s="44"/>
      <c r="K9" s="44"/>
      <c r="L9" s="44"/>
      <c r="M9" s="44"/>
      <c r="N9" s="44"/>
      <c r="O9" s="44"/>
      <c r="P9" s="44"/>
      <c r="Q9" s="44"/>
      <c r="R9" s="45"/>
      <c r="S9" s="45"/>
      <c r="T9" s="45"/>
      <c r="U9" s="45"/>
      <c r="V9" s="45"/>
      <c r="W9" s="45"/>
      <c r="X9" s="45"/>
      <c r="Y9" s="45"/>
      <c r="Z9" s="45"/>
      <c r="AA9" s="45"/>
      <c r="AB9" s="116"/>
    </row>
    <row r="10" spans="1:28" s="10" customFormat="1" ht="20.25">
      <c r="A10" s="156"/>
      <c r="B10" s="157"/>
      <c r="C10" s="156"/>
      <c r="D10" s="7" t="s">
        <v>96</v>
      </c>
      <c r="E10" s="156"/>
      <c r="F10" s="47"/>
      <c r="G10" s="35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128"/>
    </row>
    <row r="11" spans="1:28" s="16" customFormat="1" ht="12.75">
      <c r="A11" s="44"/>
      <c r="B11" s="147"/>
      <c r="C11" s="44"/>
      <c r="D11" s="45"/>
      <c r="E11" s="45"/>
      <c r="F11" s="45"/>
      <c r="G11" s="148"/>
      <c r="H11" s="45"/>
      <c r="I11" s="45"/>
      <c r="J11" s="45"/>
      <c r="K11" s="45"/>
      <c r="L11" s="45"/>
      <c r="M11" s="44"/>
      <c r="N11" s="44"/>
      <c r="O11" s="44"/>
      <c r="P11" s="44"/>
      <c r="Q11" s="44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116"/>
    </row>
    <row r="12" spans="1:28" s="15" customFormat="1" ht="19.5">
      <c r="A12" s="161"/>
      <c r="B12" s="162" t="str">
        <f>+'tot-0401'!B14</f>
        <v>Desde el 01 al 31 de enero de 2004</v>
      </c>
      <c r="C12" s="163"/>
      <c r="D12" s="164"/>
      <c r="E12" s="164"/>
      <c r="F12" s="164"/>
      <c r="G12" s="164"/>
      <c r="H12" s="164"/>
      <c r="I12" s="164"/>
      <c r="J12" s="164"/>
      <c r="K12" s="164"/>
      <c r="L12" s="164"/>
      <c r="M12" s="163"/>
      <c r="N12" s="163"/>
      <c r="O12" s="163"/>
      <c r="P12" s="163"/>
      <c r="Q12" s="163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5"/>
    </row>
    <row r="13" spans="1:28" s="16" customFormat="1" ht="13.5" thickBot="1">
      <c r="A13" s="44"/>
      <c r="B13" s="147"/>
      <c r="C13" s="44"/>
      <c r="D13" s="45"/>
      <c r="E13" s="45"/>
      <c r="F13" s="45"/>
      <c r="G13" s="148"/>
      <c r="H13" s="45"/>
      <c r="I13" s="45"/>
      <c r="J13" s="45"/>
      <c r="K13" s="45"/>
      <c r="L13" s="45"/>
      <c r="M13" s="44"/>
      <c r="N13" s="44"/>
      <c r="O13" s="44"/>
      <c r="P13" s="44"/>
      <c r="Q13" s="44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116"/>
    </row>
    <row r="14" spans="1:28" s="16" customFormat="1" ht="16.5" customHeight="1" thickBot="1" thickTop="1">
      <c r="A14" s="44"/>
      <c r="B14" s="147"/>
      <c r="C14" s="44"/>
      <c r="D14" s="275" t="s">
        <v>60</v>
      </c>
      <c r="E14" s="276"/>
      <c r="F14" s="277">
        <v>0.059</v>
      </c>
      <c r="H14" s="44"/>
      <c r="I14" s="44"/>
      <c r="J14" s="44"/>
      <c r="K14" s="44"/>
      <c r="L14" s="44"/>
      <c r="M14" s="44"/>
      <c r="N14" s="44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116"/>
    </row>
    <row r="15" spans="1:28" s="16" customFormat="1" ht="16.5" customHeight="1" thickBot="1" thickTop="1">
      <c r="A15" s="44"/>
      <c r="B15" s="147"/>
      <c r="C15" s="44"/>
      <c r="D15" s="166" t="s">
        <v>61</v>
      </c>
      <c r="E15" s="167"/>
      <c r="F15" s="168">
        <v>200</v>
      </c>
      <c r="G1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6"/>
      <c r="V15" s="46"/>
      <c r="W15" s="46"/>
      <c r="X15" s="46"/>
      <c r="Y15" s="46"/>
      <c r="Z15" s="46"/>
      <c r="AA15" s="44"/>
      <c r="AB15" s="116"/>
    </row>
    <row r="16" spans="1:28" s="16" customFormat="1" ht="16.5" customHeight="1" thickBot="1" thickTop="1">
      <c r="A16" s="44"/>
      <c r="B16" s="147"/>
      <c r="C16" s="44"/>
      <c r="D16" s="45"/>
      <c r="E16" s="45"/>
      <c r="F16" s="45"/>
      <c r="G16" s="149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116"/>
    </row>
    <row r="17" spans="1:28" s="16" customFormat="1" ht="33.75" customHeight="1" thickBot="1" thickTop="1">
      <c r="A17" s="44"/>
      <c r="B17" s="147"/>
      <c r="C17" s="169" t="s">
        <v>24</v>
      </c>
      <c r="D17" s="172" t="s">
        <v>62</v>
      </c>
      <c r="E17" s="170" t="s">
        <v>10</v>
      </c>
      <c r="F17" s="173" t="s">
        <v>63</v>
      </c>
      <c r="G17" s="174" t="s">
        <v>25</v>
      </c>
      <c r="H17" s="270" t="s">
        <v>29</v>
      </c>
      <c r="I17" s="170" t="s">
        <v>30</v>
      </c>
      <c r="J17" s="170" t="s">
        <v>31</v>
      </c>
      <c r="K17" s="172" t="s">
        <v>64</v>
      </c>
      <c r="L17" s="172" t="s">
        <v>33</v>
      </c>
      <c r="M17" s="140" t="s">
        <v>34</v>
      </c>
      <c r="N17" s="140" t="s">
        <v>35</v>
      </c>
      <c r="O17" s="171" t="s">
        <v>37</v>
      </c>
      <c r="P17" s="170" t="s">
        <v>65</v>
      </c>
      <c r="Q17" s="340" t="s">
        <v>28</v>
      </c>
      <c r="R17" s="343" t="s">
        <v>38</v>
      </c>
      <c r="S17" s="347" t="s">
        <v>39</v>
      </c>
      <c r="T17" s="267" t="s">
        <v>66</v>
      </c>
      <c r="U17" s="269"/>
      <c r="V17" s="357" t="s">
        <v>67</v>
      </c>
      <c r="W17" s="358"/>
      <c r="X17" s="366" t="s">
        <v>40</v>
      </c>
      <c r="Y17" s="369" t="s">
        <v>41</v>
      </c>
      <c r="Z17" s="142" t="s">
        <v>42</v>
      </c>
      <c r="AA17" s="174" t="s">
        <v>43</v>
      </c>
      <c r="AB17" s="116"/>
    </row>
    <row r="18" spans="1:28" s="16" customFormat="1" ht="16.5" customHeight="1" thickTop="1">
      <c r="A18" s="44"/>
      <c r="B18" s="147"/>
      <c r="C18" s="337"/>
      <c r="D18" s="337"/>
      <c r="E18" s="337"/>
      <c r="F18" s="337"/>
      <c r="G18" s="338"/>
      <c r="H18" s="336"/>
      <c r="I18" s="337"/>
      <c r="J18" s="337"/>
      <c r="K18" s="337"/>
      <c r="L18" s="337"/>
      <c r="M18" s="337"/>
      <c r="N18" s="290"/>
      <c r="O18" s="339"/>
      <c r="P18" s="337"/>
      <c r="Q18" s="341"/>
      <c r="R18" s="344"/>
      <c r="S18" s="348"/>
      <c r="T18" s="351"/>
      <c r="U18" s="352"/>
      <c r="V18" s="359"/>
      <c r="W18" s="360"/>
      <c r="X18" s="367"/>
      <c r="Y18" s="370"/>
      <c r="Z18" s="339"/>
      <c r="AA18" s="453"/>
      <c r="AB18" s="116"/>
    </row>
    <row r="19" spans="1:28" s="16" customFormat="1" ht="16.5" customHeight="1">
      <c r="A19" s="44"/>
      <c r="B19" s="147"/>
      <c r="C19" s="37"/>
      <c r="D19" s="37"/>
      <c r="E19" s="37"/>
      <c r="F19" s="37"/>
      <c r="G19" s="38"/>
      <c r="H19" s="278"/>
      <c r="I19" s="37"/>
      <c r="J19" s="37"/>
      <c r="K19" s="37"/>
      <c r="L19" s="37"/>
      <c r="M19" s="37"/>
      <c r="N19" s="18"/>
      <c r="O19" s="39"/>
      <c r="P19" s="37"/>
      <c r="Q19" s="342"/>
      <c r="R19" s="345"/>
      <c r="S19" s="349"/>
      <c r="T19" s="353"/>
      <c r="U19" s="354"/>
      <c r="V19" s="361"/>
      <c r="W19" s="362"/>
      <c r="X19" s="368"/>
      <c r="Y19" s="371"/>
      <c r="Z19" s="39"/>
      <c r="AA19" s="175"/>
      <c r="AB19" s="116"/>
    </row>
    <row r="20" spans="1:28" s="16" customFormat="1" ht="16.5" customHeight="1">
      <c r="A20" s="44"/>
      <c r="B20" s="147"/>
      <c r="C20" s="478" t="s">
        <v>98</v>
      </c>
      <c r="D20" s="575" t="s">
        <v>75</v>
      </c>
      <c r="E20" s="575" t="s">
        <v>4</v>
      </c>
      <c r="F20" s="575">
        <v>300</v>
      </c>
      <c r="G20" s="575" t="s">
        <v>5</v>
      </c>
      <c r="H20" s="452">
        <f aca="true" t="shared" si="0" ref="H20:H39">F20*$F$14</f>
        <v>17.7</v>
      </c>
      <c r="I20" s="529">
        <v>38000.31319444445</v>
      </c>
      <c r="J20" s="529">
        <v>38000.60486111111</v>
      </c>
      <c r="K20" s="40">
        <f aca="true" t="shared" si="1" ref="K20:K39">IF(D20="","",(J20-I20)*24)</f>
        <v>6.999999999941792</v>
      </c>
      <c r="L20" s="41">
        <f aca="true" t="shared" si="2" ref="L20:L39">IF(D20="","",ROUND((J20-I20)*24*60,0))</f>
        <v>420</v>
      </c>
      <c r="M20" s="531" t="s">
        <v>87</v>
      </c>
      <c r="N20" s="507" t="str">
        <f aca="true" t="shared" si="3" ref="N20:N39">IF(D20="","","--")</f>
        <v>--</v>
      </c>
      <c r="O20" s="532" t="str">
        <f>IF(D20="","",IF(OR(M20="P",M20="RP"),"--","NO"))</f>
        <v>--</v>
      </c>
      <c r="P20" s="490" t="str">
        <f aca="true" t="shared" si="4" ref="P20:P39">IF(D20="","","NO")</f>
        <v>NO</v>
      </c>
      <c r="Q20" s="552">
        <f aca="true" t="shared" si="5" ref="Q20:Q39">$F$15*IF(OR(M20="P",M20="RP"),0.1,1)*IF(P20="SI",1,0.1)</f>
        <v>2</v>
      </c>
      <c r="R20" s="535">
        <f aca="true" t="shared" si="6" ref="R20:R39">IF(M20="P",H20*Q20*ROUND(L20/60,2),"--")</f>
        <v>247.79999999999998</v>
      </c>
      <c r="S20" s="536" t="str">
        <f aca="true" t="shared" si="7" ref="S20:S39">IF(M20="RP",H20*Q20*N20/100*ROUND(L20/60,2),"--")</f>
        <v>--</v>
      </c>
      <c r="T20" s="537" t="str">
        <f aca="true" t="shared" si="8" ref="T20:T39">IF(AND(M20="F",O20="NO"),H20*Q20,"--")</f>
        <v>--</v>
      </c>
      <c r="U20" s="538" t="str">
        <f aca="true" t="shared" si="9" ref="U20:U39">IF(M20="F",H20*Q20*ROUND(L20/60,2),"--")</f>
        <v>--</v>
      </c>
      <c r="V20" s="539" t="str">
        <f aca="true" t="shared" si="10" ref="V20:V39">IF(AND(M20="R",O20="NO"),H20*Q20*N20/100,"--")</f>
        <v>--</v>
      </c>
      <c r="W20" s="540" t="str">
        <f aca="true" t="shared" si="11" ref="W20:W39">IF(M20="R",H20*Q20*N20/100*ROUND(L20/60,2),"--")</f>
        <v>--</v>
      </c>
      <c r="X20" s="541" t="str">
        <f aca="true" t="shared" si="12" ref="X20:X39">IF(M20="RF",H20*Q20*ROUND(L20/60,2),"--")</f>
        <v>--</v>
      </c>
      <c r="Y20" s="542" t="str">
        <f aca="true" t="shared" si="13" ref="Y20:Y39">IF(M20="RR",H20*Q20*N20/100*ROUND(L20/60,2),"--")</f>
        <v>--</v>
      </c>
      <c r="Z20" s="553" t="str">
        <f aca="true" t="shared" si="14" ref="Z20:Z39">IF(D20="","","SI")</f>
        <v>SI</v>
      </c>
      <c r="AA20" s="176">
        <f aca="true" t="shared" si="15" ref="AA20:AA39">IF(D20="","",SUM(R20:Y20)*IF(Z20="SI",1,2))</f>
        <v>247.79999999999998</v>
      </c>
      <c r="AB20" s="116"/>
    </row>
    <row r="21" spans="1:28" s="16" customFormat="1" ht="16.5" customHeight="1">
      <c r="A21" s="44"/>
      <c r="B21" s="147"/>
      <c r="C21" s="478"/>
      <c r="D21" s="520"/>
      <c r="E21" s="521"/>
      <c r="F21" s="522"/>
      <c r="G21" s="523"/>
      <c r="H21" s="452">
        <f t="shared" si="0"/>
        <v>0</v>
      </c>
      <c r="I21" s="529"/>
      <c r="J21" s="529"/>
      <c r="K21" s="40">
        <f t="shared" si="1"/>
      </c>
      <c r="L21" s="41">
        <f t="shared" si="2"/>
      </c>
      <c r="M21" s="531"/>
      <c r="N21" s="507">
        <f t="shared" si="3"/>
      </c>
      <c r="O21" s="532">
        <f aca="true" t="shared" si="16" ref="O21:O39">IF(D21="","",IF(M21="P","--","NO"))</f>
      </c>
      <c r="P21" s="490">
        <f t="shared" si="4"/>
      </c>
      <c r="Q21" s="552">
        <f t="shared" si="5"/>
        <v>20</v>
      </c>
      <c r="R21" s="535" t="str">
        <f t="shared" si="6"/>
        <v>--</v>
      </c>
      <c r="S21" s="536" t="str">
        <f t="shared" si="7"/>
        <v>--</v>
      </c>
      <c r="T21" s="537" t="str">
        <f t="shared" si="8"/>
        <v>--</v>
      </c>
      <c r="U21" s="538" t="str">
        <f t="shared" si="9"/>
        <v>--</v>
      </c>
      <c r="V21" s="539" t="str">
        <f t="shared" si="10"/>
        <v>--</v>
      </c>
      <c r="W21" s="540" t="str">
        <f t="shared" si="11"/>
        <v>--</v>
      </c>
      <c r="X21" s="541" t="str">
        <f t="shared" si="12"/>
        <v>--</v>
      </c>
      <c r="Y21" s="542" t="str">
        <f t="shared" si="13"/>
        <v>--</v>
      </c>
      <c r="Z21" s="553">
        <f t="shared" si="14"/>
      </c>
      <c r="AA21" s="176">
        <f t="shared" si="15"/>
      </c>
      <c r="AB21" s="116"/>
    </row>
    <row r="22" spans="1:28" s="16" customFormat="1" ht="16.5" customHeight="1">
      <c r="A22" s="44"/>
      <c r="B22" s="147"/>
      <c r="C22" s="478"/>
      <c r="D22" s="520"/>
      <c r="E22" s="521"/>
      <c r="F22" s="522"/>
      <c r="G22" s="523"/>
      <c r="H22" s="452">
        <f t="shared" si="0"/>
        <v>0</v>
      </c>
      <c r="I22" s="529"/>
      <c r="J22" s="529"/>
      <c r="K22" s="40">
        <f t="shared" si="1"/>
      </c>
      <c r="L22" s="41">
        <f t="shared" si="2"/>
      </c>
      <c r="M22" s="531"/>
      <c r="N22" s="507">
        <f t="shared" si="3"/>
      </c>
      <c r="O22" s="532">
        <f t="shared" si="16"/>
      </c>
      <c r="P22" s="490">
        <f t="shared" si="4"/>
      </c>
      <c r="Q22" s="552">
        <f t="shared" si="5"/>
        <v>20</v>
      </c>
      <c r="R22" s="535" t="str">
        <f t="shared" si="6"/>
        <v>--</v>
      </c>
      <c r="S22" s="536" t="str">
        <f t="shared" si="7"/>
        <v>--</v>
      </c>
      <c r="T22" s="537" t="str">
        <f t="shared" si="8"/>
        <v>--</v>
      </c>
      <c r="U22" s="538" t="str">
        <f t="shared" si="9"/>
        <v>--</v>
      </c>
      <c r="V22" s="539" t="str">
        <f t="shared" si="10"/>
        <v>--</v>
      </c>
      <c r="W22" s="540" t="str">
        <f t="shared" si="11"/>
        <v>--</v>
      </c>
      <c r="X22" s="541" t="str">
        <f t="shared" si="12"/>
        <v>--</v>
      </c>
      <c r="Y22" s="542" t="str">
        <f t="shared" si="13"/>
        <v>--</v>
      </c>
      <c r="Z22" s="553">
        <f t="shared" si="14"/>
      </c>
      <c r="AA22" s="176">
        <f t="shared" si="15"/>
      </c>
      <c r="AB22" s="116"/>
    </row>
    <row r="23" spans="1:28" s="16" customFormat="1" ht="16.5" customHeight="1">
      <c r="A23" s="44"/>
      <c r="B23" s="147"/>
      <c r="C23" s="478"/>
      <c r="D23" s="520"/>
      <c r="E23" s="521"/>
      <c r="F23" s="522"/>
      <c r="G23" s="523"/>
      <c r="H23" s="452">
        <f t="shared" si="0"/>
        <v>0</v>
      </c>
      <c r="I23" s="529"/>
      <c r="J23" s="529"/>
      <c r="K23" s="40">
        <f t="shared" si="1"/>
      </c>
      <c r="L23" s="41">
        <f t="shared" si="2"/>
      </c>
      <c r="M23" s="531"/>
      <c r="N23" s="507">
        <f t="shared" si="3"/>
      </c>
      <c r="O23" s="532">
        <f t="shared" si="16"/>
      </c>
      <c r="P23" s="490">
        <f t="shared" si="4"/>
      </c>
      <c r="Q23" s="552">
        <f t="shared" si="5"/>
        <v>20</v>
      </c>
      <c r="R23" s="535" t="str">
        <f t="shared" si="6"/>
        <v>--</v>
      </c>
      <c r="S23" s="536" t="str">
        <f t="shared" si="7"/>
        <v>--</v>
      </c>
      <c r="T23" s="537" t="str">
        <f t="shared" si="8"/>
        <v>--</v>
      </c>
      <c r="U23" s="538" t="str">
        <f t="shared" si="9"/>
        <v>--</v>
      </c>
      <c r="V23" s="539" t="str">
        <f t="shared" si="10"/>
        <v>--</v>
      </c>
      <c r="W23" s="540" t="str">
        <f t="shared" si="11"/>
        <v>--</v>
      </c>
      <c r="X23" s="541" t="str">
        <f t="shared" si="12"/>
        <v>--</v>
      </c>
      <c r="Y23" s="542" t="str">
        <f t="shared" si="13"/>
        <v>--</v>
      </c>
      <c r="Z23" s="553">
        <f t="shared" si="14"/>
      </c>
      <c r="AA23" s="176">
        <f t="shared" si="15"/>
      </c>
      <c r="AB23" s="116"/>
    </row>
    <row r="24" spans="1:28" s="16" customFormat="1" ht="16.5" customHeight="1">
      <c r="A24" s="44"/>
      <c r="B24" s="147"/>
      <c r="C24" s="478"/>
      <c r="D24" s="520"/>
      <c r="E24" s="521"/>
      <c r="F24" s="522"/>
      <c r="G24" s="523"/>
      <c r="H24" s="452">
        <f t="shared" si="0"/>
        <v>0</v>
      </c>
      <c r="I24" s="529"/>
      <c r="J24" s="529"/>
      <c r="K24" s="40">
        <f t="shared" si="1"/>
      </c>
      <c r="L24" s="41">
        <f t="shared" si="2"/>
      </c>
      <c r="M24" s="531"/>
      <c r="N24" s="507">
        <f t="shared" si="3"/>
      </c>
      <c r="O24" s="532">
        <f t="shared" si="16"/>
      </c>
      <c r="P24" s="490">
        <f t="shared" si="4"/>
      </c>
      <c r="Q24" s="552">
        <f t="shared" si="5"/>
        <v>20</v>
      </c>
      <c r="R24" s="535" t="str">
        <f t="shared" si="6"/>
        <v>--</v>
      </c>
      <c r="S24" s="536" t="str">
        <f t="shared" si="7"/>
        <v>--</v>
      </c>
      <c r="T24" s="537" t="str">
        <f t="shared" si="8"/>
        <v>--</v>
      </c>
      <c r="U24" s="538" t="str">
        <f t="shared" si="9"/>
        <v>--</v>
      </c>
      <c r="V24" s="539" t="str">
        <f t="shared" si="10"/>
        <v>--</v>
      </c>
      <c r="W24" s="540" t="str">
        <f t="shared" si="11"/>
        <v>--</v>
      </c>
      <c r="X24" s="541" t="str">
        <f t="shared" si="12"/>
        <v>--</v>
      </c>
      <c r="Y24" s="542" t="str">
        <f t="shared" si="13"/>
        <v>--</v>
      </c>
      <c r="Z24" s="553">
        <f t="shared" si="14"/>
      </c>
      <c r="AA24" s="176">
        <f t="shared" si="15"/>
      </c>
      <c r="AB24" s="116"/>
    </row>
    <row r="25" spans="1:28" s="16" customFormat="1" ht="16.5" customHeight="1">
      <c r="A25" s="44"/>
      <c r="B25" s="147"/>
      <c r="C25" s="478"/>
      <c r="D25" s="520"/>
      <c r="E25" s="521"/>
      <c r="F25" s="522"/>
      <c r="G25" s="523"/>
      <c r="H25" s="452">
        <f t="shared" si="0"/>
        <v>0</v>
      </c>
      <c r="I25" s="529"/>
      <c r="J25" s="529"/>
      <c r="K25" s="40">
        <f t="shared" si="1"/>
      </c>
      <c r="L25" s="41">
        <f t="shared" si="2"/>
      </c>
      <c r="M25" s="531"/>
      <c r="N25" s="507">
        <f t="shared" si="3"/>
      </c>
      <c r="O25" s="532">
        <f t="shared" si="16"/>
      </c>
      <c r="P25" s="490">
        <f t="shared" si="4"/>
      </c>
      <c r="Q25" s="552">
        <f t="shared" si="5"/>
        <v>20</v>
      </c>
      <c r="R25" s="535" t="str">
        <f t="shared" si="6"/>
        <v>--</v>
      </c>
      <c r="S25" s="536" t="str">
        <f t="shared" si="7"/>
        <v>--</v>
      </c>
      <c r="T25" s="537" t="str">
        <f t="shared" si="8"/>
        <v>--</v>
      </c>
      <c r="U25" s="538" t="str">
        <f t="shared" si="9"/>
        <v>--</v>
      </c>
      <c r="V25" s="539" t="str">
        <f t="shared" si="10"/>
        <v>--</v>
      </c>
      <c r="W25" s="540" t="str">
        <f t="shared" si="11"/>
        <v>--</v>
      </c>
      <c r="X25" s="541" t="str">
        <f t="shared" si="12"/>
        <v>--</v>
      </c>
      <c r="Y25" s="542" t="str">
        <f t="shared" si="13"/>
        <v>--</v>
      </c>
      <c r="Z25" s="553">
        <f t="shared" si="14"/>
      </c>
      <c r="AA25" s="176">
        <f t="shared" si="15"/>
      </c>
      <c r="AB25" s="116"/>
    </row>
    <row r="26" spans="1:29" s="16" customFormat="1" ht="16.5" customHeight="1">
      <c r="A26" s="44"/>
      <c r="B26" s="147"/>
      <c r="C26" s="478"/>
      <c r="D26" s="520"/>
      <c r="E26" s="521"/>
      <c r="F26" s="522"/>
      <c r="G26" s="523"/>
      <c r="H26" s="452">
        <f t="shared" si="0"/>
        <v>0</v>
      </c>
      <c r="I26" s="529"/>
      <c r="J26" s="529"/>
      <c r="K26" s="40">
        <f t="shared" si="1"/>
      </c>
      <c r="L26" s="41">
        <f t="shared" si="2"/>
      </c>
      <c r="M26" s="531"/>
      <c r="N26" s="507">
        <f t="shared" si="3"/>
      </c>
      <c r="O26" s="532">
        <f t="shared" si="16"/>
      </c>
      <c r="P26" s="490">
        <f t="shared" si="4"/>
      </c>
      <c r="Q26" s="552">
        <f t="shared" si="5"/>
        <v>20</v>
      </c>
      <c r="R26" s="535" t="str">
        <f t="shared" si="6"/>
        <v>--</v>
      </c>
      <c r="S26" s="536" t="str">
        <f t="shared" si="7"/>
        <v>--</v>
      </c>
      <c r="T26" s="537" t="str">
        <f t="shared" si="8"/>
        <v>--</v>
      </c>
      <c r="U26" s="538" t="str">
        <f t="shared" si="9"/>
        <v>--</v>
      </c>
      <c r="V26" s="539" t="str">
        <f t="shared" si="10"/>
        <v>--</v>
      </c>
      <c r="W26" s="540" t="str">
        <f t="shared" si="11"/>
        <v>--</v>
      </c>
      <c r="X26" s="541" t="str">
        <f t="shared" si="12"/>
        <v>--</v>
      </c>
      <c r="Y26" s="542" t="str">
        <f t="shared" si="13"/>
        <v>--</v>
      </c>
      <c r="Z26" s="553">
        <f t="shared" si="14"/>
      </c>
      <c r="AA26" s="176">
        <f t="shared" si="15"/>
      </c>
      <c r="AB26" s="116"/>
      <c r="AC26" s="45"/>
    </row>
    <row r="27" spans="1:28" s="16" customFormat="1" ht="16.5" customHeight="1">
      <c r="A27" s="44"/>
      <c r="B27" s="147"/>
      <c r="C27" s="478"/>
      <c r="D27" s="520"/>
      <c r="E27" s="521"/>
      <c r="F27" s="522"/>
      <c r="G27" s="523"/>
      <c r="H27" s="452">
        <f t="shared" si="0"/>
        <v>0</v>
      </c>
      <c r="I27" s="529"/>
      <c r="J27" s="529"/>
      <c r="K27" s="40">
        <f t="shared" si="1"/>
      </c>
      <c r="L27" s="41">
        <f t="shared" si="2"/>
      </c>
      <c r="M27" s="531"/>
      <c r="N27" s="507">
        <f t="shared" si="3"/>
      </c>
      <c r="O27" s="532">
        <f t="shared" si="16"/>
      </c>
      <c r="P27" s="490">
        <f t="shared" si="4"/>
      </c>
      <c r="Q27" s="552">
        <f t="shared" si="5"/>
        <v>20</v>
      </c>
      <c r="R27" s="535" t="str">
        <f t="shared" si="6"/>
        <v>--</v>
      </c>
      <c r="S27" s="536" t="str">
        <f t="shared" si="7"/>
        <v>--</v>
      </c>
      <c r="T27" s="537" t="str">
        <f t="shared" si="8"/>
        <v>--</v>
      </c>
      <c r="U27" s="538" t="str">
        <f t="shared" si="9"/>
        <v>--</v>
      </c>
      <c r="V27" s="539" t="str">
        <f t="shared" si="10"/>
        <v>--</v>
      </c>
      <c r="W27" s="540" t="str">
        <f t="shared" si="11"/>
        <v>--</v>
      </c>
      <c r="X27" s="541" t="str">
        <f t="shared" si="12"/>
        <v>--</v>
      </c>
      <c r="Y27" s="542" t="str">
        <f t="shared" si="13"/>
        <v>--</v>
      </c>
      <c r="Z27" s="553">
        <f t="shared" si="14"/>
      </c>
      <c r="AA27" s="176">
        <f t="shared" si="15"/>
      </c>
      <c r="AB27" s="116"/>
    </row>
    <row r="28" spans="1:28" s="16" customFormat="1" ht="16.5" customHeight="1">
      <c r="A28" s="44"/>
      <c r="B28" s="147"/>
      <c r="C28" s="478"/>
      <c r="D28" s="520"/>
      <c r="E28" s="521"/>
      <c r="F28" s="522"/>
      <c r="G28" s="523"/>
      <c r="H28" s="452">
        <f t="shared" si="0"/>
        <v>0</v>
      </c>
      <c r="I28" s="529"/>
      <c r="J28" s="529"/>
      <c r="K28" s="40">
        <f t="shared" si="1"/>
      </c>
      <c r="L28" s="41">
        <f t="shared" si="2"/>
      </c>
      <c r="M28" s="531"/>
      <c r="N28" s="507">
        <f t="shared" si="3"/>
      </c>
      <c r="O28" s="532">
        <f t="shared" si="16"/>
      </c>
      <c r="P28" s="490">
        <f t="shared" si="4"/>
      </c>
      <c r="Q28" s="552">
        <f t="shared" si="5"/>
        <v>20</v>
      </c>
      <c r="R28" s="535" t="str">
        <f t="shared" si="6"/>
        <v>--</v>
      </c>
      <c r="S28" s="536" t="str">
        <f t="shared" si="7"/>
        <v>--</v>
      </c>
      <c r="T28" s="537" t="str">
        <f t="shared" si="8"/>
        <v>--</v>
      </c>
      <c r="U28" s="538" t="str">
        <f t="shared" si="9"/>
        <v>--</v>
      </c>
      <c r="V28" s="539" t="str">
        <f t="shared" si="10"/>
        <v>--</v>
      </c>
      <c r="W28" s="540" t="str">
        <f t="shared" si="11"/>
        <v>--</v>
      </c>
      <c r="X28" s="541" t="str">
        <f t="shared" si="12"/>
        <v>--</v>
      </c>
      <c r="Y28" s="542" t="str">
        <f t="shared" si="13"/>
        <v>--</v>
      </c>
      <c r="Z28" s="553">
        <f t="shared" si="14"/>
      </c>
      <c r="AA28" s="176">
        <f t="shared" si="15"/>
      </c>
      <c r="AB28" s="116"/>
    </row>
    <row r="29" spans="1:28" s="16" customFormat="1" ht="16.5" customHeight="1">
      <c r="A29" s="44"/>
      <c r="B29" s="147"/>
      <c r="C29" s="478"/>
      <c r="D29" s="520"/>
      <c r="E29" s="521"/>
      <c r="F29" s="522"/>
      <c r="G29" s="523"/>
      <c r="H29" s="452">
        <f t="shared" si="0"/>
        <v>0</v>
      </c>
      <c r="I29" s="529"/>
      <c r="J29" s="529"/>
      <c r="K29" s="40">
        <f t="shared" si="1"/>
      </c>
      <c r="L29" s="41">
        <f t="shared" si="2"/>
      </c>
      <c r="M29" s="531"/>
      <c r="N29" s="507">
        <f t="shared" si="3"/>
      </c>
      <c r="O29" s="532">
        <f t="shared" si="16"/>
      </c>
      <c r="P29" s="490">
        <f t="shared" si="4"/>
      </c>
      <c r="Q29" s="552">
        <f t="shared" si="5"/>
        <v>20</v>
      </c>
      <c r="R29" s="535" t="str">
        <f t="shared" si="6"/>
        <v>--</v>
      </c>
      <c r="S29" s="536" t="str">
        <f t="shared" si="7"/>
        <v>--</v>
      </c>
      <c r="T29" s="537" t="str">
        <f t="shared" si="8"/>
        <v>--</v>
      </c>
      <c r="U29" s="538" t="str">
        <f t="shared" si="9"/>
        <v>--</v>
      </c>
      <c r="V29" s="539" t="str">
        <f t="shared" si="10"/>
        <v>--</v>
      </c>
      <c r="W29" s="540" t="str">
        <f t="shared" si="11"/>
        <v>--</v>
      </c>
      <c r="X29" s="541" t="str">
        <f t="shared" si="12"/>
        <v>--</v>
      </c>
      <c r="Y29" s="542" t="str">
        <f t="shared" si="13"/>
        <v>--</v>
      </c>
      <c r="Z29" s="553">
        <f t="shared" si="14"/>
      </c>
      <c r="AA29" s="176">
        <f t="shared" si="15"/>
      </c>
      <c r="AB29" s="116"/>
    </row>
    <row r="30" spans="1:28" s="16" customFormat="1" ht="16.5" customHeight="1">
      <c r="A30" s="44"/>
      <c r="B30" s="147"/>
      <c r="C30" s="478"/>
      <c r="D30" s="520"/>
      <c r="E30" s="524"/>
      <c r="F30" s="522"/>
      <c r="G30" s="523"/>
      <c r="H30" s="452">
        <f t="shared" si="0"/>
        <v>0</v>
      </c>
      <c r="I30" s="529"/>
      <c r="J30" s="529"/>
      <c r="K30" s="40">
        <f t="shared" si="1"/>
      </c>
      <c r="L30" s="41">
        <f t="shared" si="2"/>
      </c>
      <c r="M30" s="531"/>
      <c r="N30" s="507">
        <f t="shared" si="3"/>
      </c>
      <c r="O30" s="532">
        <f t="shared" si="16"/>
      </c>
      <c r="P30" s="490">
        <f t="shared" si="4"/>
      </c>
      <c r="Q30" s="552">
        <f t="shared" si="5"/>
        <v>20</v>
      </c>
      <c r="R30" s="535" t="str">
        <f t="shared" si="6"/>
        <v>--</v>
      </c>
      <c r="S30" s="536" t="str">
        <f t="shared" si="7"/>
        <v>--</v>
      </c>
      <c r="T30" s="537" t="str">
        <f t="shared" si="8"/>
        <v>--</v>
      </c>
      <c r="U30" s="538" t="str">
        <f t="shared" si="9"/>
        <v>--</v>
      </c>
      <c r="V30" s="539" t="str">
        <f t="shared" si="10"/>
        <v>--</v>
      </c>
      <c r="W30" s="540" t="str">
        <f t="shared" si="11"/>
        <v>--</v>
      </c>
      <c r="X30" s="541" t="str">
        <f t="shared" si="12"/>
        <v>--</v>
      </c>
      <c r="Y30" s="542" t="str">
        <f t="shared" si="13"/>
        <v>--</v>
      </c>
      <c r="Z30" s="553">
        <f t="shared" si="14"/>
      </c>
      <c r="AA30" s="176">
        <f t="shared" si="15"/>
      </c>
      <c r="AB30" s="116"/>
    </row>
    <row r="31" spans="1:28" s="16" customFormat="1" ht="16.5" customHeight="1">
      <c r="A31" s="44"/>
      <c r="B31" s="147"/>
      <c r="C31" s="478"/>
      <c r="D31" s="520"/>
      <c r="E31" s="524"/>
      <c r="F31" s="522"/>
      <c r="G31" s="523"/>
      <c r="H31" s="452">
        <f t="shared" si="0"/>
        <v>0</v>
      </c>
      <c r="I31" s="529"/>
      <c r="J31" s="529"/>
      <c r="K31" s="40">
        <f t="shared" si="1"/>
      </c>
      <c r="L31" s="41">
        <f t="shared" si="2"/>
      </c>
      <c r="M31" s="531"/>
      <c r="N31" s="507">
        <f t="shared" si="3"/>
      </c>
      <c r="O31" s="532">
        <f t="shared" si="16"/>
      </c>
      <c r="P31" s="490">
        <f t="shared" si="4"/>
      </c>
      <c r="Q31" s="552">
        <f t="shared" si="5"/>
        <v>20</v>
      </c>
      <c r="R31" s="535" t="str">
        <f t="shared" si="6"/>
        <v>--</v>
      </c>
      <c r="S31" s="536" t="str">
        <f t="shared" si="7"/>
        <v>--</v>
      </c>
      <c r="T31" s="537" t="str">
        <f t="shared" si="8"/>
        <v>--</v>
      </c>
      <c r="U31" s="538" t="str">
        <f t="shared" si="9"/>
        <v>--</v>
      </c>
      <c r="V31" s="539" t="str">
        <f t="shared" si="10"/>
        <v>--</v>
      </c>
      <c r="W31" s="540" t="str">
        <f t="shared" si="11"/>
        <v>--</v>
      </c>
      <c r="X31" s="541" t="str">
        <f t="shared" si="12"/>
        <v>--</v>
      </c>
      <c r="Y31" s="542" t="str">
        <f t="shared" si="13"/>
        <v>--</v>
      </c>
      <c r="Z31" s="553">
        <f t="shared" si="14"/>
      </c>
      <c r="AA31" s="176">
        <f t="shared" si="15"/>
      </c>
      <c r="AB31" s="116"/>
    </row>
    <row r="32" spans="1:28" s="16" customFormat="1" ht="16.5" customHeight="1">
      <c r="A32" s="44"/>
      <c r="B32" s="147"/>
      <c r="C32" s="478"/>
      <c r="D32" s="520"/>
      <c r="E32" s="524"/>
      <c r="F32" s="522"/>
      <c r="G32" s="523"/>
      <c r="H32" s="452">
        <f t="shared" si="0"/>
        <v>0</v>
      </c>
      <c r="I32" s="529"/>
      <c r="J32" s="529"/>
      <c r="K32" s="40">
        <f t="shared" si="1"/>
      </c>
      <c r="L32" s="41">
        <f t="shared" si="2"/>
      </c>
      <c r="M32" s="531"/>
      <c r="N32" s="507">
        <f t="shared" si="3"/>
      </c>
      <c r="O32" s="532">
        <f t="shared" si="16"/>
      </c>
      <c r="P32" s="490">
        <f t="shared" si="4"/>
      </c>
      <c r="Q32" s="552">
        <f t="shared" si="5"/>
        <v>20</v>
      </c>
      <c r="R32" s="535" t="str">
        <f t="shared" si="6"/>
        <v>--</v>
      </c>
      <c r="S32" s="536" t="str">
        <f t="shared" si="7"/>
        <v>--</v>
      </c>
      <c r="T32" s="537" t="str">
        <f t="shared" si="8"/>
        <v>--</v>
      </c>
      <c r="U32" s="538" t="str">
        <f t="shared" si="9"/>
        <v>--</v>
      </c>
      <c r="V32" s="539" t="str">
        <f t="shared" si="10"/>
        <v>--</v>
      </c>
      <c r="W32" s="540" t="str">
        <f t="shared" si="11"/>
        <v>--</v>
      </c>
      <c r="X32" s="541" t="str">
        <f t="shared" si="12"/>
        <v>--</v>
      </c>
      <c r="Y32" s="542" t="str">
        <f t="shared" si="13"/>
        <v>--</v>
      </c>
      <c r="Z32" s="553">
        <f t="shared" si="14"/>
      </c>
      <c r="AA32" s="176">
        <f t="shared" si="15"/>
      </c>
      <c r="AB32" s="116"/>
    </row>
    <row r="33" spans="1:28" s="16" customFormat="1" ht="16.5" customHeight="1">
      <c r="A33" s="44"/>
      <c r="B33" s="147"/>
      <c r="C33" s="478"/>
      <c r="D33" s="520"/>
      <c r="E33" s="524"/>
      <c r="F33" s="522"/>
      <c r="G33" s="523"/>
      <c r="H33" s="452">
        <f t="shared" si="0"/>
        <v>0</v>
      </c>
      <c r="I33" s="529"/>
      <c r="J33" s="529"/>
      <c r="K33" s="40">
        <f t="shared" si="1"/>
      </c>
      <c r="L33" s="41">
        <f t="shared" si="2"/>
      </c>
      <c r="M33" s="531"/>
      <c r="N33" s="507">
        <f t="shared" si="3"/>
      </c>
      <c r="O33" s="532">
        <f t="shared" si="16"/>
      </c>
      <c r="P33" s="490">
        <f t="shared" si="4"/>
      </c>
      <c r="Q33" s="552">
        <f t="shared" si="5"/>
        <v>20</v>
      </c>
      <c r="R33" s="535" t="str">
        <f t="shared" si="6"/>
        <v>--</v>
      </c>
      <c r="S33" s="536" t="str">
        <f t="shared" si="7"/>
        <v>--</v>
      </c>
      <c r="T33" s="537" t="str">
        <f t="shared" si="8"/>
        <v>--</v>
      </c>
      <c r="U33" s="538" t="str">
        <f t="shared" si="9"/>
        <v>--</v>
      </c>
      <c r="V33" s="539" t="str">
        <f t="shared" si="10"/>
        <v>--</v>
      </c>
      <c r="W33" s="540" t="str">
        <f t="shared" si="11"/>
        <v>--</v>
      </c>
      <c r="X33" s="541" t="str">
        <f t="shared" si="12"/>
        <v>--</v>
      </c>
      <c r="Y33" s="542" t="str">
        <f t="shared" si="13"/>
        <v>--</v>
      </c>
      <c r="Z33" s="553">
        <f t="shared" si="14"/>
      </c>
      <c r="AA33" s="176">
        <f t="shared" si="15"/>
      </c>
      <c r="AB33" s="116"/>
    </row>
    <row r="34" spans="1:28" s="16" customFormat="1" ht="16.5" customHeight="1">
      <c r="A34" s="44"/>
      <c r="B34" s="147"/>
      <c r="C34" s="478"/>
      <c r="D34" s="520"/>
      <c r="E34" s="524"/>
      <c r="F34" s="522"/>
      <c r="G34" s="523"/>
      <c r="H34" s="452">
        <f t="shared" si="0"/>
        <v>0</v>
      </c>
      <c r="I34" s="529"/>
      <c r="J34" s="529"/>
      <c r="K34" s="40">
        <f t="shared" si="1"/>
      </c>
      <c r="L34" s="41">
        <f t="shared" si="2"/>
      </c>
      <c r="M34" s="531"/>
      <c r="N34" s="507">
        <f t="shared" si="3"/>
      </c>
      <c r="O34" s="532">
        <f t="shared" si="16"/>
      </c>
      <c r="P34" s="490">
        <f t="shared" si="4"/>
      </c>
      <c r="Q34" s="552">
        <f t="shared" si="5"/>
        <v>20</v>
      </c>
      <c r="R34" s="535" t="str">
        <f t="shared" si="6"/>
        <v>--</v>
      </c>
      <c r="S34" s="536" t="str">
        <f t="shared" si="7"/>
        <v>--</v>
      </c>
      <c r="T34" s="537" t="str">
        <f t="shared" si="8"/>
        <v>--</v>
      </c>
      <c r="U34" s="538" t="str">
        <f t="shared" si="9"/>
        <v>--</v>
      </c>
      <c r="V34" s="539" t="str">
        <f t="shared" si="10"/>
        <v>--</v>
      </c>
      <c r="W34" s="540" t="str">
        <f t="shared" si="11"/>
        <v>--</v>
      </c>
      <c r="X34" s="541" t="str">
        <f t="shared" si="12"/>
        <v>--</v>
      </c>
      <c r="Y34" s="542" t="str">
        <f t="shared" si="13"/>
        <v>--</v>
      </c>
      <c r="Z34" s="553">
        <f t="shared" si="14"/>
      </c>
      <c r="AA34" s="176">
        <f t="shared" si="15"/>
      </c>
      <c r="AB34" s="116"/>
    </row>
    <row r="35" spans="1:28" s="16" customFormat="1" ht="16.5" customHeight="1">
      <c r="A35" s="44"/>
      <c r="B35" s="147"/>
      <c r="C35" s="478"/>
      <c r="D35" s="520"/>
      <c r="E35" s="524"/>
      <c r="F35" s="522"/>
      <c r="G35" s="523"/>
      <c r="H35" s="452">
        <f t="shared" si="0"/>
        <v>0</v>
      </c>
      <c r="I35" s="529"/>
      <c r="J35" s="529"/>
      <c r="K35" s="40">
        <f t="shared" si="1"/>
      </c>
      <c r="L35" s="41">
        <f t="shared" si="2"/>
      </c>
      <c r="M35" s="531"/>
      <c r="N35" s="507">
        <f t="shared" si="3"/>
      </c>
      <c r="O35" s="532">
        <f t="shared" si="16"/>
      </c>
      <c r="P35" s="490">
        <f t="shared" si="4"/>
      </c>
      <c r="Q35" s="552">
        <f t="shared" si="5"/>
        <v>20</v>
      </c>
      <c r="R35" s="535" t="str">
        <f t="shared" si="6"/>
        <v>--</v>
      </c>
      <c r="S35" s="536" t="str">
        <f t="shared" si="7"/>
        <v>--</v>
      </c>
      <c r="T35" s="537" t="str">
        <f t="shared" si="8"/>
        <v>--</v>
      </c>
      <c r="U35" s="538" t="str">
        <f t="shared" si="9"/>
        <v>--</v>
      </c>
      <c r="V35" s="539" t="str">
        <f t="shared" si="10"/>
        <v>--</v>
      </c>
      <c r="W35" s="540" t="str">
        <f t="shared" si="11"/>
        <v>--</v>
      </c>
      <c r="X35" s="541" t="str">
        <f t="shared" si="12"/>
        <v>--</v>
      </c>
      <c r="Y35" s="542" t="str">
        <f t="shared" si="13"/>
        <v>--</v>
      </c>
      <c r="Z35" s="553">
        <f t="shared" si="14"/>
      </c>
      <c r="AA35" s="176">
        <f t="shared" si="15"/>
      </c>
      <c r="AB35" s="116"/>
    </row>
    <row r="36" spans="1:28" s="16" customFormat="1" ht="16.5" customHeight="1">
      <c r="A36" s="44"/>
      <c r="B36" s="147"/>
      <c r="C36" s="478"/>
      <c r="D36" s="520"/>
      <c r="E36" s="524"/>
      <c r="F36" s="522"/>
      <c r="G36" s="523"/>
      <c r="H36" s="452">
        <f t="shared" si="0"/>
        <v>0</v>
      </c>
      <c r="I36" s="529"/>
      <c r="J36" s="529"/>
      <c r="K36" s="40">
        <f t="shared" si="1"/>
      </c>
      <c r="L36" s="41">
        <f t="shared" si="2"/>
      </c>
      <c r="M36" s="531"/>
      <c r="N36" s="507">
        <f t="shared" si="3"/>
      </c>
      <c r="O36" s="532">
        <f t="shared" si="16"/>
      </c>
      <c r="P36" s="490">
        <f t="shared" si="4"/>
      </c>
      <c r="Q36" s="552">
        <f t="shared" si="5"/>
        <v>20</v>
      </c>
      <c r="R36" s="535" t="str">
        <f t="shared" si="6"/>
        <v>--</v>
      </c>
      <c r="S36" s="536" t="str">
        <f t="shared" si="7"/>
        <v>--</v>
      </c>
      <c r="T36" s="537" t="str">
        <f t="shared" si="8"/>
        <v>--</v>
      </c>
      <c r="U36" s="538" t="str">
        <f t="shared" si="9"/>
        <v>--</v>
      </c>
      <c r="V36" s="539" t="str">
        <f t="shared" si="10"/>
        <v>--</v>
      </c>
      <c r="W36" s="540" t="str">
        <f t="shared" si="11"/>
        <v>--</v>
      </c>
      <c r="X36" s="541" t="str">
        <f t="shared" si="12"/>
        <v>--</v>
      </c>
      <c r="Y36" s="542" t="str">
        <f t="shared" si="13"/>
        <v>--</v>
      </c>
      <c r="Z36" s="553">
        <f t="shared" si="14"/>
      </c>
      <c r="AA36" s="176">
        <f t="shared" si="15"/>
      </c>
      <c r="AB36" s="116"/>
    </row>
    <row r="37" spans="1:28" s="16" customFormat="1" ht="16.5" customHeight="1">
      <c r="A37" s="44"/>
      <c r="B37" s="147"/>
      <c r="C37" s="478"/>
      <c r="D37" s="520"/>
      <c r="E37" s="524"/>
      <c r="F37" s="522"/>
      <c r="G37" s="523"/>
      <c r="H37" s="452">
        <f t="shared" si="0"/>
        <v>0</v>
      </c>
      <c r="I37" s="529"/>
      <c r="J37" s="529"/>
      <c r="K37" s="40">
        <f t="shared" si="1"/>
      </c>
      <c r="L37" s="41">
        <f t="shared" si="2"/>
      </c>
      <c r="M37" s="531"/>
      <c r="N37" s="507">
        <f t="shared" si="3"/>
      </c>
      <c r="O37" s="532">
        <f t="shared" si="16"/>
      </c>
      <c r="P37" s="490">
        <f t="shared" si="4"/>
      </c>
      <c r="Q37" s="552">
        <f t="shared" si="5"/>
        <v>20</v>
      </c>
      <c r="R37" s="535" t="str">
        <f t="shared" si="6"/>
        <v>--</v>
      </c>
      <c r="S37" s="536" t="str">
        <f t="shared" si="7"/>
        <v>--</v>
      </c>
      <c r="T37" s="537" t="str">
        <f t="shared" si="8"/>
        <v>--</v>
      </c>
      <c r="U37" s="538" t="str">
        <f t="shared" si="9"/>
        <v>--</v>
      </c>
      <c r="V37" s="539" t="str">
        <f t="shared" si="10"/>
        <v>--</v>
      </c>
      <c r="W37" s="540" t="str">
        <f t="shared" si="11"/>
        <v>--</v>
      </c>
      <c r="X37" s="541" t="str">
        <f t="shared" si="12"/>
        <v>--</v>
      </c>
      <c r="Y37" s="542" t="str">
        <f t="shared" si="13"/>
        <v>--</v>
      </c>
      <c r="Z37" s="553">
        <f t="shared" si="14"/>
      </c>
      <c r="AA37" s="176">
        <f t="shared" si="15"/>
      </c>
      <c r="AB37" s="116"/>
    </row>
    <row r="38" spans="1:28" s="16" customFormat="1" ht="16.5" customHeight="1">
      <c r="A38" s="44"/>
      <c r="B38" s="147"/>
      <c r="C38" s="478"/>
      <c r="D38" s="520"/>
      <c r="E38" s="524"/>
      <c r="F38" s="522"/>
      <c r="G38" s="523"/>
      <c r="H38" s="452">
        <f t="shared" si="0"/>
        <v>0</v>
      </c>
      <c r="I38" s="529"/>
      <c r="J38" s="529"/>
      <c r="K38" s="40">
        <f t="shared" si="1"/>
      </c>
      <c r="L38" s="41">
        <f t="shared" si="2"/>
      </c>
      <c r="M38" s="531"/>
      <c r="N38" s="507">
        <f t="shared" si="3"/>
      </c>
      <c r="O38" s="532">
        <f t="shared" si="16"/>
      </c>
      <c r="P38" s="490">
        <f t="shared" si="4"/>
      </c>
      <c r="Q38" s="552">
        <f t="shared" si="5"/>
        <v>20</v>
      </c>
      <c r="R38" s="535" t="str">
        <f t="shared" si="6"/>
        <v>--</v>
      </c>
      <c r="S38" s="536" t="str">
        <f t="shared" si="7"/>
        <v>--</v>
      </c>
      <c r="T38" s="537" t="str">
        <f t="shared" si="8"/>
        <v>--</v>
      </c>
      <c r="U38" s="538" t="str">
        <f t="shared" si="9"/>
        <v>--</v>
      </c>
      <c r="V38" s="539" t="str">
        <f t="shared" si="10"/>
        <v>--</v>
      </c>
      <c r="W38" s="540" t="str">
        <f t="shared" si="11"/>
        <v>--</v>
      </c>
      <c r="X38" s="541" t="str">
        <f t="shared" si="12"/>
        <v>--</v>
      </c>
      <c r="Y38" s="542" t="str">
        <f t="shared" si="13"/>
        <v>--</v>
      </c>
      <c r="Z38" s="553">
        <f t="shared" si="14"/>
      </c>
      <c r="AA38" s="176">
        <f t="shared" si="15"/>
      </c>
      <c r="AB38" s="116"/>
    </row>
    <row r="39" spans="1:28" s="16" customFormat="1" ht="16.5" customHeight="1">
      <c r="A39" s="44"/>
      <c r="B39" s="147"/>
      <c r="C39" s="478"/>
      <c r="D39" s="520"/>
      <c r="E39" s="524"/>
      <c r="F39" s="522"/>
      <c r="G39" s="523"/>
      <c r="H39" s="452">
        <f t="shared" si="0"/>
        <v>0</v>
      </c>
      <c r="I39" s="529"/>
      <c r="J39" s="529"/>
      <c r="K39" s="40">
        <f t="shared" si="1"/>
      </c>
      <c r="L39" s="41">
        <f t="shared" si="2"/>
      </c>
      <c r="M39" s="531"/>
      <c r="N39" s="507">
        <f t="shared" si="3"/>
      </c>
      <c r="O39" s="532">
        <f t="shared" si="16"/>
      </c>
      <c r="P39" s="490">
        <f t="shared" si="4"/>
      </c>
      <c r="Q39" s="552">
        <f t="shared" si="5"/>
        <v>20</v>
      </c>
      <c r="R39" s="535" t="str">
        <f t="shared" si="6"/>
        <v>--</v>
      </c>
      <c r="S39" s="536" t="str">
        <f t="shared" si="7"/>
        <v>--</v>
      </c>
      <c r="T39" s="537" t="str">
        <f t="shared" si="8"/>
        <v>--</v>
      </c>
      <c r="U39" s="538" t="str">
        <f t="shared" si="9"/>
        <v>--</v>
      </c>
      <c r="V39" s="539" t="str">
        <f t="shared" si="10"/>
        <v>--</v>
      </c>
      <c r="W39" s="540" t="str">
        <f t="shared" si="11"/>
        <v>--</v>
      </c>
      <c r="X39" s="541" t="str">
        <f t="shared" si="12"/>
        <v>--</v>
      </c>
      <c r="Y39" s="542" t="str">
        <f t="shared" si="13"/>
        <v>--</v>
      </c>
      <c r="Z39" s="553">
        <f t="shared" si="14"/>
      </c>
      <c r="AA39" s="176">
        <f t="shared" si="15"/>
      </c>
      <c r="AB39" s="116"/>
    </row>
    <row r="40" spans="1:28" s="16" customFormat="1" ht="16.5" customHeight="1" thickBot="1">
      <c r="A40" s="44"/>
      <c r="B40" s="147"/>
      <c r="C40" s="525"/>
      <c r="D40" s="526"/>
      <c r="E40" s="527"/>
      <c r="F40" s="526"/>
      <c r="G40" s="528"/>
      <c r="H40" s="274"/>
      <c r="I40" s="525"/>
      <c r="J40" s="530"/>
      <c r="K40" s="42"/>
      <c r="L40" s="43"/>
      <c r="M40" s="533"/>
      <c r="N40" s="496"/>
      <c r="O40" s="534"/>
      <c r="P40" s="533"/>
      <c r="Q40" s="554"/>
      <c r="R40" s="543"/>
      <c r="S40" s="544"/>
      <c r="T40" s="545"/>
      <c r="U40" s="546"/>
      <c r="V40" s="547"/>
      <c r="W40" s="548"/>
      <c r="X40" s="549"/>
      <c r="Y40" s="550"/>
      <c r="Z40" s="551"/>
      <c r="AA40" s="177"/>
      <c r="AB40" s="116"/>
    </row>
    <row r="41" spans="1:28" s="16" customFormat="1" ht="16.5" customHeight="1" thickBot="1" thickTop="1">
      <c r="A41" s="44"/>
      <c r="B41" s="147"/>
      <c r="C41" s="207" t="s">
        <v>44</v>
      </c>
      <c r="D41" s="208" t="s">
        <v>45</v>
      </c>
      <c r="E41" s="45"/>
      <c r="F41" s="45"/>
      <c r="G41" s="45"/>
      <c r="H41" s="45"/>
      <c r="I41" s="45"/>
      <c r="J41" s="46"/>
      <c r="K41" s="45"/>
      <c r="L41" s="45"/>
      <c r="M41" s="45"/>
      <c r="N41" s="45"/>
      <c r="O41" s="45"/>
      <c r="P41" s="45"/>
      <c r="Q41" s="45"/>
      <c r="R41" s="346">
        <f aca="true" t="shared" si="17" ref="R41:Y41">SUM(R18:R40)</f>
        <v>247.79999999999998</v>
      </c>
      <c r="S41" s="350">
        <f t="shared" si="17"/>
        <v>0</v>
      </c>
      <c r="T41" s="355">
        <f t="shared" si="17"/>
        <v>0</v>
      </c>
      <c r="U41" s="356">
        <f t="shared" si="17"/>
        <v>0</v>
      </c>
      <c r="V41" s="363">
        <f t="shared" si="17"/>
        <v>0</v>
      </c>
      <c r="W41" s="364">
        <f t="shared" si="17"/>
        <v>0</v>
      </c>
      <c r="X41" s="393">
        <f t="shared" si="17"/>
        <v>0</v>
      </c>
      <c r="Y41" s="394">
        <f t="shared" si="17"/>
        <v>0</v>
      </c>
      <c r="Z41" s="44"/>
      <c r="AA41" s="279">
        <f>ROUND(SUM(AA18:AA40),2)</f>
        <v>247.8</v>
      </c>
      <c r="AB41" s="116"/>
    </row>
    <row r="42" spans="1:28" s="212" customFormat="1" ht="9.75" thickTop="1">
      <c r="A42" s="222"/>
      <c r="B42" s="223"/>
      <c r="C42" s="209"/>
      <c r="D42" s="211" t="s">
        <v>46</v>
      </c>
      <c r="E42" s="224"/>
      <c r="F42" s="224"/>
      <c r="G42" s="224"/>
      <c r="H42" s="224"/>
      <c r="I42" s="224"/>
      <c r="J42" s="225"/>
      <c r="K42" s="224"/>
      <c r="L42" s="224"/>
      <c r="M42" s="224"/>
      <c r="N42" s="224"/>
      <c r="O42" s="224"/>
      <c r="P42" s="224"/>
      <c r="Q42" s="224"/>
      <c r="R42" s="227"/>
      <c r="S42" s="227"/>
      <c r="T42" s="227"/>
      <c r="U42" s="227"/>
      <c r="V42" s="227"/>
      <c r="W42" s="227"/>
      <c r="X42" s="227"/>
      <c r="Y42" s="227"/>
      <c r="Z42" s="222"/>
      <c r="AA42" s="226"/>
      <c r="AB42" s="228"/>
    </row>
    <row r="43" spans="1:28" s="16" customFormat="1" ht="16.5" customHeight="1" thickBot="1">
      <c r="A43" s="44"/>
      <c r="B43" s="150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2"/>
    </row>
    <row r="44" spans="1:29" ht="16.5" customHeight="1" thickTop="1">
      <c r="A44" s="3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16.5" customHeight="1">
      <c r="A45" s="3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16.5" customHeight="1">
      <c r="A46" s="3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ht="16.5" customHeight="1">
      <c r="A47" s="3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4:29" ht="16.5" customHeight="1"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4:29" ht="16.5" customHeight="1"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4:29" ht="16.5" customHeight="1"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4:29" ht="16.5" customHeight="1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4:29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4:29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4:29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4:29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4:29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4:29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4:29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4:29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4:29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4:29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4:29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4:29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4:29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4:29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4:29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4:29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4:29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4:29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4:29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4:29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4:29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4:29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4:29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4:29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4:29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4:29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4:29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4:29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4:29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4:29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4:29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4:29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4:29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4:29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4:29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4:29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4:29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4:29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4:29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4:29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4:29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4:29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4:29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4:29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4:29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4:29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4:29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4:29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4:29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4:29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4:29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4:29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4:29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4:29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4:29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4:29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4:29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4:29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4:29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4:29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4:29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4:29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4:29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4:29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4:29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4:29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4:29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4:29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4:29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4:29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4:29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4:29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4:29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4:29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4:29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4:29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4:29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4:29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4:29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4:29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4:29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4:29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4:29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4:29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4:29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4:29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4:29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4:29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4:29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4:29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4:29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4:29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4:29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4:29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4:29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4:29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4:29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4:29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4:29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4:29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ht="16.5" customHeight="1">
      <c r="AC152" s="5"/>
    </row>
    <row r="153" ht="16.5" customHeight="1">
      <c r="AC153" s="5"/>
    </row>
    <row r="154" ht="16.5" customHeight="1">
      <c r="AC154" s="5"/>
    </row>
    <row r="155" ht="16.5" customHeight="1">
      <c r="AC155" s="5"/>
    </row>
    <row r="156" ht="16.5" customHeight="1"/>
    <row r="157" ht="16.5" customHeight="1"/>
    <row r="158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W158"/>
  <sheetViews>
    <sheetView zoomScale="75" zoomScaleNormal="75" workbookViewId="0" topLeftCell="A1">
      <selection activeCell="I95" sqref="I95:S95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pans="1:21" s="61" customFormat="1" ht="26.25">
      <c r="A1" s="111"/>
      <c r="U1" s="455"/>
    </row>
    <row r="2" spans="1:21" s="61" customFormat="1" ht="26.25">
      <c r="A2" s="111"/>
      <c r="B2" s="62" t="str">
        <f>+'tot-0401'!B2</f>
        <v>ANEXO I-2a a la Resolución ENRE N° 686 /2007.-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="16" customFormat="1" ht="12.75">
      <c r="A3" s="44"/>
    </row>
    <row r="4" spans="1:2" s="68" customFormat="1" ht="11.25">
      <c r="A4" s="66" t="s">
        <v>11</v>
      </c>
      <c r="B4" s="144"/>
    </row>
    <row r="5" spans="1:2" s="68" customFormat="1" ht="11.25">
      <c r="A5" s="66" t="s">
        <v>12</v>
      </c>
      <c r="B5" s="144"/>
    </row>
    <row r="6" s="16" customFormat="1" ht="13.5" thickBot="1"/>
    <row r="7" spans="2:21" s="16" customFormat="1" ht="13.5" thickTop="1">
      <c r="B7" s="112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80"/>
    </row>
    <row r="8" spans="2:21" s="10" customFormat="1" ht="20.25">
      <c r="B8" s="126"/>
      <c r="C8" s="11"/>
      <c r="D8" s="47" t="s">
        <v>23</v>
      </c>
      <c r="L8" s="156"/>
      <c r="M8" s="156"/>
      <c r="N8" s="35"/>
      <c r="O8" s="11"/>
      <c r="P8" s="11"/>
      <c r="Q8" s="11"/>
      <c r="R8" s="11"/>
      <c r="S8" s="11"/>
      <c r="T8" s="11"/>
      <c r="U8" s="189"/>
    </row>
    <row r="9" spans="2:21" s="16" customFormat="1" ht="12.75">
      <c r="B9" s="93"/>
      <c r="C9" s="1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14"/>
      <c r="P9" s="14"/>
      <c r="Q9" s="14"/>
      <c r="R9" s="14"/>
      <c r="S9" s="14"/>
      <c r="T9" s="14"/>
      <c r="U9" s="97"/>
    </row>
    <row r="10" spans="2:21" s="10" customFormat="1" ht="20.25">
      <c r="B10" s="126"/>
      <c r="C10" s="11"/>
      <c r="D10" s="160" t="s">
        <v>73</v>
      </c>
      <c r="E10" s="36"/>
      <c r="F10" s="156"/>
      <c r="G10" s="190"/>
      <c r="I10" s="190"/>
      <c r="J10" s="190"/>
      <c r="K10" s="190"/>
      <c r="L10" s="190"/>
      <c r="M10" s="190"/>
      <c r="N10" s="190"/>
      <c r="O10" s="11"/>
      <c r="P10" s="11"/>
      <c r="Q10" s="11"/>
      <c r="R10" s="11"/>
      <c r="S10" s="11"/>
      <c r="T10" s="11"/>
      <c r="U10" s="189"/>
    </row>
    <row r="11" spans="2:21" s="16" customFormat="1" ht="13.5">
      <c r="B11" s="93"/>
      <c r="C11" s="14"/>
      <c r="D11" s="188"/>
      <c r="E11" s="188"/>
      <c r="F11" s="44"/>
      <c r="G11" s="181"/>
      <c r="H11" s="95"/>
      <c r="I11" s="181"/>
      <c r="J11" s="181"/>
      <c r="K11" s="181"/>
      <c r="L11" s="181"/>
      <c r="M11" s="181"/>
      <c r="N11" s="181"/>
      <c r="O11" s="14"/>
      <c r="P11" s="14"/>
      <c r="Q11" s="14"/>
      <c r="R11" s="14"/>
      <c r="S11" s="14"/>
      <c r="T11" s="14"/>
      <c r="U11" s="97"/>
    </row>
    <row r="12" spans="2:21" s="16" customFormat="1" ht="19.5">
      <c r="B12" s="81" t="str">
        <f>+'tot-0401'!B14</f>
        <v>Desde el 01 al 31 de enero de 2004</v>
      </c>
      <c r="C12" s="84"/>
      <c r="D12" s="84"/>
      <c r="E12" s="84"/>
      <c r="F12" s="84"/>
      <c r="G12" s="191"/>
      <c r="H12" s="191"/>
      <c r="I12" s="191"/>
      <c r="J12" s="191"/>
      <c r="K12" s="191"/>
      <c r="L12" s="191"/>
      <c r="M12" s="191"/>
      <c r="N12" s="191"/>
      <c r="O12" s="84"/>
      <c r="P12" s="84"/>
      <c r="Q12" s="84"/>
      <c r="R12" s="84"/>
      <c r="S12" s="84"/>
      <c r="T12" s="84"/>
      <c r="U12" s="192"/>
    </row>
    <row r="13" spans="2:21" s="16" customFormat="1" ht="14.25" thickBot="1">
      <c r="B13" s="193"/>
      <c r="C13" s="194"/>
      <c r="D13" s="194"/>
      <c r="E13" s="194"/>
      <c r="F13" s="194"/>
      <c r="G13" s="195"/>
      <c r="H13" s="195"/>
      <c r="I13" s="195"/>
      <c r="J13" s="195"/>
      <c r="K13" s="195"/>
      <c r="L13" s="195"/>
      <c r="M13" s="195"/>
      <c r="N13" s="195"/>
      <c r="O13" s="194"/>
      <c r="P13" s="194"/>
      <c r="Q13" s="194"/>
      <c r="R13" s="194"/>
      <c r="S13" s="194"/>
      <c r="T13" s="194"/>
      <c r="U13" s="196"/>
    </row>
    <row r="14" spans="2:21" s="16" customFormat="1" ht="15" thickBot="1" thickTop="1">
      <c r="B14" s="93"/>
      <c r="C14" s="14"/>
      <c r="D14" s="197"/>
      <c r="E14" s="197"/>
      <c r="F14" s="198" t="s">
        <v>68</v>
      </c>
      <c r="G14" s="14"/>
      <c r="H14" s="95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97"/>
    </row>
    <row r="15" spans="2:21" s="16" customFormat="1" ht="16.5" customHeight="1" thickBot="1" thickTop="1">
      <c r="B15" s="93"/>
      <c r="C15" s="14"/>
      <c r="D15" s="459" t="s">
        <v>69</v>
      </c>
      <c r="E15" s="460">
        <v>11.787</v>
      </c>
      <c r="F15" s="461">
        <v>200</v>
      </c>
      <c r="T15" s="118"/>
      <c r="U15" s="97"/>
    </row>
    <row r="16" spans="2:21" s="16" customFormat="1" ht="16.5" customHeight="1" thickBot="1" thickTop="1">
      <c r="B16" s="93"/>
      <c r="C16" s="14"/>
      <c r="D16" s="462" t="s">
        <v>70</v>
      </c>
      <c r="E16" s="463">
        <v>10.609</v>
      </c>
      <c r="F16" s="461">
        <v>100</v>
      </c>
      <c r="M16" s="14"/>
      <c r="N16" s="14"/>
      <c r="O16" s="14"/>
      <c r="P16" s="14"/>
      <c r="Q16" s="14"/>
      <c r="R16" s="14"/>
      <c r="S16" s="14"/>
      <c r="T16" s="14"/>
      <c r="U16" s="97"/>
    </row>
    <row r="17" spans="2:21" s="16" customFormat="1" ht="16.5" customHeight="1" thickBot="1" thickTop="1">
      <c r="B17" s="93"/>
      <c r="C17" s="14"/>
      <c r="D17" s="464" t="s">
        <v>71</v>
      </c>
      <c r="E17" s="571">
        <v>9.43</v>
      </c>
      <c r="F17" s="461">
        <v>40</v>
      </c>
      <c r="M17" s="14"/>
      <c r="O17" s="14"/>
      <c r="P17" s="14"/>
      <c r="Q17" s="14"/>
      <c r="R17" s="14"/>
      <c r="S17" s="14"/>
      <c r="T17" s="14"/>
      <c r="U17" s="97"/>
    </row>
    <row r="18" spans="2:21" s="16" customFormat="1" ht="16.5" customHeight="1" thickBot="1" thickTop="1">
      <c r="B18" s="93"/>
      <c r="C18" s="21"/>
      <c r="D18" s="58"/>
      <c r="E18" s="58"/>
      <c r="F18" s="182"/>
      <c r="G18" s="183"/>
      <c r="H18" s="183"/>
      <c r="I18" s="183"/>
      <c r="J18" s="183"/>
      <c r="K18" s="183"/>
      <c r="L18" s="183"/>
      <c r="M18" s="183"/>
      <c r="N18" s="52"/>
      <c r="O18" s="184"/>
      <c r="P18" s="185"/>
      <c r="Q18" s="185"/>
      <c r="R18" s="185"/>
      <c r="S18" s="186"/>
      <c r="T18" s="187"/>
      <c r="U18" s="97"/>
    </row>
    <row r="19" spans="2:21" s="16" customFormat="1" ht="33.75" customHeight="1" thickBot="1" thickTop="1">
      <c r="B19" s="93"/>
      <c r="C19" s="132" t="s">
        <v>24</v>
      </c>
      <c r="D19" s="141" t="s">
        <v>62</v>
      </c>
      <c r="E19" s="137" t="s">
        <v>10</v>
      </c>
      <c r="F19" s="199" t="s">
        <v>25</v>
      </c>
      <c r="G19" s="270" t="s">
        <v>29</v>
      </c>
      <c r="H19" s="135" t="s">
        <v>30</v>
      </c>
      <c r="I19" s="137" t="s">
        <v>31</v>
      </c>
      <c r="J19" s="200" t="s">
        <v>32</v>
      </c>
      <c r="K19" s="200" t="s">
        <v>33</v>
      </c>
      <c r="L19" s="140" t="s">
        <v>34</v>
      </c>
      <c r="M19" s="136" t="s">
        <v>37</v>
      </c>
      <c r="N19" s="373" t="s">
        <v>28</v>
      </c>
      <c r="O19" s="365" t="s">
        <v>52</v>
      </c>
      <c r="P19" s="378" t="s">
        <v>72</v>
      </c>
      <c r="Q19" s="379"/>
      <c r="R19" s="388" t="s">
        <v>40</v>
      </c>
      <c r="S19" s="142" t="s">
        <v>42</v>
      </c>
      <c r="T19" s="174" t="s">
        <v>43</v>
      </c>
      <c r="U19" s="97"/>
    </row>
    <row r="20" spans="2:21" s="16" customFormat="1" ht="16.5" customHeight="1" thickTop="1">
      <c r="B20" s="93"/>
      <c r="C20" s="20"/>
      <c r="D20" s="49"/>
      <c r="E20" s="49"/>
      <c r="F20" s="49"/>
      <c r="G20" s="280"/>
      <c r="H20" s="49"/>
      <c r="I20" s="49"/>
      <c r="J20" s="49"/>
      <c r="K20" s="49"/>
      <c r="L20" s="49"/>
      <c r="M20" s="49"/>
      <c r="N20" s="374"/>
      <c r="O20" s="376"/>
      <c r="P20" s="380"/>
      <c r="Q20" s="381"/>
      <c r="R20" s="389"/>
      <c r="S20" s="49"/>
      <c r="T20" s="454"/>
      <c r="U20" s="97"/>
    </row>
    <row r="21" spans="2:21" s="16" customFormat="1" ht="16.5" customHeight="1">
      <c r="B21" s="93"/>
      <c r="C21" s="20"/>
      <c r="D21" s="50"/>
      <c r="E21" s="50"/>
      <c r="F21" s="50"/>
      <c r="G21" s="281"/>
      <c r="H21" s="50"/>
      <c r="I21" s="50"/>
      <c r="J21" s="50"/>
      <c r="K21" s="50"/>
      <c r="L21" s="50"/>
      <c r="M21" s="50"/>
      <c r="N21" s="372"/>
      <c r="O21" s="375"/>
      <c r="P21" s="382"/>
      <c r="Q21" s="383"/>
      <c r="R21" s="386"/>
      <c r="S21" s="50"/>
      <c r="T21" s="201"/>
      <c r="U21" s="97"/>
    </row>
    <row r="22" spans="2:21" s="16" customFormat="1" ht="16.5" customHeight="1">
      <c r="B22" s="93"/>
      <c r="C22" s="477" t="s">
        <v>99</v>
      </c>
      <c r="D22" s="575" t="s">
        <v>6</v>
      </c>
      <c r="E22" s="575" t="s">
        <v>9</v>
      </c>
      <c r="F22" s="575">
        <v>132</v>
      </c>
      <c r="G22" s="272">
        <f aca="true" t="shared" si="0" ref="G22:G41">IF(F22=500,$E$15,IF(F22=220,$E$16,$E$17))</f>
        <v>9.43</v>
      </c>
      <c r="H22" s="558">
        <v>38005.36041666667</v>
      </c>
      <c r="I22" s="559">
        <v>38005.6375</v>
      </c>
      <c r="J22" s="51">
        <f aca="true" t="shared" si="1" ref="J22:J41">IF(D22="","",(I22-H22)*24)</f>
        <v>6.64999999984866</v>
      </c>
      <c r="K22" s="26">
        <f aca="true" t="shared" si="2" ref="K22:K41">IF(D22="","",ROUND((I22-H22)*24*60,0))</f>
        <v>399</v>
      </c>
      <c r="L22" s="488" t="s">
        <v>87</v>
      </c>
      <c r="M22" s="490" t="str">
        <f aca="true" t="shared" si="3" ref="M22:M41">IF(D22="","",IF(L22="P","--","NO"))</f>
        <v>--</v>
      </c>
      <c r="N22" s="561">
        <f aca="true" t="shared" si="4" ref="N22:N41">IF(F22=500,$F$15,IF(F22=220,$F$16,$F$17))</f>
        <v>40</v>
      </c>
      <c r="O22" s="562">
        <f aca="true" t="shared" si="5" ref="O22:O41">IF(L22="P",G22*N22*ROUND(K22/60,2)*0.1,"--")</f>
        <v>250.83800000000002</v>
      </c>
      <c r="P22" s="563" t="str">
        <f aca="true" t="shared" si="6" ref="P22:P41">IF(AND(L22="F",M22="NO"),G22*N22,"--")</f>
        <v>--</v>
      </c>
      <c r="Q22" s="564" t="str">
        <f aca="true" t="shared" si="7" ref="Q22:Q41">IF(L22="F",G22*N22*ROUND(K22/60,2),"--")</f>
        <v>--</v>
      </c>
      <c r="R22" s="565" t="str">
        <f aca="true" t="shared" si="8" ref="R22:R41">IF(L22="RF",G22*N22*ROUND(K22/60,2),"--")</f>
        <v>--</v>
      </c>
      <c r="S22" s="490" t="str">
        <f aca="true" t="shared" si="9" ref="S22:S41">IF(D22="","","SI")</f>
        <v>SI</v>
      </c>
      <c r="T22" s="53">
        <f aca="true" t="shared" si="10" ref="T22:T41">IF(D22="","",SUM(O22:R22)*IF(S22="SI",1,2))</f>
        <v>250.83800000000002</v>
      </c>
      <c r="U22" s="97"/>
    </row>
    <row r="23" spans="2:21" s="16" customFormat="1" ht="16.5" customHeight="1">
      <c r="B23" s="93"/>
      <c r="C23" s="477" t="s">
        <v>100</v>
      </c>
      <c r="D23" s="575" t="s">
        <v>6</v>
      </c>
      <c r="E23" s="575" t="s">
        <v>9</v>
      </c>
      <c r="F23" s="575">
        <v>132</v>
      </c>
      <c r="G23" s="272">
        <f t="shared" si="0"/>
        <v>9.43</v>
      </c>
      <c r="H23" s="558">
        <v>38007.30902777778</v>
      </c>
      <c r="I23" s="559">
        <v>38007.816666666666</v>
      </c>
      <c r="J23" s="51">
        <f t="shared" si="1"/>
        <v>12.18333333323244</v>
      </c>
      <c r="K23" s="26">
        <f t="shared" si="2"/>
        <v>731</v>
      </c>
      <c r="L23" s="488" t="s">
        <v>87</v>
      </c>
      <c r="M23" s="490" t="str">
        <f t="shared" si="3"/>
        <v>--</v>
      </c>
      <c r="N23" s="561">
        <f t="shared" si="4"/>
        <v>40</v>
      </c>
      <c r="O23" s="562">
        <f t="shared" si="5"/>
        <v>459.42959999999994</v>
      </c>
      <c r="P23" s="563" t="str">
        <f t="shared" si="6"/>
        <v>--</v>
      </c>
      <c r="Q23" s="564" t="str">
        <f t="shared" si="7"/>
        <v>--</v>
      </c>
      <c r="R23" s="565" t="str">
        <f t="shared" si="8"/>
        <v>--</v>
      </c>
      <c r="S23" s="490" t="str">
        <f t="shared" si="9"/>
        <v>SI</v>
      </c>
      <c r="T23" s="53">
        <f t="shared" si="10"/>
        <v>459.42959999999994</v>
      </c>
      <c r="U23" s="97"/>
    </row>
    <row r="24" spans="2:21" s="16" customFormat="1" ht="16.5" customHeight="1">
      <c r="B24" s="93"/>
      <c r="C24" s="477" t="s">
        <v>101</v>
      </c>
      <c r="D24" s="575" t="s">
        <v>6</v>
      </c>
      <c r="E24" s="575" t="s">
        <v>9</v>
      </c>
      <c r="F24" s="575">
        <v>132</v>
      </c>
      <c r="G24" s="272">
        <f t="shared" si="0"/>
        <v>9.43</v>
      </c>
      <c r="H24" s="558">
        <v>38008.316666666666</v>
      </c>
      <c r="I24" s="559">
        <v>38008.947916666664</v>
      </c>
      <c r="J24" s="51">
        <f t="shared" si="1"/>
        <v>15.149999999965075</v>
      </c>
      <c r="K24" s="26">
        <f t="shared" si="2"/>
        <v>909</v>
      </c>
      <c r="L24" s="488" t="s">
        <v>87</v>
      </c>
      <c r="M24" s="490" t="str">
        <f t="shared" si="3"/>
        <v>--</v>
      </c>
      <c r="N24" s="561">
        <f t="shared" si="4"/>
        <v>40</v>
      </c>
      <c r="O24" s="562">
        <f t="shared" si="5"/>
        <v>571.458</v>
      </c>
      <c r="P24" s="563" t="str">
        <f t="shared" si="6"/>
        <v>--</v>
      </c>
      <c r="Q24" s="564" t="str">
        <f t="shared" si="7"/>
        <v>--</v>
      </c>
      <c r="R24" s="565" t="str">
        <f t="shared" si="8"/>
        <v>--</v>
      </c>
      <c r="S24" s="490" t="str">
        <f t="shared" si="9"/>
        <v>SI</v>
      </c>
      <c r="T24" s="53">
        <f t="shared" si="10"/>
        <v>571.458</v>
      </c>
      <c r="U24" s="97"/>
    </row>
    <row r="25" spans="2:21" s="16" customFormat="1" ht="16.5" customHeight="1">
      <c r="B25" s="93"/>
      <c r="C25" s="477" t="s">
        <v>102</v>
      </c>
      <c r="D25" s="575" t="s">
        <v>6</v>
      </c>
      <c r="E25" s="575" t="s">
        <v>9</v>
      </c>
      <c r="F25" s="575">
        <v>132</v>
      </c>
      <c r="G25" s="272">
        <f t="shared" si="0"/>
        <v>9.43</v>
      </c>
      <c r="H25" s="558">
        <v>38009.299305555556</v>
      </c>
      <c r="I25" s="559">
        <v>38009.72986111111</v>
      </c>
      <c r="J25" s="51">
        <f t="shared" si="1"/>
        <v>10.33333333331393</v>
      </c>
      <c r="K25" s="26">
        <f t="shared" si="2"/>
        <v>620</v>
      </c>
      <c r="L25" s="488" t="s">
        <v>87</v>
      </c>
      <c r="M25" s="490" t="str">
        <f t="shared" si="3"/>
        <v>--</v>
      </c>
      <c r="N25" s="561">
        <f t="shared" si="4"/>
        <v>40</v>
      </c>
      <c r="O25" s="562">
        <f t="shared" si="5"/>
        <v>389.6476</v>
      </c>
      <c r="P25" s="563" t="str">
        <f t="shared" si="6"/>
        <v>--</v>
      </c>
      <c r="Q25" s="564" t="str">
        <f t="shared" si="7"/>
        <v>--</v>
      </c>
      <c r="R25" s="565" t="str">
        <f t="shared" si="8"/>
        <v>--</v>
      </c>
      <c r="S25" s="490" t="str">
        <f t="shared" si="9"/>
        <v>SI</v>
      </c>
      <c r="T25" s="53">
        <f t="shared" si="10"/>
        <v>389.6476</v>
      </c>
      <c r="U25" s="97"/>
    </row>
    <row r="26" spans="2:21" s="16" customFormat="1" ht="16.5" customHeight="1">
      <c r="B26" s="93"/>
      <c r="C26" s="477" t="s">
        <v>103</v>
      </c>
      <c r="D26" s="575" t="s">
        <v>6</v>
      </c>
      <c r="E26" s="575" t="s">
        <v>8</v>
      </c>
      <c r="F26" s="575">
        <v>132</v>
      </c>
      <c r="G26" s="272">
        <f t="shared" si="0"/>
        <v>9.43</v>
      </c>
      <c r="H26" s="558">
        <v>38009.69652777778</v>
      </c>
      <c r="I26" s="559">
        <v>38009.70208333333</v>
      </c>
      <c r="J26" s="51">
        <f t="shared" si="1"/>
        <v>0.1333333332440816</v>
      </c>
      <c r="K26" s="26">
        <f t="shared" si="2"/>
        <v>8</v>
      </c>
      <c r="L26" s="488" t="s">
        <v>84</v>
      </c>
      <c r="M26" s="490" t="str">
        <f t="shared" si="3"/>
        <v>NO</v>
      </c>
      <c r="N26" s="561">
        <f t="shared" si="4"/>
        <v>40</v>
      </c>
      <c r="O26" s="562" t="str">
        <f t="shared" si="5"/>
        <v>--</v>
      </c>
      <c r="P26" s="563">
        <f t="shared" si="6"/>
        <v>377.2</v>
      </c>
      <c r="Q26" s="564">
        <f t="shared" si="7"/>
        <v>49.036</v>
      </c>
      <c r="R26" s="565" t="str">
        <f t="shared" si="8"/>
        <v>--</v>
      </c>
      <c r="S26" s="490" t="str">
        <f t="shared" si="9"/>
        <v>SI</v>
      </c>
      <c r="T26" s="53">
        <f t="shared" si="10"/>
        <v>426.236</v>
      </c>
      <c r="U26" s="97"/>
    </row>
    <row r="27" spans="2:21" s="16" customFormat="1" ht="16.5" customHeight="1">
      <c r="B27" s="93"/>
      <c r="C27" s="477"/>
      <c r="D27" s="555"/>
      <c r="E27" s="555"/>
      <c r="F27" s="556"/>
      <c r="G27" s="272">
        <f t="shared" si="0"/>
        <v>9.43</v>
      </c>
      <c r="H27" s="558"/>
      <c r="I27" s="559"/>
      <c r="J27" s="51">
        <f t="shared" si="1"/>
      </c>
      <c r="K27" s="26">
        <f t="shared" si="2"/>
      </c>
      <c r="L27" s="488"/>
      <c r="M27" s="490">
        <f t="shared" si="3"/>
      </c>
      <c r="N27" s="561">
        <f t="shared" si="4"/>
        <v>40</v>
      </c>
      <c r="O27" s="562" t="str">
        <f t="shared" si="5"/>
        <v>--</v>
      </c>
      <c r="P27" s="563" t="str">
        <f t="shared" si="6"/>
        <v>--</v>
      </c>
      <c r="Q27" s="564" t="str">
        <f t="shared" si="7"/>
        <v>--</v>
      </c>
      <c r="R27" s="565" t="str">
        <f t="shared" si="8"/>
        <v>--</v>
      </c>
      <c r="S27" s="490">
        <f t="shared" si="9"/>
      </c>
      <c r="T27" s="53">
        <f t="shared" si="10"/>
      </c>
      <c r="U27" s="97"/>
    </row>
    <row r="28" spans="2:21" s="16" customFormat="1" ht="16.5" customHeight="1">
      <c r="B28" s="93"/>
      <c r="C28" s="477"/>
      <c r="D28" s="555"/>
      <c r="E28" s="555"/>
      <c r="F28" s="556"/>
      <c r="G28" s="272">
        <f t="shared" si="0"/>
        <v>9.43</v>
      </c>
      <c r="H28" s="558"/>
      <c r="I28" s="559"/>
      <c r="J28" s="51">
        <f t="shared" si="1"/>
      </c>
      <c r="K28" s="26">
        <f t="shared" si="2"/>
      </c>
      <c r="L28" s="488"/>
      <c r="M28" s="490">
        <f t="shared" si="3"/>
      </c>
      <c r="N28" s="561">
        <f t="shared" si="4"/>
        <v>40</v>
      </c>
      <c r="O28" s="562" t="str">
        <f t="shared" si="5"/>
        <v>--</v>
      </c>
      <c r="P28" s="563" t="str">
        <f t="shared" si="6"/>
        <v>--</v>
      </c>
      <c r="Q28" s="564" t="str">
        <f t="shared" si="7"/>
        <v>--</v>
      </c>
      <c r="R28" s="565" t="str">
        <f t="shared" si="8"/>
        <v>--</v>
      </c>
      <c r="S28" s="490">
        <f t="shared" si="9"/>
      </c>
      <c r="T28" s="53">
        <f t="shared" si="10"/>
      </c>
      <c r="U28" s="97"/>
    </row>
    <row r="29" spans="2:21" s="16" customFormat="1" ht="16.5" customHeight="1">
      <c r="B29" s="93"/>
      <c r="C29" s="477"/>
      <c r="D29" s="555"/>
      <c r="E29" s="555"/>
      <c r="F29" s="556"/>
      <c r="G29" s="272">
        <f t="shared" si="0"/>
        <v>9.43</v>
      </c>
      <c r="H29" s="558"/>
      <c r="I29" s="559"/>
      <c r="J29" s="51">
        <f t="shared" si="1"/>
      </c>
      <c r="K29" s="26">
        <f t="shared" si="2"/>
      </c>
      <c r="L29" s="488"/>
      <c r="M29" s="490">
        <f t="shared" si="3"/>
      </c>
      <c r="N29" s="561">
        <f t="shared" si="4"/>
        <v>40</v>
      </c>
      <c r="O29" s="562" t="str">
        <f t="shared" si="5"/>
        <v>--</v>
      </c>
      <c r="P29" s="563" t="str">
        <f t="shared" si="6"/>
        <v>--</v>
      </c>
      <c r="Q29" s="564" t="str">
        <f t="shared" si="7"/>
        <v>--</v>
      </c>
      <c r="R29" s="565" t="str">
        <f t="shared" si="8"/>
        <v>--</v>
      </c>
      <c r="S29" s="490">
        <f t="shared" si="9"/>
      </c>
      <c r="T29" s="53">
        <f t="shared" si="10"/>
      </c>
      <c r="U29" s="97"/>
    </row>
    <row r="30" spans="2:21" s="16" customFormat="1" ht="16.5" customHeight="1">
      <c r="B30" s="93"/>
      <c r="C30" s="477"/>
      <c r="D30" s="555"/>
      <c r="E30" s="555"/>
      <c r="F30" s="556"/>
      <c r="G30" s="272">
        <f t="shared" si="0"/>
        <v>9.43</v>
      </c>
      <c r="H30" s="558"/>
      <c r="I30" s="559"/>
      <c r="J30" s="51">
        <f t="shared" si="1"/>
      </c>
      <c r="K30" s="26">
        <f t="shared" si="2"/>
      </c>
      <c r="L30" s="488"/>
      <c r="M30" s="490">
        <f t="shared" si="3"/>
      </c>
      <c r="N30" s="561">
        <f t="shared" si="4"/>
        <v>40</v>
      </c>
      <c r="O30" s="562" t="str">
        <f t="shared" si="5"/>
        <v>--</v>
      </c>
      <c r="P30" s="563" t="str">
        <f t="shared" si="6"/>
        <v>--</v>
      </c>
      <c r="Q30" s="564" t="str">
        <f t="shared" si="7"/>
        <v>--</v>
      </c>
      <c r="R30" s="565" t="str">
        <f t="shared" si="8"/>
        <v>--</v>
      </c>
      <c r="S30" s="490">
        <f t="shared" si="9"/>
      </c>
      <c r="T30" s="53">
        <f t="shared" si="10"/>
      </c>
      <c r="U30" s="97"/>
    </row>
    <row r="31" spans="2:21" s="16" customFormat="1" ht="16.5" customHeight="1">
      <c r="B31" s="93"/>
      <c r="C31" s="477"/>
      <c r="D31" s="555"/>
      <c r="E31" s="555"/>
      <c r="F31" s="556"/>
      <c r="G31" s="272">
        <f t="shared" si="0"/>
        <v>9.43</v>
      </c>
      <c r="H31" s="558"/>
      <c r="I31" s="559"/>
      <c r="J31" s="51">
        <f t="shared" si="1"/>
      </c>
      <c r="K31" s="26">
        <f t="shared" si="2"/>
      </c>
      <c r="L31" s="488"/>
      <c r="M31" s="490">
        <f t="shared" si="3"/>
      </c>
      <c r="N31" s="561">
        <f t="shared" si="4"/>
        <v>40</v>
      </c>
      <c r="O31" s="562" t="str">
        <f t="shared" si="5"/>
        <v>--</v>
      </c>
      <c r="P31" s="563" t="str">
        <f t="shared" si="6"/>
        <v>--</v>
      </c>
      <c r="Q31" s="564" t="str">
        <f t="shared" si="7"/>
        <v>--</v>
      </c>
      <c r="R31" s="565" t="str">
        <f t="shared" si="8"/>
        <v>--</v>
      </c>
      <c r="S31" s="490">
        <f t="shared" si="9"/>
      </c>
      <c r="T31" s="53">
        <f t="shared" si="10"/>
      </c>
      <c r="U31" s="97"/>
    </row>
    <row r="32" spans="2:21" s="16" customFormat="1" ht="16.5" customHeight="1">
      <c r="B32" s="93"/>
      <c r="C32" s="477"/>
      <c r="D32" s="555"/>
      <c r="E32" s="555"/>
      <c r="F32" s="556"/>
      <c r="G32" s="272">
        <f t="shared" si="0"/>
        <v>9.43</v>
      </c>
      <c r="H32" s="558"/>
      <c r="I32" s="559"/>
      <c r="J32" s="51">
        <f t="shared" si="1"/>
      </c>
      <c r="K32" s="26">
        <f t="shared" si="2"/>
      </c>
      <c r="L32" s="488"/>
      <c r="M32" s="490">
        <f t="shared" si="3"/>
      </c>
      <c r="N32" s="561">
        <f t="shared" si="4"/>
        <v>40</v>
      </c>
      <c r="O32" s="562" t="str">
        <f t="shared" si="5"/>
        <v>--</v>
      </c>
      <c r="P32" s="563" t="str">
        <f t="shared" si="6"/>
        <v>--</v>
      </c>
      <c r="Q32" s="564" t="str">
        <f t="shared" si="7"/>
        <v>--</v>
      </c>
      <c r="R32" s="565" t="str">
        <f t="shared" si="8"/>
        <v>--</v>
      </c>
      <c r="S32" s="490">
        <f t="shared" si="9"/>
      </c>
      <c r="T32" s="53">
        <f t="shared" si="10"/>
      </c>
      <c r="U32" s="97"/>
    </row>
    <row r="33" spans="2:21" s="16" customFormat="1" ht="16.5" customHeight="1">
      <c r="B33" s="93"/>
      <c r="C33" s="477"/>
      <c r="D33" s="555"/>
      <c r="E33" s="555"/>
      <c r="F33" s="556"/>
      <c r="G33" s="272">
        <f t="shared" si="0"/>
        <v>9.43</v>
      </c>
      <c r="H33" s="558"/>
      <c r="I33" s="559"/>
      <c r="J33" s="51">
        <f t="shared" si="1"/>
      </c>
      <c r="K33" s="26">
        <f t="shared" si="2"/>
      </c>
      <c r="L33" s="488"/>
      <c r="M33" s="490">
        <f t="shared" si="3"/>
      </c>
      <c r="N33" s="561">
        <f t="shared" si="4"/>
        <v>40</v>
      </c>
      <c r="O33" s="562" t="str">
        <f t="shared" si="5"/>
        <v>--</v>
      </c>
      <c r="P33" s="563" t="str">
        <f t="shared" si="6"/>
        <v>--</v>
      </c>
      <c r="Q33" s="564" t="str">
        <f t="shared" si="7"/>
        <v>--</v>
      </c>
      <c r="R33" s="565" t="str">
        <f t="shared" si="8"/>
        <v>--</v>
      </c>
      <c r="S33" s="490">
        <f t="shared" si="9"/>
      </c>
      <c r="T33" s="53">
        <f t="shared" si="10"/>
      </c>
      <c r="U33" s="97"/>
    </row>
    <row r="34" spans="2:21" s="16" customFormat="1" ht="16.5" customHeight="1">
      <c r="B34" s="93"/>
      <c r="C34" s="477"/>
      <c r="D34" s="555"/>
      <c r="E34" s="555"/>
      <c r="F34" s="556"/>
      <c r="G34" s="272">
        <f t="shared" si="0"/>
        <v>9.43</v>
      </c>
      <c r="H34" s="558"/>
      <c r="I34" s="559"/>
      <c r="J34" s="51">
        <f t="shared" si="1"/>
      </c>
      <c r="K34" s="26">
        <f t="shared" si="2"/>
      </c>
      <c r="L34" s="488"/>
      <c r="M34" s="490">
        <f t="shared" si="3"/>
      </c>
      <c r="N34" s="561">
        <f t="shared" si="4"/>
        <v>40</v>
      </c>
      <c r="O34" s="562" t="str">
        <f t="shared" si="5"/>
        <v>--</v>
      </c>
      <c r="P34" s="563" t="str">
        <f t="shared" si="6"/>
        <v>--</v>
      </c>
      <c r="Q34" s="564" t="str">
        <f t="shared" si="7"/>
        <v>--</v>
      </c>
      <c r="R34" s="565" t="str">
        <f t="shared" si="8"/>
        <v>--</v>
      </c>
      <c r="S34" s="490">
        <f t="shared" si="9"/>
      </c>
      <c r="T34" s="53">
        <f t="shared" si="10"/>
      </c>
      <c r="U34" s="97"/>
    </row>
    <row r="35" spans="2:21" s="16" customFormat="1" ht="16.5" customHeight="1">
      <c r="B35" s="93"/>
      <c r="C35" s="477"/>
      <c r="D35" s="555"/>
      <c r="E35" s="555"/>
      <c r="F35" s="556"/>
      <c r="G35" s="272">
        <f t="shared" si="0"/>
        <v>9.43</v>
      </c>
      <c r="H35" s="558"/>
      <c r="I35" s="559"/>
      <c r="J35" s="51">
        <f t="shared" si="1"/>
      </c>
      <c r="K35" s="26">
        <f t="shared" si="2"/>
      </c>
      <c r="L35" s="488"/>
      <c r="M35" s="490">
        <f t="shared" si="3"/>
      </c>
      <c r="N35" s="561">
        <f t="shared" si="4"/>
        <v>40</v>
      </c>
      <c r="O35" s="562" t="str">
        <f t="shared" si="5"/>
        <v>--</v>
      </c>
      <c r="P35" s="563" t="str">
        <f t="shared" si="6"/>
        <v>--</v>
      </c>
      <c r="Q35" s="564" t="str">
        <f t="shared" si="7"/>
        <v>--</v>
      </c>
      <c r="R35" s="565" t="str">
        <f t="shared" si="8"/>
        <v>--</v>
      </c>
      <c r="S35" s="490">
        <f t="shared" si="9"/>
      </c>
      <c r="T35" s="53">
        <f t="shared" si="10"/>
      </c>
      <c r="U35" s="97"/>
    </row>
    <row r="36" spans="2:21" s="16" customFormat="1" ht="16.5" customHeight="1">
      <c r="B36" s="93"/>
      <c r="C36" s="477"/>
      <c r="D36" s="555"/>
      <c r="E36" s="555"/>
      <c r="F36" s="556"/>
      <c r="G36" s="272">
        <f t="shared" si="0"/>
        <v>9.43</v>
      </c>
      <c r="H36" s="558"/>
      <c r="I36" s="559"/>
      <c r="J36" s="51">
        <f t="shared" si="1"/>
      </c>
      <c r="K36" s="26">
        <f t="shared" si="2"/>
      </c>
      <c r="L36" s="488"/>
      <c r="M36" s="490">
        <f t="shared" si="3"/>
      </c>
      <c r="N36" s="561">
        <f t="shared" si="4"/>
        <v>40</v>
      </c>
      <c r="O36" s="562" t="str">
        <f t="shared" si="5"/>
        <v>--</v>
      </c>
      <c r="P36" s="563" t="str">
        <f t="shared" si="6"/>
        <v>--</v>
      </c>
      <c r="Q36" s="564" t="str">
        <f t="shared" si="7"/>
        <v>--</v>
      </c>
      <c r="R36" s="565" t="str">
        <f t="shared" si="8"/>
        <v>--</v>
      </c>
      <c r="S36" s="490">
        <f t="shared" si="9"/>
      </c>
      <c r="T36" s="53">
        <f t="shared" si="10"/>
      </c>
      <c r="U36" s="97"/>
    </row>
    <row r="37" spans="2:21" s="16" customFormat="1" ht="16.5" customHeight="1">
      <c r="B37" s="93"/>
      <c r="C37" s="477"/>
      <c r="D37" s="555"/>
      <c r="E37" s="555"/>
      <c r="F37" s="556"/>
      <c r="G37" s="272">
        <f t="shared" si="0"/>
        <v>9.43</v>
      </c>
      <c r="H37" s="558"/>
      <c r="I37" s="559"/>
      <c r="J37" s="51">
        <f t="shared" si="1"/>
      </c>
      <c r="K37" s="26">
        <f t="shared" si="2"/>
      </c>
      <c r="L37" s="488"/>
      <c r="M37" s="490">
        <f t="shared" si="3"/>
      </c>
      <c r="N37" s="561">
        <f t="shared" si="4"/>
        <v>40</v>
      </c>
      <c r="O37" s="562" t="str">
        <f t="shared" si="5"/>
        <v>--</v>
      </c>
      <c r="P37" s="563" t="str">
        <f t="shared" si="6"/>
        <v>--</v>
      </c>
      <c r="Q37" s="564" t="str">
        <f t="shared" si="7"/>
        <v>--</v>
      </c>
      <c r="R37" s="565" t="str">
        <f t="shared" si="8"/>
        <v>--</v>
      </c>
      <c r="S37" s="490">
        <f t="shared" si="9"/>
      </c>
      <c r="T37" s="53">
        <f t="shared" si="10"/>
      </c>
      <c r="U37" s="97"/>
    </row>
    <row r="38" spans="2:21" s="16" customFormat="1" ht="16.5" customHeight="1">
      <c r="B38" s="93"/>
      <c r="C38" s="477"/>
      <c r="D38" s="555"/>
      <c r="E38" s="555"/>
      <c r="F38" s="556"/>
      <c r="G38" s="272">
        <f t="shared" si="0"/>
        <v>9.43</v>
      </c>
      <c r="H38" s="558"/>
      <c r="I38" s="559"/>
      <c r="J38" s="51">
        <f t="shared" si="1"/>
      </c>
      <c r="K38" s="26">
        <f t="shared" si="2"/>
      </c>
      <c r="L38" s="488"/>
      <c r="M38" s="490">
        <f t="shared" si="3"/>
      </c>
      <c r="N38" s="561">
        <f t="shared" si="4"/>
        <v>40</v>
      </c>
      <c r="O38" s="562" t="str">
        <f t="shared" si="5"/>
        <v>--</v>
      </c>
      <c r="P38" s="563" t="str">
        <f t="shared" si="6"/>
        <v>--</v>
      </c>
      <c r="Q38" s="564" t="str">
        <f t="shared" si="7"/>
        <v>--</v>
      </c>
      <c r="R38" s="565" t="str">
        <f t="shared" si="8"/>
        <v>--</v>
      </c>
      <c r="S38" s="490">
        <f t="shared" si="9"/>
      </c>
      <c r="T38" s="53">
        <f t="shared" si="10"/>
      </c>
      <c r="U38" s="97"/>
    </row>
    <row r="39" spans="2:21" s="16" customFormat="1" ht="16.5" customHeight="1">
      <c r="B39" s="93"/>
      <c r="C39" s="477"/>
      <c r="D39" s="555"/>
      <c r="E39" s="555"/>
      <c r="F39" s="556"/>
      <c r="G39" s="272">
        <f t="shared" si="0"/>
        <v>9.43</v>
      </c>
      <c r="H39" s="558"/>
      <c r="I39" s="559"/>
      <c r="J39" s="51">
        <f t="shared" si="1"/>
      </c>
      <c r="K39" s="26">
        <f t="shared" si="2"/>
      </c>
      <c r="L39" s="488"/>
      <c r="M39" s="490">
        <f t="shared" si="3"/>
      </c>
      <c r="N39" s="561">
        <f t="shared" si="4"/>
        <v>40</v>
      </c>
      <c r="O39" s="562" t="str">
        <f t="shared" si="5"/>
        <v>--</v>
      </c>
      <c r="P39" s="563" t="str">
        <f t="shared" si="6"/>
        <v>--</v>
      </c>
      <c r="Q39" s="564" t="str">
        <f t="shared" si="7"/>
        <v>--</v>
      </c>
      <c r="R39" s="565" t="str">
        <f t="shared" si="8"/>
        <v>--</v>
      </c>
      <c r="S39" s="490">
        <f t="shared" si="9"/>
      </c>
      <c r="T39" s="53">
        <f t="shared" si="10"/>
      </c>
      <c r="U39" s="97"/>
    </row>
    <row r="40" spans="2:21" s="16" customFormat="1" ht="16.5" customHeight="1">
      <c r="B40" s="93"/>
      <c r="C40" s="477"/>
      <c r="D40" s="555"/>
      <c r="E40" s="555"/>
      <c r="F40" s="556"/>
      <c r="G40" s="272">
        <f t="shared" si="0"/>
        <v>9.43</v>
      </c>
      <c r="H40" s="558"/>
      <c r="I40" s="559"/>
      <c r="J40" s="51">
        <f t="shared" si="1"/>
      </c>
      <c r="K40" s="26">
        <f t="shared" si="2"/>
      </c>
      <c r="L40" s="488"/>
      <c r="M40" s="490">
        <f t="shared" si="3"/>
      </c>
      <c r="N40" s="561">
        <f t="shared" si="4"/>
        <v>40</v>
      </c>
      <c r="O40" s="562" t="str">
        <f t="shared" si="5"/>
        <v>--</v>
      </c>
      <c r="P40" s="563" t="str">
        <f t="shared" si="6"/>
        <v>--</v>
      </c>
      <c r="Q40" s="564" t="str">
        <f t="shared" si="7"/>
        <v>--</v>
      </c>
      <c r="R40" s="565" t="str">
        <f t="shared" si="8"/>
        <v>--</v>
      </c>
      <c r="S40" s="490">
        <f t="shared" si="9"/>
      </c>
      <c r="T40" s="53">
        <f t="shared" si="10"/>
      </c>
      <c r="U40" s="97"/>
    </row>
    <row r="41" spans="2:21" s="16" customFormat="1" ht="16.5" customHeight="1">
      <c r="B41" s="93"/>
      <c r="C41" s="477"/>
      <c r="D41" s="555"/>
      <c r="E41" s="555"/>
      <c r="F41" s="556"/>
      <c r="G41" s="272">
        <f t="shared" si="0"/>
        <v>9.43</v>
      </c>
      <c r="H41" s="558"/>
      <c r="I41" s="559"/>
      <c r="J41" s="51">
        <f t="shared" si="1"/>
      </c>
      <c r="K41" s="26">
        <f t="shared" si="2"/>
      </c>
      <c r="L41" s="488"/>
      <c r="M41" s="490">
        <f t="shared" si="3"/>
      </c>
      <c r="N41" s="561">
        <f t="shared" si="4"/>
        <v>40</v>
      </c>
      <c r="O41" s="562" t="str">
        <f t="shared" si="5"/>
        <v>--</v>
      </c>
      <c r="P41" s="563" t="str">
        <f t="shared" si="6"/>
        <v>--</v>
      </c>
      <c r="Q41" s="564" t="str">
        <f t="shared" si="7"/>
        <v>--</v>
      </c>
      <c r="R41" s="565" t="str">
        <f t="shared" si="8"/>
        <v>--</v>
      </c>
      <c r="S41" s="490">
        <f t="shared" si="9"/>
      </c>
      <c r="T41" s="53">
        <f t="shared" si="10"/>
      </c>
      <c r="U41" s="97"/>
    </row>
    <row r="42" spans="2:21" s="16" customFormat="1" ht="16.5" customHeight="1" thickBot="1">
      <c r="B42" s="93"/>
      <c r="C42" s="481"/>
      <c r="D42" s="557"/>
      <c r="E42" s="557"/>
      <c r="F42" s="482"/>
      <c r="G42" s="274"/>
      <c r="H42" s="560"/>
      <c r="I42" s="560"/>
      <c r="J42" s="54"/>
      <c r="K42" s="54"/>
      <c r="L42" s="560"/>
      <c r="M42" s="487"/>
      <c r="N42" s="566"/>
      <c r="O42" s="567"/>
      <c r="P42" s="568"/>
      <c r="Q42" s="569"/>
      <c r="R42" s="570"/>
      <c r="S42" s="487"/>
      <c r="T42" s="202"/>
      <c r="U42" s="97"/>
    </row>
    <row r="43" spans="2:21" s="16" customFormat="1" ht="16.5" customHeight="1" thickBot="1" thickTop="1">
      <c r="B43" s="93"/>
      <c r="C43" s="207" t="s">
        <v>44</v>
      </c>
      <c r="D43" s="208" t="s">
        <v>45</v>
      </c>
      <c r="E43"/>
      <c r="F43" s="14"/>
      <c r="G43" s="14"/>
      <c r="H43" s="14"/>
      <c r="I43" s="14"/>
      <c r="J43" s="14"/>
      <c r="K43" s="14"/>
      <c r="L43" s="14"/>
      <c r="M43" s="14"/>
      <c r="N43" s="14"/>
      <c r="O43" s="377">
        <f>SUM(O20:O42)</f>
        <v>1671.3731999999998</v>
      </c>
      <c r="P43" s="384">
        <f>SUM(P20:P42)</f>
        <v>377.2</v>
      </c>
      <c r="Q43" s="385">
        <f>SUM(Q20:Q42)</f>
        <v>49.036</v>
      </c>
      <c r="R43" s="387">
        <f>SUM(R20:R42)</f>
        <v>0</v>
      </c>
      <c r="S43" s="55"/>
      <c r="T43" s="60">
        <f>ROUND(SUM(T20:T42),2)</f>
        <v>2097.61</v>
      </c>
      <c r="U43" s="97"/>
    </row>
    <row r="44" spans="2:21" s="212" customFormat="1" ht="13.5" thickTop="1">
      <c r="B44" s="213"/>
      <c r="C44" s="209"/>
      <c r="D44" s="211" t="s">
        <v>46</v>
      </c>
      <c r="E44"/>
      <c r="F44" s="229"/>
      <c r="G44" s="229"/>
      <c r="H44" s="229"/>
      <c r="I44" s="229"/>
      <c r="J44" s="229"/>
      <c r="K44" s="229"/>
      <c r="L44" s="229"/>
      <c r="M44" s="229"/>
      <c r="N44" s="229"/>
      <c r="O44" s="227"/>
      <c r="P44" s="227"/>
      <c r="Q44" s="227"/>
      <c r="R44" s="227"/>
      <c r="S44" s="227"/>
      <c r="T44" s="230"/>
      <c r="U44" s="231"/>
    </row>
    <row r="45" spans="2:21" s="16" customFormat="1" ht="16.5" customHeight="1" thickBot="1">
      <c r="B45" s="122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4"/>
    </row>
    <row r="46" spans="21:23" ht="16.5" customHeight="1" thickTop="1">
      <c r="U46" s="5"/>
      <c r="V46" s="5"/>
      <c r="W46" s="5"/>
    </row>
    <row r="47" spans="21:23" ht="16.5" customHeight="1">
      <c r="U47" s="5"/>
      <c r="V47" s="5"/>
      <c r="W47" s="5"/>
    </row>
    <row r="48" spans="21:23" ht="16.5" customHeight="1">
      <c r="U48" s="5"/>
      <c r="V48" s="5"/>
      <c r="W48" s="5"/>
    </row>
    <row r="49" spans="21:23" ht="16.5" customHeight="1">
      <c r="U49" s="5"/>
      <c r="V49" s="5"/>
      <c r="W49" s="5"/>
    </row>
    <row r="50" spans="21:23" ht="16.5" customHeight="1">
      <c r="U50" s="5"/>
      <c r="V50" s="5"/>
      <c r="W50" s="5"/>
    </row>
    <row r="51" spans="4:23" ht="16.5" customHeight="1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4:23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4:23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4:23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4:23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4:23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4:23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4:23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4:23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4:23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4:23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4:23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4:23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4:23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4:23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4:23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4:23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4:23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4:23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4:23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4:23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4:23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4:23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4:23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4:23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4:23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4:23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4:23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4:23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4:23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4:23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4:23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4:23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4:23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4:23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4:23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4:23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4:23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4:23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4:23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4:23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4:23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4:23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4:23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4:23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4:23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4:23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4:23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4:23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4:23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4:23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4:23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4:23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4:23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4:23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4:23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4:23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4:23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4:23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4:23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4:23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4:23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4:23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4:23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4:23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4:23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4:23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4:23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4:23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4:23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4:23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4:23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4:23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4:23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4:23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4:23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4:23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4:23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4:23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4:23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4:23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4:23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4:23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4:23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4:23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4:23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4:23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4:23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4:23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4:23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4:23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4:23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4:23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4:23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4:23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4:23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4:23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4:23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4:23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4:23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4:23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4:23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4:23" ht="16.5" customHeight="1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4:23" ht="16.5" customHeight="1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4:23" ht="16.5" customHeight="1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4:23" ht="16.5" customHeight="1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4:23" ht="16.5" customHeight="1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4:23" ht="16.5" customHeight="1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61" ht="12.75"/>
    <row r="162" ht="12.75"/>
    <row r="163" ht="12.75"/>
    <row r="164" ht="12.75"/>
    <row r="165" ht="12.75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61">
    <pageSetUpPr fitToPage="1"/>
  </sheetPr>
  <dimension ref="A1:W158"/>
  <sheetViews>
    <sheetView zoomScale="75" zoomScaleNormal="75" workbookViewId="0" topLeftCell="A1">
      <selection activeCell="I95" sqref="I95:S95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pans="1:21" s="61" customFormat="1" ht="26.25">
      <c r="A1" s="111"/>
      <c r="U1" s="455"/>
    </row>
    <row r="2" spans="1:21" s="61" customFormat="1" ht="26.25">
      <c r="A2" s="111"/>
      <c r="B2" s="62" t="str">
        <f>+'tot-0401'!B2</f>
        <v>ANEXO I-2a a la Resolución ENRE N° 686 /2007.-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="16" customFormat="1" ht="12.75">
      <c r="A3" s="44"/>
    </row>
    <row r="4" spans="1:2" s="68" customFormat="1" ht="11.25">
      <c r="A4" s="66" t="s">
        <v>11</v>
      </c>
      <c r="B4" s="144"/>
    </row>
    <row r="5" spans="1:2" s="68" customFormat="1" ht="11.25">
      <c r="A5" s="66" t="s">
        <v>12</v>
      </c>
      <c r="B5" s="144"/>
    </row>
    <row r="6" s="16" customFormat="1" ht="13.5" thickBot="1"/>
    <row r="7" spans="2:21" s="16" customFormat="1" ht="13.5" thickTop="1">
      <c r="B7" s="112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80"/>
    </row>
    <row r="8" spans="2:21" s="10" customFormat="1" ht="20.25">
      <c r="B8" s="126"/>
      <c r="C8" s="11"/>
      <c r="D8" s="47" t="s">
        <v>23</v>
      </c>
      <c r="L8" s="156"/>
      <c r="M8" s="156"/>
      <c r="N8" s="35"/>
      <c r="O8" s="11"/>
      <c r="P8" s="11"/>
      <c r="Q8" s="11"/>
      <c r="R8" s="11"/>
      <c r="S8" s="11"/>
      <c r="T8" s="11"/>
      <c r="U8" s="189"/>
    </row>
    <row r="9" spans="2:21" s="16" customFormat="1" ht="12.75">
      <c r="B9" s="93"/>
      <c r="C9" s="1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14"/>
      <c r="P9" s="14"/>
      <c r="Q9" s="14"/>
      <c r="R9" s="14"/>
      <c r="S9" s="14"/>
      <c r="T9" s="14"/>
      <c r="U9" s="97"/>
    </row>
    <row r="10" spans="2:21" s="10" customFormat="1" ht="20.25">
      <c r="B10" s="126"/>
      <c r="C10" s="11"/>
      <c r="D10" s="160" t="s">
        <v>79</v>
      </c>
      <c r="E10" s="36"/>
      <c r="F10" s="156"/>
      <c r="G10" s="190"/>
      <c r="I10" s="190"/>
      <c r="J10" s="190"/>
      <c r="K10" s="190"/>
      <c r="L10" s="190"/>
      <c r="M10" s="190"/>
      <c r="N10" s="190"/>
      <c r="O10" s="11"/>
      <c r="P10" s="11"/>
      <c r="Q10" s="11"/>
      <c r="R10" s="11"/>
      <c r="S10" s="11"/>
      <c r="T10" s="11"/>
      <c r="U10" s="189"/>
    </row>
    <row r="11" spans="2:21" s="16" customFormat="1" ht="13.5">
      <c r="B11" s="93"/>
      <c r="C11" s="14"/>
      <c r="D11" s="188"/>
      <c r="E11" s="188"/>
      <c r="F11" s="44"/>
      <c r="G11" s="181"/>
      <c r="H11" s="95"/>
      <c r="I11" s="181"/>
      <c r="J11" s="181"/>
      <c r="K11" s="181"/>
      <c r="L11" s="181"/>
      <c r="M11" s="181"/>
      <c r="N11" s="181"/>
      <c r="O11" s="14"/>
      <c r="P11" s="14"/>
      <c r="Q11" s="14"/>
      <c r="R11" s="14"/>
      <c r="S11" s="14"/>
      <c r="T11" s="14"/>
      <c r="U11" s="97"/>
    </row>
    <row r="12" spans="2:21" s="16" customFormat="1" ht="19.5">
      <c r="B12" s="81" t="str">
        <f>+'tot-0401'!B14</f>
        <v>Desde el 01 al 31 de enero de 2004</v>
      </c>
      <c r="C12" s="84"/>
      <c r="D12" s="84"/>
      <c r="E12" s="84"/>
      <c r="F12" s="84"/>
      <c r="G12" s="191"/>
      <c r="H12" s="191"/>
      <c r="I12" s="191"/>
      <c r="J12" s="191"/>
      <c r="K12" s="191"/>
      <c r="L12" s="191"/>
      <c r="M12" s="191"/>
      <c r="N12" s="191"/>
      <c r="O12" s="84"/>
      <c r="P12" s="84"/>
      <c r="Q12" s="84"/>
      <c r="R12" s="84"/>
      <c r="S12" s="84"/>
      <c r="T12" s="84"/>
      <c r="U12" s="192"/>
    </row>
    <row r="13" spans="2:21" s="16" customFormat="1" ht="14.25" thickBot="1">
      <c r="B13" s="193"/>
      <c r="C13" s="194"/>
      <c r="D13" s="194"/>
      <c r="E13" s="194"/>
      <c r="F13" s="194"/>
      <c r="G13" s="195"/>
      <c r="H13" s="195"/>
      <c r="I13" s="195"/>
      <c r="J13" s="195"/>
      <c r="K13" s="195"/>
      <c r="L13" s="195"/>
      <c r="M13" s="195"/>
      <c r="N13" s="195"/>
      <c r="O13" s="194"/>
      <c r="P13" s="194"/>
      <c r="Q13" s="194"/>
      <c r="R13" s="194"/>
      <c r="S13" s="194"/>
      <c r="T13" s="194"/>
      <c r="U13" s="196"/>
    </row>
    <row r="14" spans="2:21" s="16" customFormat="1" ht="15" thickBot="1" thickTop="1">
      <c r="B14" s="93"/>
      <c r="C14" s="14"/>
      <c r="D14" s="197"/>
      <c r="E14" s="197"/>
      <c r="F14" s="198" t="s">
        <v>68</v>
      </c>
      <c r="G14" s="14"/>
      <c r="H14" s="95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97"/>
    </row>
    <row r="15" spans="2:21" s="16" customFormat="1" ht="16.5" customHeight="1" thickBot="1" thickTop="1">
      <c r="B15" s="93"/>
      <c r="C15" s="14"/>
      <c r="D15" s="459" t="s">
        <v>69</v>
      </c>
      <c r="E15" s="460">
        <v>11.787</v>
      </c>
      <c r="F15" s="461">
        <v>200</v>
      </c>
      <c r="T15" s="118"/>
      <c r="U15" s="97"/>
    </row>
    <row r="16" spans="2:21" s="16" customFormat="1" ht="16.5" customHeight="1" thickBot="1" thickTop="1">
      <c r="B16" s="93"/>
      <c r="C16" s="14"/>
      <c r="D16" s="462" t="s">
        <v>70</v>
      </c>
      <c r="E16" s="463">
        <v>10.609</v>
      </c>
      <c r="F16" s="461">
        <v>100</v>
      </c>
      <c r="M16" s="14"/>
      <c r="N16" s="14"/>
      <c r="O16" s="14"/>
      <c r="P16" s="14"/>
      <c r="Q16" s="14"/>
      <c r="R16" s="14"/>
      <c r="S16" s="14"/>
      <c r="T16" s="14"/>
      <c r="U16" s="97"/>
    </row>
    <row r="17" spans="2:21" s="16" customFormat="1" ht="16.5" customHeight="1" thickBot="1" thickTop="1">
      <c r="B17" s="93"/>
      <c r="C17" s="14"/>
      <c r="D17" s="464" t="s">
        <v>71</v>
      </c>
      <c r="E17" s="463">
        <v>9.43</v>
      </c>
      <c r="F17" s="461">
        <v>40</v>
      </c>
      <c r="M17" s="14"/>
      <c r="O17" s="14"/>
      <c r="P17" s="14"/>
      <c r="Q17" s="14"/>
      <c r="R17" s="14"/>
      <c r="S17" s="14"/>
      <c r="T17" s="14"/>
      <c r="U17" s="97"/>
    </row>
    <row r="18" spans="2:21" s="16" customFormat="1" ht="16.5" customHeight="1" thickBot="1" thickTop="1">
      <c r="B18" s="93"/>
      <c r="C18" s="21"/>
      <c r="D18" s="58"/>
      <c r="E18" s="58"/>
      <c r="F18" s="182"/>
      <c r="G18" s="183"/>
      <c r="H18" s="183"/>
      <c r="I18" s="183"/>
      <c r="J18" s="183"/>
      <c r="K18" s="183"/>
      <c r="L18" s="183"/>
      <c r="M18" s="183"/>
      <c r="N18" s="52"/>
      <c r="O18" s="184"/>
      <c r="P18" s="185"/>
      <c r="Q18" s="185"/>
      <c r="R18" s="185"/>
      <c r="S18" s="186"/>
      <c r="T18" s="187"/>
      <c r="U18" s="97"/>
    </row>
    <row r="19" spans="2:21" s="16" customFormat="1" ht="33.75" customHeight="1" thickBot="1" thickTop="1">
      <c r="B19" s="93"/>
      <c r="C19" s="132" t="s">
        <v>24</v>
      </c>
      <c r="D19" s="141" t="s">
        <v>62</v>
      </c>
      <c r="E19" s="137" t="s">
        <v>10</v>
      </c>
      <c r="F19" s="199" t="s">
        <v>25</v>
      </c>
      <c r="G19" s="270" t="s">
        <v>29</v>
      </c>
      <c r="H19" s="135" t="s">
        <v>30</v>
      </c>
      <c r="I19" s="137" t="s">
        <v>31</v>
      </c>
      <c r="J19" s="200" t="s">
        <v>32</v>
      </c>
      <c r="K19" s="200" t="s">
        <v>33</v>
      </c>
      <c r="L19" s="140" t="s">
        <v>34</v>
      </c>
      <c r="M19" s="136" t="s">
        <v>37</v>
      </c>
      <c r="N19" s="373" t="s">
        <v>28</v>
      </c>
      <c r="O19" s="365" t="s">
        <v>52</v>
      </c>
      <c r="P19" s="378" t="s">
        <v>72</v>
      </c>
      <c r="Q19" s="379"/>
      <c r="R19" s="388" t="s">
        <v>40</v>
      </c>
      <c r="S19" s="142" t="s">
        <v>42</v>
      </c>
      <c r="T19" s="174" t="s">
        <v>43</v>
      </c>
      <c r="U19" s="97"/>
    </row>
    <row r="20" spans="2:21" s="16" customFormat="1" ht="16.5" customHeight="1" thickTop="1">
      <c r="B20" s="93"/>
      <c r="C20" s="20"/>
      <c r="D20" s="49"/>
      <c r="E20" s="49"/>
      <c r="F20" s="49"/>
      <c r="G20" s="280"/>
      <c r="H20" s="49"/>
      <c r="I20" s="49"/>
      <c r="J20" s="49"/>
      <c r="K20" s="49"/>
      <c r="L20" s="49"/>
      <c r="M20" s="49"/>
      <c r="N20" s="374"/>
      <c r="O20" s="376"/>
      <c r="P20" s="380"/>
      <c r="Q20" s="381"/>
      <c r="R20" s="389"/>
      <c r="S20" s="49"/>
      <c r="T20" s="454"/>
      <c r="U20" s="97"/>
    </row>
    <row r="21" spans="2:21" s="16" customFormat="1" ht="16.5" customHeight="1">
      <c r="B21" s="93"/>
      <c r="C21" s="20"/>
      <c r="D21" s="50"/>
      <c r="E21" s="50"/>
      <c r="F21" s="50"/>
      <c r="G21" s="281"/>
      <c r="H21" s="50"/>
      <c r="I21" s="50"/>
      <c r="J21" s="50"/>
      <c r="K21" s="50"/>
      <c r="L21" s="50"/>
      <c r="M21" s="50"/>
      <c r="N21" s="372"/>
      <c r="O21" s="375"/>
      <c r="P21" s="382"/>
      <c r="Q21" s="383"/>
      <c r="R21" s="386"/>
      <c r="S21" s="50"/>
      <c r="T21" s="201"/>
      <c r="U21" s="97"/>
    </row>
    <row r="22" spans="2:21" s="16" customFormat="1" ht="16.5" customHeight="1">
      <c r="B22" s="93"/>
      <c r="C22" s="477" t="s">
        <v>104</v>
      </c>
      <c r="D22" s="575" t="s">
        <v>75</v>
      </c>
      <c r="E22" s="575" t="s">
        <v>76</v>
      </c>
      <c r="F22" s="575">
        <v>132</v>
      </c>
      <c r="G22" s="272">
        <f aca="true" t="shared" si="0" ref="G22:G41">IF(F22=500,$E$15,IF(F22=220,$E$16,$E$17))</f>
        <v>9.43</v>
      </c>
      <c r="H22" s="558">
        <v>38000.31527777778</v>
      </c>
      <c r="I22" s="559">
        <v>38000.606944444444</v>
      </c>
      <c r="J22" s="51">
        <f aca="true" t="shared" si="1" ref="J22:J41">IF(D22="","",(I22-H22)*24)</f>
        <v>6.999999999941792</v>
      </c>
      <c r="K22" s="26">
        <f aca="true" t="shared" si="2" ref="K22:K41">IF(D22="","",ROUND((I22-H22)*24*60,0))</f>
        <v>420</v>
      </c>
      <c r="L22" s="488" t="s">
        <v>87</v>
      </c>
      <c r="M22" s="490" t="str">
        <f aca="true" t="shared" si="3" ref="M22:M41">IF(D22="","",IF(L22="P","--","NO"))</f>
        <v>--</v>
      </c>
      <c r="N22" s="561">
        <f aca="true" t="shared" si="4" ref="N22:N41">IF(F22=500,$F$15,IF(F22=220,$F$16,$F$17))</f>
        <v>40</v>
      </c>
      <c r="O22" s="562">
        <f aca="true" t="shared" si="5" ref="O22:O41">IF(L22="P",G22*N22*ROUND(K22/60,2)*0.1,"--")</f>
        <v>264.04</v>
      </c>
      <c r="P22" s="563" t="str">
        <f aca="true" t="shared" si="6" ref="P22:P41">IF(AND(L22="F",M22="NO"),G22*N22,"--")</f>
        <v>--</v>
      </c>
      <c r="Q22" s="564" t="str">
        <f aca="true" t="shared" si="7" ref="Q22:Q41">IF(L22="F",G22*N22*ROUND(K22/60,2),"--")</f>
        <v>--</v>
      </c>
      <c r="R22" s="565" t="str">
        <f aca="true" t="shared" si="8" ref="R22:R41">IF(L22="RF",G22*N22*ROUND(K22/60,2),"--")</f>
        <v>--</v>
      </c>
      <c r="S22" s="490" t="str">
        <f aca="true" t="shared" si="9" ref="S22:S41">IF(D22="","","SI")</f>
        <v>SI</v>
      </c>
      <c r="T22" s="53">
        <f aca="true" t="shared" si="10" ref="T22:T41">IF(D22="","",SUM(O22:R22)*IF(S22="SI",1,2))</f>
        <v>264.04</v>
      </c>
      <c r="U22" s="97"/>
    </row>
    <row r="23" spans="2:21" s="16" customFormat="1" ht="16.5" customHeight="1">
      <c r="B23" s="93"/>
      <c r="C23" s="477" t="s">
        <v>105</v>
      </c>
      <c r="D23" s="575" t="s">
        <v>75</v>
      </c>
      <c r="E23" s="575" t="s">
        <v>77</v>
      </c>
      <c r="F23" s="575">
        <v>132</v>
      </c>
      <c r="G23" s="272">
        <f t="shared" si="0"/>
        <v>9.43</v>
      </c>
      <c r="H23" s="558">
        <v>38000.31597222222</v>
      </c>
      <c r="I23" s="559">
        <v>38000.60763888889</v>
      </c>
      <c r="J23" s="51">
        <f t="shared" si="1"/>
        <v>7.000000000116415</v>
      </c>
      <c r="K23" s="26">
        <f t="shared" si="2"/>
        <v>420</v>
      </c>
      <c r="L23" s="488" t="s">
        <v>87</v>
      </c>
      <c r="M23" s="490" t="str">
        <f t="shared" si="3"/>
        <v>--</v>
      </c>
      <c r="N23" s="561">
        <f t="shared" si="4"/>
        <v>40</v>
      </c>
      <c r="O23" s="562">
        <f t="shared" si="5"/>
        <v>264.04</v>
      </c>
      <c r="P23" s="563" t="str">
        <f t="shared" si="6"/>
        <v>--</v>
      </c>
      <c r="Q23" s="564" t="str">
        <f t="shared" si="7"/>
        <v>--</v>
      </c>
      <c r="R23" s="565" t="str">
        <f t="shared" si="8"/>
        <v>--</v>
      </c>
      <c r="S23" s="490" t="str">
        <f t="shared" si="9"/>
        <v>SI</v>
      </c>
      <c r="T23" s="53">
        <f t="shared" si="10"/>
        <v>264.04</v>
      </c>
      <c r="U23" s="97"/>
    </row>
    <row r="24" spans="2:21" s="16" customFormat="1" ht="16.5" customHeight="1">
      <c r="B24" s="93"/>
      <c r="C24" s="477" t="s">
        <v>106</v>
      </c>
      <c r="D24" s="575" t="s">
        <v>75</v>
      </c>
      <c r="E24" s="575" t="s">
        <v>76</v>
      </c>
      <c r="F24" s="575">
        <v>132</v>
      </c>
      <c r="G24" s="272">
        <f t="shared" si="0"/>
        <v>9.43</v>
      </c>
      <c r="H24" s="558">
        <v>38008.34375</v>
      </c>
      <c r="I24" s="559">
        <v>38008.510416666664</v>
      </c>
      <c r="J24" s="51">
        <f t="shared" si="1"/>
        <v>3.9999999999417923</v>
      </c>
      <c r="K24" s="26">
        <f t="shared" si="2"/>
        <v>240</v>
      </c>
      <c r="L24" s="488" t="s">
        <v>87</v>
      </c>
      <c r="M24" s="490" t="str">
        <f t="shared" si="3"/>
        <v>--</v>
      </c>
      <c r="N24" s="561">
        <f t="shared" si="4"/>
        <v>40</v>
      </c>
      <c r="O24" s="562">
        <f t="shared" si="5"/>
        <v>150.88</v>
      </c>
      <c r="P24" s="563" t="str">
        <f t="shared" si="6"/>
        <v>--</v>
      </c>
      <c r="Q24" s="564" t="str">
        <f t="shared" si="7"/>
        <v>--</v>
      </c>
      <c r="R24" s="565" t="str">
        <f t="shared" si="8"/>
        <v>--</v>
      </c>
      <c r="S24" s="490" t="str">
        <f t="shared" si="9"/>
        <v>SI</v>
      </c>
      <c r="T24" s="53">
        <f t="shared" si="10"/>
        <v>150.88</v>
      </c>
      <c r="U24" s="97"/>
    </row>
    <row r="25" spans="2:21" s="16" customFormat="1" ht="16.5" customHeight="1">
      <c r="B25" s="93"/>
      <c r="C25" s="477" t="s">
        <v>107</v>
      </c>
      <c r="D25" s="575" t="s">
        <v>75</v>
      </c>
      <c r="E25" s="575" t="s">
        <v>77</v>
      </c>
      <c r="F25" s="575">
        <v>132</v>
      </c>
      <c r="G25" s="272">
        <f t="shared" si="0"/>
        <v>9.43</v>
      </c>
      <c r="H25" s="558">
        <v>38008.34375</v>
      </c>
      <c r="I25" s="559">
        <v>38008.510416666664</v>
      </c>
      <c r="J25" s="51">
        <f t="shared" si="1"/>
        <v>3.9999999999417923</v>
      </c>
      <c r="K25" s="26">
        <f t="shared" si="2"/>
        <v>240</v>
      </c>
      <c r="L25" s="488" t="s">
        <v>87</v>
      </c>
      <c r="M25" s="490" t="str">
        <f t="shared" si="3"/>
        <v>--</v>
      </c>
      <c r="N25" s="561">
        <f t="shared" si="4"/>
        <v>40</v>
      </c>
      <c r="O25" s="562">
        <f t="shared" si="5"/>
        <v>150.88</v>
      </c>
      <c r="P25" s="563" t="str">
        <f t="shared" si="6"/>
        <v>--</v>
      </c>
      <c r="Q25" s="564" t="str">
        <f t="shared" si="7"/>
        <v>--</v>
      </c>
      <c r="R25" s="565" t="str">
        <f t="shared" si="8"/>
        <v>--</v>
      </c>
      <c r="S25" s="490" t="str">
        <f t="shared" si="9"/>
        <v>SI</v>
      </c>
      <c r="T25" s="53">
        <f t="shared" si="10"/>
        <v>150.88</v>
      </c>
      <c r="U25" s="97"/>
    </row>
    <row r="26" spans="2:21" s="16" customFormat="1" ht="16.5" customHeight="1">
      <c r="B26" s="93"/>
      <c r="C26" s="477"/>
      <c r="D26" s="555"/>
      <c r="E26" s="555"/>
      <c r="F26" s="556"/>
      <c r="G26" s="272">
        <f t="shared" si="0"/>
        <v>9.43</v>
      </c>
      <c r="H26" s="558"/>
      <c r="I26" s="559"/>
      <c r="J26" s="51">
        <f t="shared" si="1"/>
      </c>
      <c r="K26" s="26">
        <f t="shared" si="2"/>
      </c>
      <c r="L26" s="488"/>
      <c r="M26" s="490">
        <f t="shared" si="3"/>
      </c>
      <c r="N26" s="561">
        <f t="shared" si="4"/>
        <v>40</v>
      </c>
      <c r="O26" s="562" t="str">
        <f t="shared" si="5"/>
        <v>--</v>
      </c>
      <c r="P26" s="563" t="str">
        <f t="shared" si="6"/>
        <v>--</v>
      </c>
      <c r="Q26" s="564" t="str">
        <f t="shared" si="7"/>
        <v>--</v>
      </c>
      <c r="R26" s="565" t="str">
        <f t="shared" si="8"/>
        <v>--</v>
      </c>
      <c r="S26" s="490">
        <f t="shared" si="9"/>
      </c>
      <c r="T26" s="53">
        <f t="shared" si="10"/>
      </c>
      <c r="U26" s="97"/>
    </row>
    <row r="27" spans="2:21" s="16" customFormat="1" ht="16.5" customHeight="1">
      <c r="B27" s="93"/>
      <c r="C27" s="477"/>
      <c r="D27" s="555"/>
      <c r="E27" s="555"/>
      <c r="F27" s="556"/>
      <c r="G27" s="272">
        <f t="shared" si="0"/>
        <v>9.43</v>
      </c>
      <c r="H27" s="558"/>
      <c r="I27" s="559"/>
      <c r="J27" s="51">
        <f t="shared" si="1"/>
      </c>
      <c r="K27" s="26">
        <f t="shared" si="2"/>
      </c>
      <c r="L27" s="488"/>
      <c r="M27" s="490">
        <f t="shared" si="3"/>
      </c>
      <c r="N27" s="561">
        <f t="shared" si="4"/>
        <v>40</v>
      </c>
      <c r="O27" s="562" t="str">
        <f t="shared" si="5"/>
        <v>--</v>
      </c>
      <c r="P27" s="563" t="str">
        <f t="shared" si="6"/>
        <v>--</v>
      </c>
      <c r="Q27" s="564" t="str">
        <f t="shared" si="7"/>
        <v>--</v>
      </c>
      <c r="R27" s="565" t="str">
        <f t="shared" si="8"/>
        <v>--</v>
      </c>
      <c r="S27" s="490">
        <f t="shared" si="9"/>
      </c>
      <c r="T27" s="53">
        <f t="shared" si="10"/>
      </c>
      <c r="U27" s="97"/>
    </row>
    <row r="28" spans="2:21" s="16" customFormat="1" ht="16.5" customHeight="1">
      <c r="B28" s="93"/>
      <c r="C28" s="477"/>
      <c r="D28" s="555"/>
      <c r="E28" s="555"/>
      <c r="F28" s="556"/>
      <c r="G28" s="272">
        <f t="shared" si="0"/>
        <v>9.43</v>
      </c>
      <c r="H28" s="558"/>
      <c r="I28" s="559"/>
      <c r="J28" s="51">
        <f t="shared" si="1"/>
      </c>
      <c r="K28" s="26">
        <f t="shared" si="2"/>
      </c>
      <c r="L28" s="488"/>
      <c r="M28" s="490">
        <f t="shared" si="3"/>
      </c>
      <c r="N28" s="561">
        <f t="shared" si="4"/>
        <v>40</v>
      </c>
      <c r="O28" s="562" t="str">
        <f t="shared" si="5"/>
        <v>--</v>
      </c>
      <c r="P28" s="563" t="str">
        <f t="shared" si="6"/>
        <v>--</v>
      </c>
      <c r="Q28" s="564" t="str">
        <f t="shared" si="7"/>
        <v>--</v>
      </c>
      <c r="R28" s="565" t="str">
        <f t="shared" si="8"/>
        <v>--</v>
      </c>
      <c r="S28" s="490">
        <f t="shared" si="9"/>
      </c>
      <c r="T28" s="53">
        <f t="shared" si="10"/>
      </c>
      <c r="U28" s="97"/>
    </row>
    <row r="29" spans="2:21" s="16" customFormat="1" ht="16.5" customHeight="1">
      <c r="B29" s="93"/>
      <c r="C29" s="477"/>
      <c r="D29" s="555"/>
      <c r="E29" s="555"/>
      <c r="F29" s="556"/>
      <c r="G29" s="272">
        <f t="shared" si="0"/>
        <v>9.43</v>
      </c>
      <c r="H29" s="558"/>
      <c r="I29" s="559"/>
      <c r="J29" s="51">
        <f t="shared" si="1"/>
      </c>
      <c r="K29" s="26">
        <f t="shared" si="2"/>
      </c>
      <c r="L29" s="488"/>
      <c r="M29" s="490">
        <f t="shared" si="3"/>
      </c>
      <c r="N29" s="561">
        <f t="shared" si="4"/>
        <v>40</v>
      </c>
      <c r="O29" s="562" t="str">
        <f t="shared" si="5"/>
        <v>--</v>
      </c>
      <c r="P29" s="563" t="str">
        <f t="shared" si="6"/>
        <v>--</v>
      </c>
      <c r="Q29" s="564" t="str">
        <f t="shared" si="7"/>
        <v>--</v>
      </c>
      <c r="R29" s="565" t="str">
        <f t="shared" si="8"/>
        <v>--</v>
      </c>
      <c r="S29" s="490">
        <f t="shared" si="9"/>
      </c>
      <c r="T29" s="53">
        <f t="shared" si="10"/>
      </c>
      <c r="U29" s="97"/>
    </row>
    <row r="30" spans="2:21" s="16" customFormat="1" ht="16.5" customHeight="1">
      <c r="B30" s="93"/>
      <c r="C30" s="477"/>
      <c r="D30" s="555"/>
      <c r="E30" s="555"/>
      <c r="F30" s="556"/>
      <c r="G30" s="272">
        <f t="shared" si="0"/>
        <v>9.43</v>
      </c>
      <c r="H30" s="558"/>
      <c r="I30" s="559"/>
      <c r="J30" s="51">
        <f t="shared" si="1"/>
      </c>
      <c r="K30" s="26">
        <f t="shared" si="2"/>
      </c>
      <c r="L30" s="488"/>
      <c r="M30" s="490">
        <f t="shared" si="3"/>
      </c>
      <c r="N30" s="561">
        <f t="shared" si="4"/>
        <v>40</v>
      </c>
      <c r="O30" s="562" t="str">
        <f t="shared" si="5"/>
        <v>--</v>
      </c>
      <c r="P30" s="563" t="str">
        <f t="shared" si="6"/>
        <v>--</v>
      </c>
      <c r="Q30" s="564" t="str">
        <f t="shared" si="7"/>
        <v>--</v>
      </c>
      <c r="R30" s="565" t="str">
        <f t="shared" si="8"/>
        <v>--</v>
      </c>
      <c r="S30" s="490">
        <f t="shared" si="9"/>
      </c>
      <c r="T30" s="53">
        <f t="shared" si="10"/>
      </c>
      <c r="U30" s="97"/>
    </row>
    <row r="31" spans="2:21" s="16" customFormat="1" ht="16.5" customHeight="1">
      <c r="B31" s="93"/>
      <c r="C31" s="477"/>
      <c r="D31" s="555"/>
      <c r="E31" s="555"/>
      <c r="F31" s="556"/>
      <c r="G31" s="272">
        <f t="shared" si="0"/>
        <v>9.43</v>
      </c>
      <c r="H31" s="558"/>
      <c r="I31" s="559"/>
      <c r="J31" s="51">
        <f t="shared" si="1"/>
      </c>
      <c r="K31" s="26">
        <f t="shared" si="2"/>
      </c>
      <c r="L31" s="488"/>
      <c r="M31" s="490">
        <f t="shared" si="3"/>
      </c>
      <c r="N31" s="561">
        <f t="shared" si="4"/>
        <v>40</v>
      </c>
      <c r="O31" s="562" t="str">
        <f t="shared" si="5"/>
        <v>--</v>
      </c>
      <c r="P31" s="563" t="str">
        <f t="shared" si="6"/>
        <v>--</v>
      </c>
      <c r="Q31" s="564" t="str">
        <f t="shared" si="7"/>
        <v>--</v>
      </c>
      <c r="R31" s="565" t="str">
        <f t="shared" si="8"/>
        <v>--</v>
      </c>
      <c r="S31" s="490">
        <f t="shared" si="9"/>
      </c>
      <c r="T31" s="53">
        <f t="shared" si="10"/>
      </c>
      <c r="U31" s="97"/>
    </row>
    <row r="32" spans="2:21" s="16" customFormat="1" ht="16.5" customHeight="1">
      <c r="B32" s="93"/>
      <c r="C32" s="477"/>
      <c r="D32" s="555"/>
      <c r="E32" s="555"/>
      <c r="F32" s="556"/>
      <c r="G32" s="272">
        <f t="shared" si="0"/>
        <v>9.43</v>
      </c>
      <c r="H32" s="558"/>
      <c r="I32" s="559"/>
      <c r="J32" s="51">
        <f t="shared" si="1"/>
      </c>
      <c r="K32" s="26">
        <f t="shared" si="2"/>
      </c>
      <c r="L32" s="488"/>
      <c r="M32" s="490">
        <f t="shared" si="3"/>
      </c>
      <c r="N32" s="561">
        <f t="shared" si="4"/>
        <v>40</v>
      </c>
      <c r="O32" s="562" t="str">
        <f t="shared" si="5"/>
        <v>--</v>
      </c>
      <c r="P32" s="563" t="str">
        <f t="shared" si="6"/>
        <v>--</v>
      </c>
      <c r="Q32" s="564" t="str">
        <f t="shared" si="7"/>
        <v>--</v>
      </c>
      <c r="R32" s="565" t="str">
        <f t="shared" si="8"/>
        <v>--</v>
      </c>
      <c r="S32" s="490">
        <f t="shared" si="9"/>
      </c>
      <c r="T32" s="53">
        <f t="shared" si="10"/>
      </c>
      <c r="U32" s="97"/>
    </row>
    <row r="33" spans="2:21" s="16" customFormat="1" ht="16.5" customHeight="1">
      <c r="B33" s="93"/>
      <c r="C33" s="477"/>
      <c r="D33" s="555"/>
      <c r="E33" s="555"/>
      <c r="F33" s="556"/>
      <c r="G33" s="272">
        <f t="shared" si="0"/>
        <v>9.43</v>
      </c>
      <c r="H33" s="558"/>
      <c r="I33" s="559"/>
      <c r="J33" s="51">
        <f t="shared" si="1"/>
      </c>
      <c r="K33" s="26">
        <f t="shared" si="2"/>
      </c>
      <c r="L33" s="488"/>
      <c r="M33" s="490">
        <f t="shared" si="3"/>
      </c>
      <c r="N33" s="561">
        <f t="shared" si="4"/>
        <v>40</v>
      </c>
      <c r="O33" s="562" t="str">
        <f t="shared" si="5"/>
        <v>--</v>
      </c>
      <c r="P33" s="563" t="str">
        <f t="shared" si="6"/>
        <v>--</v>
      </c>
      <c r="Q33" s="564" t="str">
        <f t="shared" si="7"/>
        <v>--</v>
      </c>
      <c r="R33" s="565" t="str">
        <f t="shared" si="8"/>
        <v>--</v>
      </c>
      <c r="S33" s="490">
        <f t="shared" si="9"/>
      </c>
      <c r="T33" s="53">
        <f t="shared" si="10"/>
      </c>
      <c r="U33" s="97"/>
    </row>
    <row r="34" spans="2:21" s="16" customFormat="1" ht="16.5" customHeight="1">
      <c r="B34" s="93"/>
      <c r="C34" s="477"/>
      <c r="D34" s="555"/>
      <c r="E34" s="555"/>
      <c r="F34" s="556"/>
      <c r="G34" s="272">
        <f t="shared" si="0"/>
        <v>9.43</v>
      </c>
      <c r="H34" s="558"/>
      <c r="I34" s="559"/>
      <c r="J34" s="51">
        <f t="shared" si="1"/>
      </c>
      <c r="K34" s="26">
        <f t="shared" si="2"/>
      </c>
      <c r="L34" s="488"/>
      <c r="M34" s="490">
        <f t="shared" si="3"/>
      </c>
      <c r="N34" s="561">
        <f t="shared" si="4"/>
        <v>40</v>
      </c>
      <c r="O34" s="562" t="str">
        <f t="shared" si="5"/>
        <v>--</v>
      </c>
      <c r="P34" s="563" t="str">
        <f t="shared" si="6"/>
        <v>--</v>
      </c>
      <c r="Q34" s="564" t="str">
        <f t="shared" si="7"/>
        <v>--</v>
      </c>
      <c r="R34" s="565" t="str">
        <f t="shared" si="8"/>
        <v>--</v>
      </c>
      <c r="S34" s="490">
        <f t="shared" si="9"/>
      </c>
      <c r="T34" s="53">
        <f t="shared" si="10"/>
      </c>
      <c r="U34" s="97"/>
    </row>
    <row r="35" spans="2:21" s="16" customFormat="1" ht="16.5" customHeight="1">
      <c r="B35" s="93"/>
      <c r="C35" s="477"/>
      <c r="D35" s="555"/>
      <c r="E35" s="555"/>
      <c r="F35" s="556"/>
      <c r="G35" s="272">
        <f t="shared" si="0"/>
        <v>9.43</v>
      </c>
      <c r="H35" s="558"/>
      <c r="I35" s="559"/>
      <c r="J35" s="51">
        <f t="shared" si="1"/>
      </c>
      <c r="K35" s="26">
        <f t="shared" si="2"/>
      </c>
      <c r="L35" s="488"/>
      <c r="M35" s="490">
        <f t="shared" si="3"/>
      </c>
      <c r="N35" s="561">
        <f t="shared" si="4"/>
        <v>40</v>
      </c>
      <c r="O35" s="562" t="str">
        <f t="shared" si="5"/>
        <v>--</v>
      </c>
      <c r="P35" s="563" t="str">
        <f t="shared" si="6"/>
        <v>--</v>
      </c>
      <c r="Q35" s="564" t="str">
        <f t="shared" si="7"/>
        <v>--</v>
      </c>
      <c r="R35" s="565" t="str">
        <f t="shared" si="8"/>
        <v>--</v>
      </c>
      <c r="S35" s="490">
        <f t="shared" si="9"/>
      </c>
      <c r="T35" s="53">
        <f t="shared" si="10"/>
      </c>
      <c r="U35" s="97"/>
    </row>
    <row r="36" spans="2:21" s="16" customFormat="1" ht="16.5" customHeight="1">
      <c r="B36" s="93"/>
      <c r="C36" s="477"/>
      <c r="D36" s="555"/>
      <c r="E36" s="555"/>
      <c r="F36" s="556"/>
      <c r="G36" s="272">
        <f t="shared" si="0"/>
        <v>9.43</v>
      </c>
      <c r="H36" s="558"/>
      <c r="I36" s="559"/>
      <c r="J36" s="51">
        <f t="shared" si="1"/>
      </c>
      <c r="K36" s="26">
        <f t="shared" si="2"/>
      </c>
      <c r="L36" s="488"/>
      <c r="M36" s="490">
        <f t="shared" si="3"/>
      </c>
      <c r="N36" s="561">
        <f t="shared" si="4"/>
        <v>40</v>
      </c>
      <c r="O36" s="562" t="str">
        <f t="shared" si="5"/>
        <v>--</v>
      </c>
      <c r="P36" s="563" t="str">
        <f t="shared" si="6"/>
        <v>--</v>
      </c>
      <c r="Q36" s="564" t="str">
        <f t="shared" si="7"/>
        <v>--</v>
      </c>
      <c r="R36" s="565" t="str">
        <f t="shared" si="8"/>
        <v>--</v>
      </c>
      <c r="S36" s="490">
        <f t="shared" si="9"/>
      </c>
      <c r="T36" s="53">
        <f t="shared" si="10"/>
      </c>
      <c r="U36" s="97"/>
    </row>
    <row r="37" spans="2:21" s="16" customFormat="1" ht="16.5" customHeight="1">
      <c r="B37" s="93"/>
      <c r="C37" s="477"/>
      <c r="D37" s="555"/>
      <c r="E37" s="555"/>
      <c r="F37" s="556"/>
      <c r="G37" s="272">
        <f t="shared" si="0"/>
        <v>9.43</v>
      </c>
      <c r="H37" s="558"/>
      <c r="I37" s="559"/>
      <c r="J37" s="51">
        <f t="shared" si="1"/>
      </c>
      <c r="K37" s="26">
        <f t="shared" si="2"/>
      </c>
      <c r="L37" s="488"/>
      <c r="M37" s="490">
        <f t="shared" si="3"/>
      </c>
      <c r="N37" s="561">
        <f t="shared" si="4"/>
        <v>40</v>
      </c>
      <c r="O37" s="562" t="str">
        <f t="shared" si="5"/>
        <v>--</v>
      </c>
      <c r="P37" s="563" t="str">
        <f t="shared" si="6"/>
        <v>--</v>
      </c>
      <c r="Q37" s="564" t="str">
        <f t="shared" si="7"/>
        <v>--</v>
      </c>
      <c r="R37" s="565" t="str">
        <f t="shared" si="8"/>
        <v>--</v>
      </c>
      <c r="S37" s="490">
        <f t="shared" si="9"/>
      </c>
      <c r="T37" s="53">
        <f t="shared" si="10"/>
      </c>
      <c r="U37" s="97"/>
    </row>
    <row r="38" spans="2:21" s="16" customFormat="1" ht="16.5" customHeight="1">
      <c r="B38" s="93"/>
      <c r="C38" s="477"/>
      <c r="D38" s="555"/>
      <c r="E38" s="555"/>
      <c r="F38" s="556"/>
      <c r="G38" s="272">
        <f t="shared" si="0"/>
        <v>9.43</v>
      </c>
      <c r="H38" s="558"/>
      <c r="I38" s="559"/>
      <c r="J38" s="51">
        <f t="shared" si="1"/>
      </c>
      <c r="K38" s="26">
        <f t="shared" si="2"/>
      </c>
      <c r="L38" s="488"/>
      <c r="M38" s="490">
        <f t="shared" si="3"/>
      </c>
      <c r="N38" s="561">
        <f t="shared" si="4"/>
        <v>40</v>
      </c>
      <c r="O38" s="562" t="str">
        <f t="shared" si="5"/>
        <v>--</v>
      </c>
      <c r="P38" s="563" t="str">
        <f t="shared" si="6"/>
        <v>--</v>
      </c>
      <c r="Q38" s="564" t="str">
        <f t="shared" si="7"/>
        <v>--</v>
      </c>
      <c r="R38" s="565" t="str">
        <f t="shared" si="8"/>
        <v>--</v>
      </c>
      <c r="S38" s="490">
        <f t="shared" si="9"/>
      </c>
      <c r="T38" s="53">
        <f t="shared" si="10"/>
      </c>
      <c r="U38" s="97"/>
    </row>
    <row r="39" spans="2:21" s="16" customFormat="1" ht="16.5" customHeight="1">
      <c r="B39" s="93"/>
      <c r="C39" s="477"/>
      <c r="D39" s="555"/>
      <c r="E39" s="555"/>
      <c r="F39" s="556"/>
      <c r="G39" s="272">
        <f t="shared" si="0"/>
        <v>9.43</v>
      </c>
      <c r="H39" s="558"/>
      <c r="I39" s="559"/>
      <c r="J39" s="51">
        <f t="shared" si="1"/>
      </c>
      <c r="K39" s="26">
        <f t="shared" si="2"/>
      </c>
      <c r="L39" s="488"/>
      <c r="M39" s="490">
        <f t="shared" si="3"/>
      </c>
      <c r="N39" s="561">
        <f t="shared" si="4"/>
        <v>40</v>
      </c>
      <c r="O39" s="562" t="str">
        <f t="shared" si="5"/>
        <v>--</v>
      </c>
      <c r="P39" s="563" t="str">
        <f t="shared" si="6"/>
        <v>--</v>
      </c>
      <c r="Q39" s="564" t="str">
        <f t="shared" si="7"/>
        <v>--</v>
      </c>
      <c r="R39" s="565" t="str">
        <f t="shared" si="8"/>
        <v>--</v>
      </c>
      <c r="S39" s="490">
        <f t="shared" si="9"/>
      </c>
      <c r="T39" s="53">
        <f t="shared" si="10"/>
      </c>
      <c r="U39" s="97"/>
    </row>
    <row r="40" spans="2:21" s="16" customFormat="1" ht="16.5" customHeight="1">
      <c r="B40" s="93"/>
      <c r="C40" s="477"/>
      <c r="D40" s="555"/>
      <c r="E40" s="555"/>
      <c r="F40" s="556"/>
      <c r="G40" s="272">
        <f t="shared" si="0"/>
        <v>9.43</v>
      </c>
      <c r="H40" s="558"/>
      <c r="I40" s="559"/>
      <c r="J40" s="51">
        <f t="shared" si="1"/>
      </c>
      <c r="K40" s="26">
        <f t="shared" si="2"/>
      </c>
      <c r="L40" s="488"/>
      <c r="M40" s="490">
        <f t="shared" si="3"/>
      </c>
      <c r="N40" s="561">
        <f t="shared" si="4"/>
        <v>40</v>
      </c>
      <c r="O40" s="562" t="str">
        <f t="shared" si="5"/>
        <v>--</v>
      </c>
      <c r="P40" s="563" t="str">
        <f t="shared" si="6"/>
        <v>--</v>
      </c>
      <c r="Q40" s="564" t="str">
        <f t="shared" si="7"/>
        <v>--</v>
      </c>
      <c r="R40" s="565" t="str">
        <f t="shared" si="8"/>
        <v>--</v>
      </c>
      <c r="S40" s="490">
        <f t="shared" si="9"/>
      </c>
      <c r="T40" s="53">
        <f t="shared" si="10"/>
      </c>
      <c r="U40" s="97"/>
    </row>
    <row r="41" spans="2:21" s="16" customFormat="1" ht="16.5" customHeight="1">
      <c r="B41" s="93"/>
      <c r="C41" s="477"/>
      <c r="D41" s="555"/>
      <c r="E41" s="555"/>
      <c r="F41" s="556"/>
      <c r="G41" s="272">
        <f t="shared" si="0"/>
        <v>9.43</v>
      </c>
      <c r="H41" s="558"/>
      <c r="I41" s="559"/>
      <c r="J41" s="51">
        <f t="shared" si="1"/>
      </c>
      <c r="K41" s="26">
        <f t="shared" si="2"/>
      </c>
      <c r="L41" s="488"/>
      <c r="M41" s="490">
        <f t="shared" si="3"/>
      </c>
      <c r="N41" s="561">
        <f t="shared" si="4"/>
        <v>40</v>
      </c>
      <c r="O41" s="562" t="str">
        <f t="shared" si="5"/>
        <v>--</v>
      </c>
      <c r="P41" s="563" t="str">
        <f t="shared" si="6"/>
        <v>--</v>
      </c>
      <c r="Q41" s="564" t="str">
        <f t="shared" si="7"/>
        <v>--</v>
      </c>
      <c r="R41" s="565" t="str">
        <f t="shared" si="8"/>
        <v>--</v>
      </c>
      <c r="S41" s="490">
        <f t="shared" si="9"/>
      </c>
      <c r="T41" s="53">
        <f t="shared" si="10"/>
      </c>
      <c r="U41" s="97"/>
    </row>
    <row r="42" spans="2:21" s="16" customFormat="1" ht="16.5" customHeight="1" thickBot="1">
      <c r="B42" s="93"/>
      <c r="C42" s="481"/>
      <c r="D42" s="557"/>
      <c r="E42" s="557"/>
      <c r="F42" s="482"/>
      <c r="G42" s="274"/>
      <c r="H42" s="560"/>
      <c r="I42" s="560"/>
      <c r="J42" s="54"/>
      <c r="K42" s="54"/>
      <c r="L42" s="560"/>
      <c r="M42" s="487"/>
      <c r="N42" s="566"/>
      <c r="O42" s="567"/>
      <c r="P42" s="568"/>
      <c r="Q42" s="569"/>
      <c r="R42" s="570"/>
      <c r="S42" s="487"/>
      <c r="T42" s="202"/>
      <c r="U42" s="97"/>
    </row>
    <row r="43" spans="2:21" s="16" customFormat="1" ht="16.5" customHeight="1" thickBot="1" thickTop="1">
      <c r="B43" s="93"/>
      <c r="C43" s="207" t="s">
        <v>44</v>
      </c>
      <c r="D43" s="208" t="s">
        <v>45</v>
      </c>
      <c r="E43"/>
      <c r="F43" s="14"/>
      <c r="G43" s="14"/>
      <c r="H43" s="14"/>
      <c r="I43" s="14"/>
      <c r="J43" s="14"/>
      <c r="K43" s="14"/>
      <c r="L43" s="14"/>
      <c r="M43" s="14"/>
      <c r="N43" s="14"/>
      <c r="O43" s="377">
        <f>SUM(O20:O42)</f>
        <v>829.84</v>
      </c>
      <c r="P43" s="384">
        <f>SUM(P20:P42)</f>
        <v>0</v>
      </c>
      <c r="Q43" s="385">
        <f>SUM(Q20:Q42)</f>
        <v>0</v>
      </c>
      <c r="R43" s="387">
        <f>SUM(R20:R42)</f>
        <v>0</v>
      </c>
      <c r="S43" s="55"/>
      <c r="T43" s="60">
        <f>ROUND(SUM(T20:T42),2)</f>
        <v>829.84</v>
      </c>
      <c r="U43" s="97"/>
    </row>
    <row r="44" spans="2:21" s="212" customFormat="1" ht="13.5" thickTop="1">
      <c r="B44" s="213"/>
      <c r="C44" s="209"/>
      <c r="D44" s="211" t="s">
        <v>46</v>
      </c>
      <c r="E44"/>
      <c r="F44" s="229"/>
      <c r="G44" s="229"/>
      <c r="H44" s="229"/>
      <c r="I44" s="229"/>
      <c r="J44" s="229"/>
      <c r="K44" s="229"/>
      <c r="L44" s="229"/>
      <c r="M44" s="229"/>
      <c r="N44" s="229"/>
      <c r="O44" s="227"/>
      <c r="P44" s="227"/>
      <c r="Q44" s="227"/>
      <c r="R44" s="227"/>
      <c r="S44" s="227"/>
      <c r="T44" s="230"/>
      <c r="U44" s="231"/>
    </row>
    <row r="45" spans="2:21" s="16" customFormat="1" ht="16.5" customHeight="1" thickBot="1">
      <c r="B45" s="122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4"/>
    </row>
    <row r="46" spans="21:23" ht="16.5" customHeight="1" thickTop="1">
      <c r="U46" s="5"/>
      <c r="V46" s="5"/>
      <c r="W46" s="5"/>
    </row>
    <row r="47" spans="21:23" ht="16.5" customHeight="1">
      <c r="U47" s="5"/>
      <c r="V47" s="5"/>
      <c r="W47" s="5"/>
    </row>
    <row r="48" spans="21:23" ht="16.5" customHeight="1">
      <c r="U48" s="5"/>
      <c r="V48" s="5"/>
      <c r="W48" s="5"/>
    </row>
    <row r="49" spans="21:23" ht="16.5" customHeight="1">
      <c r="U49" s="5"/>
      <c r="V49" s="5"/>
      <c r="W49" s="5"/>
    </row>
    <row r="50" spans="21:23" ht="16.5" customHeight="1">
      <c r="U50" s="5"/>
      <c r="V50" s="5"/>
      <c r="W50" s="5"/>
    </row>
    <row r="51" spans="4:23" ht="16.5" customHeight="1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4:23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4:23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4:23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4:23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4:23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4:23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4:23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4:23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4:23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4:23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4:23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4:23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4:23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4:23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4:23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4:23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4:23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4:23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4:23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4:23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4:23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4:23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4:23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4:23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4:23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4:23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4:23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4:23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4:23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4:23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4:23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4:23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4:23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4:23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4:23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4:23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4:23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4:23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4:23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4:23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4:23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4:23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4:23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4:23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4:23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4:23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4:23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4:23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4:23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4:23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4:23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4:23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4:23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4:23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4:23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4:23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4:23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4:23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4:23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4:23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4:23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4:23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4:23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4:23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4:23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4:23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4:23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4:23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4:23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4:23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4:23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4:23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4:23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4:23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4:23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4:23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4:23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4:23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4:23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4:23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4:23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4:23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4:23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4:23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4:23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4:23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4:23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4:23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4:23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4:23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4:23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4:23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4:23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4:23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4:23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4:23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4:23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4:23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4:23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4:23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4:23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4:23" ht="16.5" customHeight="1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4:23" ht="16.5" customHeight="1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4:23" ht="16.5" customHeight="1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4:23" ht="16.5" customHeight="1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4:23" ht="16.5" customHeight="1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4:23" ht="16.5" customHeight="1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61" ht="12.75"/>
    <row r="162" ht="12.75"/>
    <row r="163" ht="12.75"/>
    <row r="164" ht="12.75"/>
    <row r="165" ht="12.75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X158"/>
  <sheetViews>
    <sheetView zoomScale="75" zoomScaleNormal="75" workbookViewId="0" topLeftCell="E7">
      <selection activeCell="K34" sqref="K34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25.7109375" style="0" customWidth="1"/>
    <col min="6" max="6" width="8.7109375" style="0" customWidth="1"/>
    <col min="7" max="7" width="13.421875" style="0" hidden="1" customWidth="1"/>
    <col min="8" max="9" width="15.7109375" style="0" customWidth="1"/>
    <col min="10" max="13" width="9.7109375" style="0" customWidth="1"/>
    <col min="14" max="14" width="6.00390625" style="0" customWidth="1"/>
    <col min="15" max="15" width="12.421875" style="0" hidden="1" customWidth="1"/>
    <col min="16" max="16" width="14.57421875" style="0" hidden="1" customWidth="1"/>
    <col min="17" max="17" width="16.57421875" style="0" hidden="1" customWidth="1"/>
    <col min="18" max="19" width="15.140625" style="0" hidden="1" customWidth="1"/>
    <col min="20" max="20" width="9.7109375" style="0" customWidth="1"/>
    <col min="21" max="22" width="15.7109375" style="0" customWidth="1"/>
  </cols>
  <sheetData>
    <row r="1" spans="1:22" s="61" customFormat="1" ht="26.25">
      <c r="A1" s="111"/>
      <c r="V1" s="455"/>
    </row>
    <row r="2" spans="1:22" s="61" customFormat="1" ht="26.25">
      <c r="A2" s="111"/>
      <c r="B2" s="640" t="str">
        <f>+'[1]tot-0401'!B2</f>
        <v>ANEXO I-1 a la Resolución ENRE N°                 .-</v>
      </c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</row>
    <row r="3" s="16" customFormat="1" ht="12.75">
      <c r="A3" s="44"/>
    </row>
    <row r="4" spans="1:2" s="68" customFormat="1" ht="11.25">
      <c r="A4" s="66" t="s">
        <v>11</v>
      </c>
      <c r="B4" s="144"/>
    </row>
    <row r="5" spans="1:2" s="68" customFormat="1" ht="11.25">
      <c r="A5" s="66" t="s">
        <v>12</v>
      </c>
      <c r="B5" s="144"/>
    </row>
    <row r="6" s="16" customFormat="1" ht="13.5" thickBot="1"/>
    <row r="7" spans="2:22" s="16" customFormat="1" ht="13.5" thickTop="1">
      <c r="B7" s="112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80"/>
    </row>
    <row r="8" spans="2:22" s="10" customFormat="1" ht="20.25">
      <c r="B8" s="126"/>
      <c r="D8" s="7" t="s">
        <v>122</v>
      </c>
      <c r="E8" s="641"/>
      <c r="F8" s="9"/>
      <c r="G8" s="8"/>
      <c r="H8" s="8"/>
      <c r="I8" s="8"/>
      <c r="J8" s="8"/>
      <c r="K8" s="8"/>
      <c r="L8" s="8"/>
      <c r="M8" s="8"/>
      <c r="N8" s="9"/>
      <c r="O8" s="9"/>
      <c r="P8" s="9"/>
      <c r="Q8" s="9"/>
      <c r="R8" s="9"/>
      <c r="S8" s="9"/>
      <c r="T8" s="9"/>
      <c r="U8" s="9"/>
      <c r="V8" s="642"/>
    </row>
    <row r="9" spans="2:22" s="16" customFormat="1" ht="12.75">
      <c r="B9" s="9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97"/>
    </row>
    <row r="10" spans="2:22" s="10" customFormat="1" ht="20.25">
      <c r="B10" s="126"/>
      <c r="D10" s="127" t="s">
        <v>123</v>
      </c>
      <c r="F10" s="643"/>
      <c r="G10" s="203"/>
      <c r="H10" s="203"/>
      <c r="I10" s="203"/>
      <c r="J10" s="203"/>
      <c r="K10" s="203"/>
      <c r="L10" s="203"/>
      <c r="M10" s="203"/>
      <c r="N10" s="203"/>
      <c r="O10" s="203"/>
      <c r="P10" s="11"/>
      <c r="Q10" s="11"/>
      <c r="R10" s="11"/>
      <c r="S10" s="11"/>
      <c r="T10" s="11"/>
      <c r="U10" s="11"/>
      <c r="V10" s="189"/>
    </row>
    <row r="11" spans="2:22" s="16" customFormat="1" ht="16.5" customHeight="1">
      <c r="B11" s="93"/>
      <c r="C11" s="14"/>
      <c r="D11" s="644"/>
      <c r="F11" s="74"/>
      <c r="G11" s="117"/>
      <c r="H11" s="117"/>
      <c r="I11" s="117"/>
      <c r="J11" s="117"/>
      <c r="K11" s="117"/>
      <c r="L11" s="117"/>
      <c r="M11" s="117"/>
      <c r="N11" s="117"/>
      <c r="O11" s="117"/>
      <c r="P11" s="14"/>
      <c r="Q11" s="14"/>
      <c r="R11" s="14"/>
      <c r="S11" s="14"/>
      <c r="T11" s="14"/>
      <c r="U11" s="14"/>
      <c r="V11" s="97"/>
    </row>
    <row r="12" spans="2:22" s="10" customFormat="1" ht="20.25">
      <c r="B12" s="126"/>
      <c r="D12" s="127" t="s">
        <v>124</v>
      </c>
      <c r="F12" s="643"/>
      <c r="G12" s="203"/>
      <c r="H12" s="203"/>
      <c r="I12" s="203"/>
      <c r="J12" s="203"/>
      <c r="K12" s="203"/>
      <c r="L12" s="203"/>
      <c r="M12" s="203"/>
      <c r="N12" s="203"/>
      <c r="O12" s="203"/>
      <c r="P12" s="11"/>
      <c r="Q12" s="11"/>
      <c r="R12" s="11"/>
      <c r="S12" s="11"/>
      <c r="T12" s="11"/>
      <c r="U12" s="11"/>
      <c r="V12" s="189"/>
    </row>
    <row r="13" spans="2:22" s="16" customFormat="1" ht="16.5" customHeight="1">
      <c r="B13" s="93"/>
      <c r="C13" s="14"/>
      <c r="D13" s="644"/>
      <c r="F13" s="74"/>
      <c r="G13" s="117"/>
      <c r="H13" s="117"/>
      <c r="I13" s="117"/>
      <c r="J13" s="117"/>
      <c r="K13" s="117"/>
      <c r="L13" s="117"/>
      <c r="M13" s="117"/>
      <c r="N13" s="117"/>
      <c r="O13" s="117"/>
      <c r="P13" s="14"/>
      <c r="Q13" s="14"/>
      <c r="R13" s="14"/>
      <c r="S13" s="14"/>
      <c r="T13" s="14"/>
      <c r="U13" s="14"/>
      <c r="V13" s="97"/>
    </row>
    <row r="14" spans="2:22" s="15" customFormat="1" ht="16.5" customHeight="1">
      <c r="B14" s="645" t="str">
        <f>+'[1]tot-0401'!B14</f>
        <v>Desde el 01 al 31 de enero de 2004</v>
      </c>
      <c r="C14" s="646"/>
      <c r="D14" s="647"/>
      <c r="E14" s="647"/>
      <c r="F14" s="647"/>
      <c r="G14" s="647"/>
      <c r="H14" s="647"/>
      <c r="I14" s="647"/>
      <c r="J14" s="647"/>
      <c r="K14" s="647"/>
      <c r="L14" s="647"/>
      <c r="M14" s="647"/>
      <c r="N14" s="647"/>
      <c r="O14" s="647"/>
      <c r="P14" s="646"/>
      <c r="Q14" s="646"/>
      <c r="R14" s="646"/>
      <c r="S14" s="646"/>
      <c r="T14" s="646"/>
      <c r="U14" s="646"/>
      <c r="V14" s="648"/>
    </row>
    <row r="15" spans="2:22" s="16" customFormat="1" ht="16.5" customHeight="1" thickBot="1">
      <c r="B15" s="93"/>
      <c r="C15" s="14"/>
      <c r="D15" s="14"/>
      <c r="E15" s="14"/>
      <c r="F15" s="14"/>
      <c r="G15" s="14"/>
      <c r="H15" s="14"/>
      <c r="I15" s="14"/>
      <c r="J15" s="14"/>
      <c r="K15" s="14"/>
      <c r="P15" s="14"/>
      <c r="Q15" s="14"/>
      <c r="R15" s="14"/>
      <c r="S15" s="14"/>
      <c r="T15" s="14"/>
      <c r="U15" s="14"/>
      <c r="V15" s="97"/>
    </row>
    <row r="16" spans="2:22" s="16" customFormat="1" ht="16.5" customHeight="1" thickBot="1" thickTop="1">
      <c r="B16" s="93"/>
      <c r="C16" s="14"/>
      <c r="D16" s="649" t="s">
        <v>60</v>
      </c>
      <c r="E16" s="650"/>
      <c r="F16" s="651">
        <v>0.154</v>
      </c>
      <c r="G16" s="197"/>
      <c r="H16"/>
      <c r="I16" s="14"/>
      <c r="J16" s="14"/>
      <c r="K16" s="14"/>
      <c r="L16" s="14"/>
      <c r="M16" s="14"/>
      <c r="O16" s="14"/>
      <c r="P16" s="14"/>
      <c r="Q16" s="14"/>
      <c r="R16" s="14"/>
      <c r="S16" s="14"/>
      <c r="T16" s="14"/>
      <c r="U16" s="14"/>
      <c r="V16" s="97"/>
    </row>
    <row r="17" spans="2:22" s="16" customFormat="1" ht="16.5" customHeight="1" thickBot="1" thickTop="1">
      <c r="B17" s="93"/>
      <c r="C17" s="14"/>
      <c r="D17" s="652" t="s">
        <v>61</v>
      </c>
      <c r="E17" s="653"/>
      <c r="F17" s="654">
        <v>20</v>
      </c>
      <c r="G17" s="197"/>
      <c r="H17"/>
      <c r="I17" s="457"/>
      <c r="J17" s="458"/>
      <c r="K17" s="14"/>
      <c r="L17" s="14"/>
      <c r="M17" s="14"/>
      <c r="O17" s="14"/>
      <c r="P17" s="14"/>
      <c r="Q17" s="14"/>
      <c r="R17" s="118"/>
      <c r="S17" s="118"/>
      <c r="T17" s="118"/>
      <c r="U17" s="118"/>
      <c r="V17" s="97"/>
    </row>
    <row r="18" spans="2:22" s="16" customFormat="1" ht="16.5" customHeight="1" thickBot="1" thickTop="1">
      <c r="B18" s="93"/>
      <c r="C18" s="2"/>
      <c r="D18" s="655"/>
      <c r="E18" s="656"/>
      <c r="F18" s="656"/>
      <c r="G18" s="32"/>
      <c r="H18" s="32"/>
      <c r="I18" s="32"/>
      <c r="J18" s="32"/>
      <c r="K18" s="32"/>
      <c r="L18" s="32"/>
      <c r="M18" s="32"/>
      <c r="N18" s="32"/>
      <c r="O18" s="657"/>
      <c r="P18" s="658"/>
      <c r="Q18" s="659"/>
      <c r="R18" s="659"/>
      <c r="S18" s="659"/>
      <c r="T18" s="660"/>
      <c r="U18" s="661"/>
      <c r="V18" s="97"/>
    </row>
    <row r="19" spans="2:22" s="16" customFormat="1" ht="33.75" customHeight="1" thickBot="1" thickTop="1">
      <c r="B19" s="93"/>
      <c r="C19" s="132" t="s">
        <v>24</v>
      </c>
      <c r="D19" s="141" t="s">
        <v>62</v>
      </c>
      <c r="E19" s="135" t="s">
        <v>10</v>
      </c>
      <c r="F19" s="662" t="s">
        <v>63</v>
      </c>
      <c r="G19" s="270" t="s">
        <v>29</v>
      </c>
      <c r="H19" s="135" t="s">
        <v>30</v>
      </c>
      <c r="I19" s="135" t="s">
        <v>31</v>
      </c>
      <c r="J19" s="141" t="s">
        <v>32</v>
      </c>
      <c r="K19" s="141" t="s">
        <v>33</v>
      </c>
      <c r="L19" s="140" t="s">
        <v>34</v>
      </c>
      <c r="M19" s="140" t="s">
        <v>35</v>
      </c>
      <c r="N19" s="135" t="s">
        <v>37</v>
      </c>
      <c r="O19" s="270" t="s">
        <v>28</v>
      </c>
      <c r="P19" s="663" t="s">
        <v>52</v>
      </c>
      <c r="Q19" s="664" t="s">
        <v>125</v>
      </c>
      <c r="R19" s="665"/>
      <c r="S19" s="666" t="s">
        <v>40</v>
      </c>
      <c r="T19" s="142" t="s">
        <v>42</v>
      </c>
      <c r="U19" s="667" t="s">
        <v>43</v>
      </c>
      <c r="V19" s="97"/>
    </row>
    <row r="20" spans="2:22" s="16" customFormat="1" ht="16.5" customHeight="1" hidden="1" thickTop="1">
      <c r="B20" s="93"/>
      <c r="C20" s="668"/>
      <c r="D20" s="669"/>
      <c r="E20" s="669"/>
      <c r="F20" s="669"/>
      <c r="G20" s="670"/>
      <c r="H20" s="671"/>
      <c r="I20" s="671"/>
      <c r="J20" s="668"/>
      <c r="K20" s="668"/>
      <c r="L20" s="669"/>
      <c r="M20" s="17"/>
      <c r="N20" s="668"/>
      <c r="O20" s="672"/>
      <c r="P20" s="673"/>
      <c r="Q20" s="674"/>
      <c r="R20" s="675"/>
      <c r="S20" s="676"/>
      <c r="T20" s="677"/>
      <c r="U20" s="678"/>
      <c r="V20" s="97"/>
    </row>
    <row r="21" spans="2:22" s="16" customFormat="1" ht="16.5" customHeight="1" thickTop="1">
      <c r="B21" s="93"/>
      <c r="C21" s="679"/>
      <c r="D21" s="680"/>
      <c r="E21" s="681"/>
      <c r="F21" s="682"/>
      <c r="G21" s="683"/>
      <c r="H21" s="684"/>
      <c r="I21" s="685"/>
      <c r="J21" s="686"/>
      <c r="K21" s="687"/>
      <c r="L21" s="688"/>
      <c r="M21" s="18"/>
      <c r="N21" s="689"/>
      <c r="O21" s="690"/>
      <c r="P21" s="691"/>
      <c r="Q21" s="692"/>
      <c r="R21" s="693"/>
      <c r="S21" s="694"/>
      <c r="T21" s="689"/>
      <c r="U21" s="695"/>
      <c r="V21" s="97"/>
    </row>
    <row r="22" spans="2:22" s="16" customFormat="1" ht="16.5" customHeight="1">
      <c r="B22" s="93"/>
      <c r="C22" s="477" t="s">
        <v>126</v>
      </c>
      <c r="D22" s="696" t="s">
        <v>127</v>
      </c>
      <c r="E22" s="555" t="s">
        <v>128</v>
      </c>
      <c r="F22" s="697">
        <v>150</v>
      </c>
      <c r="G22" s="452">
        <f aca="true" t="shared" si="0" ref="G22:G40">F22*$F$16</f>
        <v>23.1</v>
      </c>
      <c r="H22" s="484">
        <v>37987</v>
      </c>
      <c r="I22" s="486">
        <v>37997.45972222222</v>
      </c>
      <c r="J22" s="51">
        <f aca="true" t="shared" si="1" ref="J22:J28">IF(D22="","",(I22-H22)*24)</f>
        <v>251.03333333332557</v>
      </c>
      <c r="K22" s="26">
        <f aca="true" t="shared" si="2" ref="K22:K28">IF(D22="","",ROUND((I22-H22)*24*60,0))</f>
        <v>15062</v>
      </c>
      <c r="L22" s="488" t="s">
        <v>87</v>
      </c>
      <c r="M22" s="507" t="str">
        <f aca="true" t="shared" si="3" ref="M22:M28">IF(D22="","","--")</f>
        <v>--</v>
      </c>
      <c r="N22" s="490" t="str">
        <f aca="true" t="shared" si="4" ref="N22:N28">IF(D22="","",IF(OR(L22="P",L22="RP"),"--","NO"))</f>
        <v>--</v>
      </c>
      <c r="O22" s="698">
        <f aca="true" t="shared" si="5" ref="O22:O28">IF(L22="P",$F$17/10,$F$17)</f>
        <v>2</v>
      </c>
      <c r="P22" s="699">
        <f aca="true" t="shared" si="6" ref="P22:P28">IF(L22="P",G22*O22*ROUND(K22/60,2),"--")</f>
        <v>11597.586000000001</v>
      </c>
      <c r="Q22" s="700" t="str">
        <f aca="true" t="shared" si="7" ref="Q22:Q28">IF(AND(L22="F",N22="NO"),G22*O22,"--")</f>
        <v>--</v>
      </c>
      <c r="R22" s="701" t="str">
        <f aca="true" t="shared" si="8" ref="R22:R28">IF(L22="F",G22*O22*ROUND(K22/60,2),"--")</f>
        <v>--</v>
      </c>
      <c r="S22" s="702" t="str">
        <f aca="true" t="shared" si="9" ref="S22:S28">IF(L22="RF",G22*O22*ROUND(K22/60,2),"--")</f>
        <v>--</v>
      </c>
      <c r="T22" s="490" t="str">
        <f aca="true" t="shared" si="10" ref="T22:T28">IF(D22="","","SI")</f>
        <v>SI</v>
      </c>
      <c r="U22" s="53">
        <f aca="true" t="shared" si="11" ref="U22:U28">IF(D22="","",SUM(P22:S22)*IF(T22="SI",1,2))</f>
        <v>11597.586000000001</v>
      </c>
      <c r="V22" s="703"/>
    </row>
    <row r="23" spans="2:22" s="16" customFormat="1" ht="16.5" customHeight="1">
      <c r="B23" s="93"/>
      <c r="C23" s="477"/>
      <c r="D23" s="696"/>
      <c r="E23" s="555"/>
      <c r="F23" s="697"/>
      <c r="G23" s="452">
        <f t="shared" si="0"/>
        <v>0</v>
      </c>
      <c r="H23" s="558"/>
      <c r="I23" s="486"/>
      <c r="J23" s="51">
        <f t="shared" si="1"/>
      </c>
      <c r="K23" s="26">
        <f t="shared" si="2"/>
      </c>
      <c r="L23" s="488"/>
      <c r="M23" s="507">
        <f t="shared" si="3"/>
      </c>
      <c r="N23" s="490">
        <f t="shared" si="4"/>
      </c>
      <c r="O23" s="698">
        <f t="shared" si="5"/>
        <v>20</v>
      </c>
      <c r="P23" s="699" t="str">
        <f t="shared" si="6"/>
        <v>--</v>
      </c>
      <c r="Q23" s="700" t="str">
        <f t="shared" si="7"/>
        <v>--</v>
      </c>
      <c r="R23" s="701" t="str">
        <f t="shared" si="8"/>
        <v>--</v>
      </c>
      <c r="S23" s="702" t="str">
        <f t="shared" si="9"/>
        <v>--</v>
      </c>
      <c r="T23" s="490">
        <f t="shared" si="10"/>
      </c>
      <c r="U23" s="53">
        <f t="shared" si="11"/>
      </c>
      <c r="V23" s="703"/>
    </row>
    <row r="24" spans="2:22" s="16" customFormat="1" ht="16.5" customHeight="1">
      <c r="B24" s="93"/>
      <c r="C24" s="477"/>
      <c r="D24" s="696"/>
      <c r="E24" s="555"/>
      <c r="F24" s="697"/>
      <c r="G24" s="452">
        <f t="shared" si="0"/>
        <v>0</v>
      </c>
      <c r="H24" s="558"/>
      <c r="I24" s="486"/>
      <c r="J24" s="51">
        <f t="shared" si="1"/>
      </c>
      <c r="K24" s="26">
        <f t="shared" si="2"/>
      </c>
      <c r="L24" s="488"/>
      <c r="M24" s="507">
        <f t="shared" si="3"/>
      </c>
      <c r="N24" s="490">
        <f t="shared" si="4"/>
      </c>
      <c r="O24" s="698">
        <f t="shared" si="5"/>
        <v>20</v>
      </c>
      <c r="P24" s="699" t="str">
        <f t="shared" si="6"/>
        <v>--</v>
      </c>
      <c r="Q24" s="700" t="str">
        <f t="shared" si="7"/>
        <v>--</v>
      </c>
      <c r="R24" s="701" t="str">
        <f t="shared" si="8"/>
        <v>--</v>
      </c>
      <c r="S24" s="702" t="str">
        <f t="shared" si="9"/>
        <v>--</v>
      </c>
      <c r="T24" s="490">
        <f t="shared" si="10"/>
      </c>
      <c r="U24" s="53">
        <f t="shared" si="11"/>
      </c>
      <c r="V24" s="703"/>
    </row>
    <row r="25" spans="2:22" s="16" customFormat="1" ht="16.5" customHeight="1">
      <c r="B25" s="93"/>
      <c r="C25" s="477"/>
      <c r="D25" s="696"/>
      <c r="E25" s="555"/>
      <c r="F25" s="697"/>
      <c r="G25" s="452">
        <f t="shared" si="0"/>
        <v>0</v>
      </c>
      <c r="H25" s="558"/>
      <c r="I25" s="486"/>
      <c r="J25" s="51">
        <f t="shared" si="1"/>
      </c>
      <c r="K25" s="26">
        <f t="shared" si="2"/>
      </c>
      <c r="L25" s="488"/>
      <c r="M25" s="507">
        <f t="shared" si="3"/>
      </c>
      <c r="N25" s="490">
        <f t="shared" si="4"/>
      </c>
      <c r="O25" s="698">
        <f t="shared" si="5"/>
        <v>20</v>
      </c>
      <c r="P25" s="699" t="str">
        <f t="shared" si="6"/>
        <v>--</v>
      </c>
      <c r="Q25" s="700" t="str">
        <f t="shared" si="7"/>
        <v>--</v>
      </c>
      <c r="R25" s="701" t="str">
        <f t="shared" si="8"/>
        <v>--</v>
      </c>
      <c r="S25" s="702" t="str">
        <f t="shared" si="9"/>
        <v>--</v>
      </c>
      <c r="T25" s="490">
        <f t="shared" si="10"/>
      </c>
      <c r="U25" s="53">
        <f t="shared" si="11"/>
      </c>
      <c r="V25" s="703"/>
    </row>
    <row r="26" spans="2:22" s="16" customFormat="1" ht="16.5" customHeight="1">
      <c r="B26" s="93"/>
      <c r="C26" s="477"/>
      <c r="D26" s="696"/>
      <c r="E26" s="555"/>
      <c r="F26" s="697"/>
      <c r="G26" s="452">
        <f t="shared" si="0"/>
        <v>0</v>
      </c>
      <c r="H26" s="558"/>
      <c r="I26" s="486"/>
      <c r="J26" s="51">
        <f t="shared" si="1"/>
      </c>
      <c r="K26" s="26">
        <f t="shared" si="2"/>
      </c>
      <c r="L26" s="488"/>
      <c r="M26" s="507">
        <f t="shared" si="3"/>
      </c>
      <c r="N26" s="490">
        <f t="shared" si="4"/>
      </c>
      <c r="O26" s="698">
        <f t="shared" si="5"/>
        <v>20</v>
      </c>
      <c r="P26" s="699" t="str">
        <f t="shared" si="6"/>
        <v>--</v>
      </c>
      <c r="Q26" s="700" t="str">
        <f t="shared" si="7"/>
        <v>--</v>
      </c>
      <c r="R26" s="701" t="str">
        <f t="shared" si="8"/>
        <v>--</v>
      </c>
      <c r="S26" s="702" t="str">
        <f t="shared" si="9"/>
        <v>--</v>
      </c>
      <c r="T26" s="490">
        <f t="shared" si="10"/>
      </c>
      <c r="U26" s="53">
        <f t="shared" si="11"/>
      </c>
      <c r="V26" s="703"/>
    </row>
    <row r="27" spans="2:22" s="16" customFormat="1" ht="16.5" customHeight="1">
      <c r="B27" s="93"/>
      <c r="C27" s="477"/>
      <c r="D27" s="696"/>
      <c r="E27" s="555"/>
      <c r="F27" s="697"/>
      <c r="G27" s="452">
        <f t="shared" si="0"/>
        <v>0</v>
      </c>
      <c r="H27" s="558"/>
      <c r="I27" s="486"/>
      <c r="J27" s="51">
        <f t="shared" si="1"/>
      </c>
      <c r="K27" s="26">
        <f t="shared" si="2"/>
      </c>
      <c r="L27" s="488"/>
      <c r="M27" s="507">
        <f t="shared" si="3"/>
      </c>
      <c r="N27" s="490">
        <f t="shared" si="4"/>
      </c>
      <c r="O27" s="698">
        <f t="shared" si="5"/>
        <v>20</v>
      </c>
      <c r="P27" s="699" t="str">
        <f t="shared" si="6"/>
        <v>--</v>
      </c>
      <c r="Q27" s="700" t="str">
        <f t="shared" si="7"/>
        <v>--</v>
      </c>
      <c r="R27" s="701" t="str">
        <f t="shared" si="8"/>
        <v>--</v>
      </c>
      <c r="S27" s="702" t="str">
        <f t="shared" si="9"/>
        <v>--</v>
      </c>
      <c r="T27" s="490">
        <f t="shared" si="10"/>
      </c>
      <c r="U27" s="53">
        <f t="shared" si="11"/>
      </c>
      <c r="V27" s="703"/>
    </row>
    <row r="28" spans="2:22" s="16" customFormat="1" ht="16.5" customHeight="1">
      <c r="B28" s="93"/>
      <c r="C28" s="477"/>
      <c r="D28" s="696"/>
      <c r="E28" s="555"/>
      <c r="F28" s="697"/>
      <c r="G28" s="452">
        <f t="shared" si="0"/>
        <v>0</v>
      </c>
      <c r="H28" s="558"/>
      <c r="I28" s="486"/>
      <c r="J28" s="51">
        <f t="shared" si="1"/>
      </c>
      <c r="K28" s="26">
        <f t="shared" si="2"/>
      </c>
      <c r="L28" s="488"/>
      <c r="M28" s="507">
        <f t="shared" si="3"/>
      </c>
      <c r="N28" s="490">
        <f t="shared" si="4"/>
      </c>
      <c r="O28" s="698">
        <f t="shared" si="5"/>
        <v>20</v>
      </c>
      <c r="P28" s="699" t="str">
        <f t="shared" si="6"/>
        <v>--</v>
      </c>
      <c r="Q28" s="700" t="str">
        <f t="shared" si="7"/>
        <v>--</v>
      </c>
      <c r="R28" s="701" t="str">
        <f t="shared" si="8"/>
        <v>--</v>
      </c>
      <c r="S28" s="702" t="str">
        <f t="shared" si="9"/>
        <v>--</v>
      </c>
      <c r="T28" s="490">
        <f t="shared" si="10"/>
      </c>
      <c r="U28" s="53">
        <f t="shared" si="11"/>
      </c>
      <c r="V28" s="703"/>
    </row>
    <row r="29" spans="2:22" s="16" customFormat="1" ht="16.5" customHeight="1">
      <c r="B29" s="93"/>
      <c r="C29" s="477"/>
      <c r="D29" s="696"/>
      <c r="E29" s="555"/>
      <c r="F29" s="697"/>
      <c r="G29" s="452">
        <f t="shared" si="0"/>
        <v>0</v>
      </c>
      <c r="H29" s="558"/>
      <c r="I29" s="486"/>
      <c r="J29" s="51">
        <f aca="true" t="shared" si="12" ref="J29:J40">IF(D29="","",(I29-H29)*24)</f>
      </c>
      <c r="K29" s="26">
        <f aca="true" t="shared" si="13" ref="K29:K40">IF(D29="","",ROUND((I29-H29)*24*60,0))</f>
      </c>
      <c r="L29" s="488"/>
      <c r="M29" s="507">
        <f aca="true" t="shared" si="14" ref="M29:M40">IF(D29="","","--")</f>
      </c>
      <c r="N29" s="490">
        <f aca="true" t="shared" si="15" ref="N29:N40">IF(D29="","",IF(OR(L29="P",L29="RP"),"--","NO"))</f>
      </c>
      <c r="O29" s="698">
        <f aca="true" t="shared" si="16" ref="O29:O40">IF(L29="P",$F$17/10,$F$17)</f>
        <v>20</v>
      </c>
      <c r="P29" s="699" t="str">
        <f aca="true" t="shared" si="17" ref="P29:P40">IF(L29="P",G29*O29*ROUND(K29/60,2),"--")</f>
        <v>--</v>
      </c>
      <c r="Q29" s="700" t="str">
        <f aca="true" t="shared" si="18" ref="Q29:Q40">IF(AND(L29="F",N29="NO"),G29*O29,"--")</f>
        <v>--</v>
      </c>
      <c r="R29" s="701" t="str">
        <f aca="true" t="shared" si="19" ref="R29:R40">IF(L29="F",G29*O29*ROUND(K29/60,2),"--")</f>
        <v>--</v>
      </c>
      <c r="S29" s="702" t="str">
        <f aca="true" t="shared" si="20" ref="S29:S40">IF(L29="RF",G29*O29*ROUND(K29/60,2),"--")</f>
        <v>--</v>
      </c>
      <c r="T29" s="490">
        <f aca="true" t="shared" si="21" ref="T29:T40">IF(D29="","","SI")</f>
      </c>
      <c r="U29" s="53">
        <f aca="true" t="shared" si="22" ref="U29:U40">IF(D29="","",SUM(P29:S29)*IF(T29="SI",1,2))</f>
      </c>
      <c r="V29" s="703"/>
    </row>
    <row r="30" spans="2:22" s="16" customFormat="1" ht="16.5" customHeight="1">
      <c r="B30" s="93"/>
      <c r="C30" s="477"/>
      <c r="D30" s="696"/>
      <c r="E30" s="555"/>
      <c r="F30" s="697"/>
      <c r="G30" s="452">
        <f t="shared" si="0"/>
        <v>0</v>
      </c>
      <c r="H30" s="558"/>
      <c r="I30" s="486"/>
      <c r="J30" s="51">
        <f t="shared" si="12"/>
      </c>
      <c r="K30" s="26">
        <f t="shared" si="13"/>
      </c>
      <c r="L30" s="488"/>
      <c r="M30" s="507">
        <f t="shared" si="14"/>
      </c>
      <c r="N30" s="490">
        <f t="shared" si="15"/>
      </c>
      <c r="O30" s="698">
        <f t="shared" si="16"/>
        <v>20</v>
      </c>
      <c r="P30" s="699" t="str">
        <f t="shared" si="17"/>
        <v>--</v>
      </c>
      <c r="Q30" s="700" t="str">
        <f t="shared" si="18"/>
        <v>--</v>
      </c>
      <c r="R30" s="701" t="str">
        <f t="shared" si="19"/>
        <v>--</v>
      </c>
      <c r="S30" s="702" t="str">
        <f t="shared" si="20"/>
        <v>--</v>
      </c>
      <c r="T30" s="490">
        <f t="shared" si="21"/>
      </c>
      <c r="U30" s="53">
        <f t="shared" si="22"/>
      </c>
      <c r="V30" s="97"/>
    </row>
    <row r="31" spans="2:22" s="16" customFormat="1" ht="16.5" customHeight="1">
      <c r="B31" s="93"/>
      <c r="C31" s="477"/>
      <c r="D31" s="696"/>
      <c r="E31" s="555"/>
      <c r="F31" s="697"/>
      <c r="G31" s="452">
        <f t="shared" si="0"/>
        <v>0</v>
      </c>
      <c r="H31" s="558"/>
      <c r="I31" s="486"/>
      <c r="J31" s="51">
        <f t="shared" si="12"/>
      </c>
      <c r="K31" s="26">
        <f t="shared" si="13"/>
      </c>
      <c r="L31" s="488"/>
      <c r="M31" s="507">
        <f t="shared" si="14"/>
      </c>
      <c r="N31" s="490">
        <f t="shared" si="15"/>
      </c>
      <c r="O31" s="698">
        <f t="shared" si="16"/>
        <v>20</v>
      </c>
      <c r="P31" s="699" t="str">
        <f t="shared" si="17"/>
        <v>--</v>
      </c>
      <c r="Q31" s="700" t="str">
        <f t="shared" si="18"/>
        <v>--</v>
      </c>
      <c r="R31" s="701" t="str">
        <f t="shared" si="19"/>
        <v>--</v>
      </c>
      <c r="S31" s="702" t="str">
        <f t="shared" si="20"/>
        <v>--</v>
      </c>
      <c r="T31" s="490">
        <f t="shared" si="21"/>
      </c>
      <c r="U31" s="53">
        <f t="shared" si="22"/>
      </c>
      <c r="V31" s="97"/>
    </row>
    <row r="32" spans="2:22" s="16" customFormat="1" ht="16.5" customHeight="1">
      <c r="B32" s="93"/>
      <c r="C32" s="477"/>
      <c r="D32" s="696"/>
      <c r="E32" s="555"/>
      <c r="F32" s="697"/>
      <c r="G32" s="452">
        <f t="shared" si="0"/>
        <v>0</v>
      </c>
      <c r="H32" s="558"/>
      <c r="I32" s="486"/>
      <c r="J32" s="51">
        <f t="shared" si="12"/>
      </c>
      <c r="K32" s="26">
        <f t="shared" si="13"/>
      </c>
      <c r="L32" s="488"/>
      <c r="M32" s="507">
        <f t="shared" si="14"/>
      </c>
      <c r="N32" s="490">
        <f t="shared" si="15"/>
      </c>
      <c r="O32" s="698">
        <f t="shared" si="16"/>
        <v>20</v>
      </c>
      <c r="P32" s="699" t="str">
        <f t="shared" si="17"/>
        <v>--</v>
      </c>
      <c r="Q32" s="700" t="str">
        <f t="shared" si="18"/>
        <v>--</v>
      </c>
      <c r="R32" s="701" t="str">
        <f t="shared" si="19"/>
        <v>--</v>
      </c>
      <c r="S32" s="702" t="str">
        <f t="shared" si="20"/>
        <v>--</v>
      </c>
      <c r="T32" s="490">
        <f t="shared" si="21"/>
      </c>
      <c r="U32" s="53">
        <f t="shared" si="22"/>
      </c>
      <c r="V32" s="97"/>
    </row>
    <row r="33" spans="2:22" s="16" customFormat="1" ht="16.5" customHeight="1">
      <c r="B33" s="93"/>
      <c r="C33" s="477"/>
      <c r="D33" s="696"/>
      <c r="E33" s="555"/>
      <c r="F33" s="697"/>
      <c r="G33" s="452">
        <f t="shared" si="0"/>
        <v>0</v>
      </c>
      <c r="H33" s="558"/>
      <c r="I33" s="486"/>
      <c r="J33" s="51">
        <f t="shared" si="12"/>
      </c>
      <c r="K33" s="26">
        <f t="shared" si="13"/>
      </c>
      <c r="L33" s="488"/>
      <c r="M33" s="507">
        <f t="shared" si="14"/>
      </c>
      <c r="N33" s="490">
        <f t="shared" si="15"/>
      </c>
      <c r="O33" s="698">
        <f t="shared" si="16"/>
        <v>20</v>
      </c>
      <c r="P33" s="699" t="str">
        <f t="shared" si="17"/>
        <v>--</v>
      </c>
      <c r="Q33" s="700" t="str">
        <f t="shared" si="18"/>
        <v>--</v>
      </c>
      <c r="R33" s="701" t="str">
        <f t="shared" si="19"/>
        <v>--</v>
      </c>
      <c r="S33" s="702" t="str">
        <f t="shared" si="20"/>
        <v>--</v>
      </c>
      <c r="T33" s="490">
        <f t="shared" si="21"/>
      </c>
      <c r="U33" s="53">
        <f t="shared" si="22"/>
      </c>
      <c r="V33" s="97"/>
    </row>
    <row r="34" spans="2:22" s="16" customFormat="1" ht="16.5" customHeight="1">
      <c r="B34" s="93"/>
      <c r="C34" s="477"/>
      <c r="D34" s="696"/>
      <c r="E34" s="555"/>
      <c r="F34" s="697"/>
      <c r="G34" s="452">
        <f t="shared" si="0"/>
        <v>0</v>
      </c>
      <c r="H34" s="558"/>
      <c r="I34" s="486"/>
      <c r="J34" s="51">
        <f t="shared" si="12"/>
      </c>
      <c r="K34" s="26">
        <f t="shared" si="13"/>
      </c>
      <c r="L34" s="488"/>
      <c r="M34" s="507">
        <f t="shared" si="14"/>
      </c>
      <c r="N34" s="490">
        <f t="shared" si="15"/>
      </c>
      <c r="O34" s="698">
        <f t="shared" si="16"/>
        <v>20</v>
      </c>
      <c r="P34" s="699" t="str">
        <f t="shared" si="17"/>
        <v>--</v>
      </c>
      <c r="Q34" s="700" t="str">
        <f t="shared" si="18"/>
        <v>--</v>
      </c>
      <c r="R34" s="701" t="str">
        <f t="shared" si="19"/>
        <v>--</v>
      </c>
      <c r="S34" s="702" t="str">
        <f t="shared" si="20"/>
        <v>--</v>
      </c>
      <c r="T34" s="490">
        <f t="shared" si="21"/>
      </c>
      <c r="U34" s="53">
        <f t="shared" si="22"/>
      </c>
      <c r="V34" s="97"/>
    </row>
    <row r="35" spans="2:22" s="16" customFormat="1" ht="16.5" customHeight="1">
      <c r="B35" s="93"/>
      <c r="C35" s="477"/>
      <c r="D35" s="696"/>
      <c r="E35" s="555"/>
      <c r="F35" s="697"/>
      <c r="G35" s="452">
        <f t="shared" si="0"/>
        <v>0</v>
      </c>
      <c r="H35" s="558"/>
      <c r="I35" s="486"/>
      <c r="J35" s="51">
        <f t="shared" si="12"/>
      </c>
      <c r="K35" s="26">
        <f t="shared" si="13"/>
      </c>
      <c r="L35" s="488"/>
      <c r="M35" s="507">
        <f t="shared" si="14"/>
      </c>
      <c r="N35" s="490">
        <f t="shared" si="15"/>
      </c>
      <c r="O35" s="698">
        <f t="shared" si="16"/>
        <v>20</v>
      </c>
      <c r="P35" s="699" t="str">
        <f t="shared" si="17"/>
        <v>--</v>
      </c>
      <c r="Q35" s="700" t="str">
        <f t="shared" si="18"/>
        <v>--</v>
      </c>
      <c r="R35" s="701" t="str">
        <f t="shared" si="19"/>
        <v>--</v>
      </c>
      <c r="S35" s="702" t="str">
        <f t="shared" si="20"/>
        <v>--</v>
      </c>
      <c r="T35" s="490">
        <f t="shared" si="21"/>
      </c>
      <c r="U35" s="53">
        <f t="shared" si="22"/>
      </c>
      <c r="V35" s="97"/>
    </row>
    <row r="36" spans="2:22" s="16" customFormat="1" ht="16.5" customHeight="1">
      <c r="B36" s="93"/>
      <c r="C36" s="477"/>
      <c r="D36" s="696"/>
      <c r="E36" s="555"/>
      <c r="F36" s="697"/>
      <c r="G36" s="452">
        <f t="shared" si="0"/>
        <v>0</v>
      </c>
      <c r="H36" s="558"/>
      <c r="I36" s="486"/>
      <c r="J36" s="51">
        <f t="shared" si="12"/>
      </c>
      <c r="K36" s="26">
        <f t="shared" si="13"/>
      </c>
      <c r="L36" s="488"/>
      <c r="M36" s="507">
        <f t="shared" si="14"/>
      </c>
      <c r="N36" s="490">
        <f t="shared" si="15"/>
      </c>
      <c r="O36" s="698">
        <f t="shared" si="16"/>
        <v>20</v>
      </c>
      <c r="P36" s="699" t="str">
        <f t="shared" si="17"/>
        <v>--</v>
      </c>
      <c r="Q36" s="700" t="str">
        <f t="shared" si="18"/>
        <v>--</v>
      </c>
      <c r="R36" s="701" t="str">
        <f t="shared" si="19"/>
        <v>--</v>
      </c>
      <c r="S36" s="702" t="str">
        <f t="shared" si="20"/>
        <v>--</v>
      </c>
      <c r="T36" s="490">
        <f t="shared" si="21"/>
      </c>
      <c r="U36" s="53">
        <f t="shared" si="22"/>
      </c>
      <c r="V36" s="97"/>
    </row>
    <row r="37" spans="2:22" s="16" customFormat="1" ht="16.5" customHeight="1">
      <c r="B37" s="93"/>
      <c r="C37" s="477"/>
      <c r="D37" s="696"/>
      <c r="E37" s="555"/>
      <c r="F37" s="697"/>
      <c r="G37" s="452">
        <f t="shared" si="0"/>
        <v>0</v>
      </c>
      <c r="H37" s="558"/>
      <c r="I37" s="486"/>
      <c r="J37" s="51">
        <f t="shared" si="12"/>
      </c>
      <c r="K37" s="26">
        <f t="shared" si="13"/>
      </c>
      <c r="L37" s="488"/>
      <c r="M37" s="507">
        <f t="shared" si="14"/>
      </c>
      <c r="N37" s="490">
        <f t="shared" si="15"/>
      </c>
      <c r="O37" s="698">
        <f t="shared" si="16"/>
        <v>20</v>
      </c>
      <c r="P37" s="699" t="str">
        <f t="shared" si="17"/>
        <v>--</v>
      </c>
      <c r="Q37" s="700" t="str">
        <f t="shared" si="18"/>
        <v>--</v>
      </c>
      <c r="R37" s="701" t="str">
        <f t="shared" si="19"/>
        <v>--</v>
      </c>
      <c r="S37" s="702" t="str">
        <f t="shared" si="20"/>
        <v>--</v>
      </c>
      <c r="T37" s="490">
        <f t="shared" si="21"/>
      </c>
      <c r="U37" s="53">
        <f t="shared" si="22"/>
      </c>
      <c r="V37" s="97"/>
    </row>
    <row r="38" spans="2:22" s="16" customFormat="1" ht="16.5" customHeight="1">
      <c r="B38" s="93"/>
      <c r="C38" s="477"/>
      <c r="D38" s="696"/>
      <c r="E38" s="555"/>
      <c r="F38" s="697"/>
      <c r="G38" s="452">
        <f t="shared" si="0"/>
        <v>0</v>
      </c>
      <c r="H38" s="558"/>
      <c r="I38" s="486"/>
      <c r="J38" s="51">
        <f t="shared" si="12"/>
      </c>
      <c r="K38" s="26">
        <f t="shared" si="13"/>
      </c>
      <c r="L38" s="488"/>
      <c r="M38" s="507">
        <f t="shared" si="14"/>
      </c>
      <c r="N38" s="490">
        <f t="shared" si="15"/>
      </c>
      <c r="O38" s="698">
        <f t="shared" si="16"/>
        <v>20</v>
      </c>
      <c r="P38" s="699" t="str">
        <f t="shared" si="17"/>
        <v>--</v>
      </c>
      <c r="Q38" s="700" t="str">
        <f t="shared" si="18"/>
        <v>--</v>
      </c>
      <c r="R38" s="701" t="str">
        <f t="shared" si="19"/>
        <v>--</v>
      </c>
      <c r="S38" s="702" t="str">
        <f t="shared" si="20"/>
        <v>--</v>
      </c>
      <c r="T38" s="490">
        <f t="shared" si="21"/>
      </c>
      <c r="U38" s="53">
        <f t="shared" si="22"/>
      </c>
      <c r="V38" s="97"/>
    </row>
    <row r="39" spans="2:22" s="16" customFormat="1" ht="16.5" customHeight="1">
      <c r="B39" s="93"/>
      <c r="C39" s="477"/>
      <c r="D39" s="696"/>
      <c r="E39" s="555"/>
      <c r="F39" s="697"/>
      <c r="G39" s="452">
        <f t="shared" si="0"/>
        <v>0</v>
      </c>
      <c r="H39" s="558"/>
      <c r="I39" s="486"/>
      <c r="J39" s="51">
        <f t="shared" si="12"/>
      </c>
      <c r="K39" s="26">
        <f t="shared" si="13"/>
      </c>
      <c r="L39" s="488"/>
      <c r="M39" s="507">
        <f t="shared" si="14"/>
      </c>
      <c r="N39" s="490">
        <f t="shared" si="15"/>
      </c>
      <c r="O39" s="698">
        <f t="shared" si="16"/>
        <v>20</v>
      </c>
      <c r="P39" s="699" t="str">
        <f t="shared" si="17"/>
        <v>--</v>
      </c>
      <c r="Q39" s="700" t="str">
        <f t="shared" si="18"/>
        <v>--</v>
      </c>
      <c r="R39" s="701" t="str">
        <f t="shared" si="19"/>
        <v>--</v>
      </c>
      <c r="S39" s="702" t="str">
        <f t="shared" si="20"/>
        <v>--</v>
      </c>
      <c r="T39" s="490">
        <f t="shared" si="21"/>
      </c>
      <c r="U39" s="53">
        <f t="shared" si="22"/>
      </c>
      <c r="V39" s="97"/>
    </row>
    <row r="40" spans="2:22" s="16" customFormat="1" ht="16.5" customHeight="1">
      <c r="B40" s="93"/>
      <c r="C40" s="477"/>
      <c r="D40" s="696"/>
      <c r="E40" s="555"/>
      <c r="F40" s="697"/>
      <c r="G40" s="452">
        <f t="shared" si="0"/>
        <v>0</v>
      </c>
      <c r="H40" s="558"/>
      <c r="I40" s="486"/>
      <c r="J40" s="51">
        <f t="shared" si="12"/>
      </c>
      <c r="K40" s="26">
        <f t="shared" si="13"/>
      </c>
      <c r="L40" s="488"/>
      <c r="M40" s="507">
        <f t="shared" si="14"/>
      </c>
      <c r="N40" s="490">
        <f t="shared" si="15"/>
      </c>
      <c r="O40" s="698">
        <f t="shared" si="16"/>
        <v>20</v>
      </c>
      <c r="P40" s="699" t="str">
        <f t="shared" si="17"/>
        <v>--</v>
      </c>
      <c r="Q40" s="700" t="str">
        <f t="shared" si="18"/>
        <v>--</v>
      </c>
      <c r="R40" s="701" t="str">
        <f t="shared" si="19"/>
        <v>--</v>
      </c>
      <c r="S40" s="702" t="str">
        <f t="shared" si="20"/>
        <v>--</v>
      </c>
      <c r="T40" s="490">
        <f t="shared" si="21"/>
      </c>
      <c r="U40" s="53">
        <f t="shared" si="22"/>
      </c>
      <c r="V40" s="97"/>
    </row>
    <row r="41" spans="2:22" s="16" customFormat="1" ht="16.5" customHeight="1" thickBot="1">
      <c r="B41" s="93"/>
      <c r="C41" s="481"/>
      <c r="D41" s="704"/>
      <c r="E41" s="557"/>
      <c r="F41" s="705"/>
      <c r="G41" s="274"/>
      <c r="H41" s="560"/>
      <c r="I41" s="560"/>
      <c r="J41" s="54"/>
      <c r="K41" s="54"/>
      <c r="L41" s="560"/>
      <c r="M41" s="496"/>
      <c r="N41" s="487"/>
      <c r="O41" s="706"/>
      <c r="P41" s="707"/>
      <c r="Q41" s="708"/>
      <c r="R41" s="709"/>
      <c r="S41" s="710"/>
      <c r="T41" s="487"/>
      <c r="U41" s="711"/>
      <c r="V41" s="97"/>
    </row>
    <row r="42" spans="2:22" s="16" customFormat="1" ht="16.5" customHeight="1" thickBot="1" thickTop="1">
      <c r="B42" s="93"/>
      <c r="C42" s="207" t="s">
        <v>44</v>
      </c>
      <c r="D42" s="208" t="s">
        <v>45</v>
      </c>
      <c r="G42" s="14"/>
      <c r="H42" s="14"/>
      <c r="I42" s="14"/>
      <c r="J42" s="14"/>
      <c r="K42" s="14"/>
      <c r="L42" s="14"/>
      <c r="M42" s="14"/>
      <c r="N42" s="14"/>
      <c r="O42" s="14"/>
      <c r="P42" s="712">
        <f>SUM(P20:P41)</f>
        <v>11597.586000000001</v>
      </c>
      <c r="Q42" s="713">
        <f>SUM(Q20:Q41)</f>
        <v>0</v>
      </c>
      <c r="R42" s="714">
        <f>SUM(R20:R41)</f>
        <v>0</v>
      </c>
      <c r="S42" s="715">
        <f>SUM(S20:S41)</f>
        <v>0</v>
      </c>
      <c r="U42" s="56">
        <f>ROUND(SUM(U20:U41),2)</f>
        <v>11597.59</v>
      </c>
      <c r="V42" s="716"/>
    </row>
    <row r="43" spans="2:22" s="212" customFormat="1" ht="9.75" thickTop="1">
      <c r="B43" s="213"/>
      <c r="C43" s="209"/>
      <c r="D43" s="211" t="s">
        <v>46</v>
      </c>
      <c r="G43" s="229"/>
      <c r="H43" s="229"/>
      <c r="I43" s="229"/>
      <c r="J43" s="229"/>
      <c r="K43" s="229"/>
      <c r="L43" s="229"/>
      <c r="M43" s="229"/>
      <c r="N43" s="229"/>
      <c r="O43" s="229"/>
      <c r="P43" s="227"/>
      <c r="Q43" s="227"/>
      <c r="R43" s="227"/>
      <c r="S43" s="227"/>
      <c r="U43" s="230"/>
      <c r="V43" s="231"/>
    </row>
    <row r="44" spans="2:22" s="212" customFormat="1" ht="15" customHeight="1">
      <c r="B44" s="213"/>
      <c r="C44" s="638" t="s">
        <v>126</v>
      </c>
      <c r="D44" s="639" t="s">
        <v>121</v>
      </c>
      <c r="G44" s="229"/>
      <c r="H44" s="229"/>
      <c r="I44" s="229"/>
      <c r="J44" s="229"/>
      <c r="K44" s="229"/>
      <c r="L44" s="229"/>
      <c r="M44" s="229"/>
      <c r="N44" s="229"/>
      <c r="O44" s="229"/>
      <c r="P44" s="227"/>
      <c r="Q44" s="227"/>
      <c r="R44" s="227"/>
      <c r="S44" s="227"/>
      <c r="U44" s="230"/>
      <c r="V44" s="231"/>
    </row>
    <row r="45" spans="2:22" s="16" customFormat="1" ht="16.5" customHeight="1" thickBot="1">
      <c r="B45" s="122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4"/>
    </row>
    <row r="46" spans="4:24" ht="16.5" customHeight="1" thickTop="1">
      <c r="D46" s="6"/>
      <c r="E46" s="6"/>
      <c r="F46" s="6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4:24" ht="16.5" customHeight="1">
      <c r="D47" s="6"/>
      <c r="E47" s="6"/>
      <c r="F47" s="6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4:24" ht="16.5" customHeight="1">
      <c r="D48" s="6"/>
      <c r="E48" s="6"/>
      <c r="F48" s="6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4:24" ht="16.5" customHeight="1">
      <c r="D49" s="6"/>
      <c r="E49" s="6"/>
      <c r="F49" s="6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4:24" ht="16.5" customHeight="1">
      <c r="D50" s="6"/>
      <c r="E50" s="6"/>
      <c r="F50" s="6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4:24" ht="16.5" customHeight="1">
      <c r="D51" s="6"/>
      <c r="E51" s="6"/>
      <c r="F51" s="6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4:24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4:24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4:24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4:24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4:24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4:24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4:24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4:24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4:24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4:24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4:24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4:24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4:24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4:24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4:24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4:24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4:24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4:24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4:24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4:24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4:24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4:24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4:24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4:24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4:24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4:24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4:24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4:24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4:24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4:24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4:24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4:24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4:24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4:24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4:24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4:24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4:24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4:24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4:24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4:24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4:24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4:24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4:24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4:24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4:24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4:24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4:24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4:24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4:24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4:24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4:24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4:24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4:24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4:24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4:24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4:24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4:24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4:24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4:24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4:24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4:24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4:24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4:24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4:24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4:24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4:24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4:24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4:24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4:24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4:24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4:24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4:24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4:24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4:24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4:24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4:24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4:24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4:24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4:24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4:24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4:24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4:24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4:24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4:24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4:24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4:24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4:24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4:24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4:24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4:24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4:24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4:24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4:24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4:24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4:24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4:24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4:24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4:24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4:24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4:24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4:24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4:24" ht="16.5" customHeight="1">
      <c r="D153" s="5"/>
      <c r="E153" s="5"/>
      <c r="F153" s="5"/>
      <c r="W153" s="5"/>
      <c r="X153" s="5"/>
    </row>
    <row r="154" spans="4:6" ht="16.5" customHeight="1">
      <c r="D154" s="5"/>
      <c r="E154" s="5"/>
      <c r="F154" s="5"/>
    </row>
    <row r="155" spans="4:6" ht="16.5" customHeight="1">
      <c r="D155" s="5"/>
      <c r="E155" s="5"/>
      <c r="F155" s="5"/>
    </row>
    <row r="156" spans="4:6" ht="16.5" customHeight="1">
      <c r="D156" s="5"/>
      <c r="E156" s="5"/>
      <c r="F156" s="5"/>
    </row>
    <row r="157" spans="4:6" ht="16.5" customHeight="1">
      <c r="D157" s="5"/>
      <c r="E157" s="5"/>
      <c r="F157" s="5"/>
    </row>
    <row r="158" spans="4:6" ht="16.5" customHeight="1">
      <c r="D158" s="5"/>
      <c r="E158" s="5"/>
      <c r="F158" s="5"/>
    </row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emartilotta</cp:lastModifiedBy>
  <cp:lastPrinted>2006-04-17T19:18:24Z</cp:lastPrinted>
  <dcterms:created xsi:type="dcterms:W3CDTF">1998-04-21T14:28:46Z</dcterms:created>
  <dcterms:modified xsi:type="dcterms:W3CDTF">2007-10-11T19:08:37Z</dcterms:modified>
  <cp:category/>
  <cp:version/>
  <cp:contentType/>
  <cp:contentStatus/>
</cp:coreProperties>
</file>