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50" activeTab="0"/>
  </bookViews>
  <sheets>
    <sheet name="tot-0401" sheetId="1" r:id="rId1"/>
    <sheet name="LI-0401" sheetId="2" r:id="rId2"/>
    <sheet name="condiciones climaticas 313-01" sheetId="3" r:id="rId3"/>
    <sheet name="TR-0401" sheetId="4" r:id="rId4"/>
    <sheet name="SA-0401" sheetId="5" r:id="rId5"/>
    <sheet name="SA-0401 (2)" sheetId="6" r:id="rId6"/>
    <sheet name="RE-0401" sheetId="7" r:id="rId7"/>
    <sheet name="SU (YACYLEC)" sheetId="8" r:id="rId8"/>
    <sheet name="SU (LITSA)" sheetId="9" r:id="rId9"/>
    <sheet name="SU (TIBA)" sheetId="10" r:id="rId10"/>
    <sheet name="SU (ENECOR)" sheetId="11" r:id="rId11"/>
    <sheet name="TRANSENER" sheetId="12" r:id="rId12"/>
  </sheets>
  <externalReferences>
    <externalReference r:id="rId15"/>
    <externalReference r:id="rId16"/>
  </externalReferences>
  <definedNames>
    <definedName name="_xlnm.Print_Area" localSheetId="2">'condiciones climaticas 313-01'!$A$1:$AN$34</definedName>
    <definedName name="_xlnm.Print_Area" localSheetId="1">'LI-0401'!$A$1:$AD$43</definedName>
    <definedName name="_xlnm.Print_Area" localSheetId="6">'RE-0401'!$A$1:$V$45</definedName>
    <definedName name="_xlnm.Print_Area" localSheetId="4">'SA-0401'!$A$1:$U$47</definedName>
    <definedName name="_xlnm.Print_Area" localSheetId="5">'SA-0401 (2)'!$A$1:$U$47</definedName>
    <definedName name="_xlnm.Print_Area" localSheetId="10">'SU (ENECOR)'!$A$1:$W$60</definedName>
    <definedName name="_xlnm.Print_Area" localSheetId="8">'SU (LITSA)'!$A$1:$AD$64</definedName>
    <definedName name="_xlnm.Print_Area" localSheetId="9">'SU (TIBA)'!$A$1:$W$67</definedName>
    <definedName name="_xlnm.Print_Area" localSheetId="7">'SU (YACYLEC)'!$A$1:$AD$59</definedName>
    <definedName name="_xlnm.Print_Area" localSheetId="0">'tot-0401'!$A$1:$K$38</definedName>
    <definedName name="_xlnm.Print_Area" localSheetId="3">'TR-0401'!$A$1:$AB$45</definedName>
    <definedName name="_xlnm.Print_Area" localSheetId="11">'TRANSENER'!$A$1:$U$99</definedName>
    <definedName name="INICIO" localSheetId="2">'condiciones climaticas 313-01'!INICIO</definedName>
    <definedName name="INICIO" localSheetId="1">'LI-0401'!INICIO</definedName>
    <definedName name="INICIO" localSheetId="6">'RE-0401'!INICIO</definedName>
    <definedName name="INICIO" localSheetId="4">'SA-0401'!INICIO</definedName>
    <definedName name="INICIO" localSheetId="5">'SA-0401 (2)'!INICIO</definedName>
    <definedName name="INICIO" localSheetId="7">'SU (YACYLEC)'!INICIO</definedName>
    <definedName name="INICIO" localSheetId="3">'TR-0401'!INICIO</definedName>
    <definedName name="INICIO" localSheetId="11">'TRANSENER'!INICIO</definedName>
    <definedName name="INICIO">[0]!INICIO</definedName>
  </definedNames>
  <calcPr fullCalcOnLoad="1"/>
</workbook>
</file>

<file path=xl/comments3.xml><?xml version="1.0" encoding="utf-8"?>
<comments xmlns="http://schemas.openxmlformats.org/spreadsheetml/2006/main">
  <authors>
    <author>GMir</author>
    <author>gmir</author>
  </authors>
  <commentList>
    <comment ref="AF17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  <comment ref="AB17" authorId="1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fp= 1 para atentado</t>
        </r>
      </text>
    </comment>
  </commentList>
</comments>
</file>

<file path=xl/sharedStrings.xml><?xml version="1.0" encoding="utf-8"?>
<sst xmlns="http://schemas.openxmlformats.org/spreadsheetml/2006/main" count="805" uniqueCount="285">
  <si>
    <t>SISTEMA DE TRANSPORTE DE ENERGÍA ELÉCTRICA EN ALTA TENSIÓN</t>
  </si>
  <si>
    <t>TRANSENER S.A.</t>
  </si>
  <si>
    <t>C</t>
  </si>
  <si>
    <t>B</t>
  </si>
  <si>
    <t>A</t>
  </si>
  <si>
    <t>EL BRACHO - RECREO(5)</t>
  </si>
  <si>
    <t>EZEIZA - RODRIGUEZ 2</t>
  </si>
  <si>
    <t>RAMALLO - VILLA LIA  1</t>
  </si>
  <si>
    <t>RAMALLO - VILLA LIA  2</t>
  </si>
  <si>
    <t>ROSARIO OESTE - SANTO TOME</t>
  </si>
  <si>
    <t>RINCON - SALTO GRANDE</t>
  </si>
  <si>
    <t>ALICURA</t>
  </si>
  <si>
    <t>500/132</t>
  </si>
  <si>
    <t>ALMAFUERTE</t>
  </si>
  <si>
    <t>TRAFO 1</t>
  </si>
  <si>
    <t>TRAFO 2</t>
  </si>
  <si>
    <t>TRAFO</t>
  </si>
  <si>
    <t>EL BRACHO</t>
  </si>
  <si>
    <t>EZEIZA</t>
  </si>
  <si>
    <t>500/220/132</t>
  </si>
  <si>
    <t>GRAN MENDOZA</t>
  </si>
  <si>
    <t>AUTOTRAFO</t>
  </si>
  <si>
    <t>500/220</t>
  </si>
  <si>
    <t>HENDERSON</t>
  </si>
  <si>
    <t>MALVINAS ARGENTINAS</t>
  </si>
  <si>
    <t>PUELCHES</t>
  </si>
  <si>
    <t>RESISTENCIA</t>
  </si>
  <si>
    <t>ROSARIO OESTE</t>
  </si>
  <si>
    <t>500/132/33</t>
  </si>
  <si>
    <t>CAMPANA 500</t>
  </si>
  <si>
    <t>AUTOTRAFO T1CA</t>
  </si>
  <si>
    <t>ABASTO</t>
  </si>
  <si>
    <t xml:space="preserve"> SALIDA TRAFO 1</t>
  </si>
  <si>
    <t>SALIDA LINEA A SAN M. DE LOS ANDES</t>
  </si>
  <si>
    <t>SALIDA TRAFO MAQ. 1</t>
  </si>
  <si>
    <t>SALIDA LINEA REOLIN 2</t>
  </si>
  <si>
    <t>ATUCHA</t>
  </si>
  <si>
    <t>SALIDA LINEA A E.T. ZARATE</t>
  </si>
  <si>
    <t>SALIDA LINEA A ESTATICA</t>
  </si>
  <si>
    <t>SALIDA LINEA A RÍO HONDO</t>
  </si>
  <si>
    <t>SALIDA LINEA ARROYITO</t>
  </si>
  <si>
    <t xml:space="preserve"> SALIDA LINEA GRAL. ACHA</t>
  </si>
  <si>
    <t xml:space="preserve"> SALIDA LINEA A FORMOSA</t>
  </si>
  <si>
    <t>LÍNEA A CAMPANA</t>
  </si>
  <si>
    <t>LÍNEA A SIDERCA 0</t>
  </si>
  <si>
    <t>EQUIPO</t>
  </si>
  <si>
    <t xml:space="preserve">EZEIZA </t>
  </si>
  <si>
    <t>CS1</t>
  </si>
  <si>
    <t>CS2</t>
  </si>
  <si>
    <t>CS3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</si>
  <si>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</si>
  <si>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</si>
  <si>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</si>
  <si>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</si>
  <si>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</si>
  <si>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</si>
  <si>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LITSA</t>
  </si>
  <si>
    <t>2.-</t>
  </si>
  <si>
    <t>CONEXIÓN</t>
  </si>
  <si>
    <t>Transformación</t>
  </si>
  <si>
    <t>Salidas</t>
  </si>
  <si>
    <t>3.-</t>
  </si>
  <si>
    <t>POTENCIA REACTIVA</t>
  </si>
  <si>
    <t>4.-</t>
  </si>
  <si>
    <t>SUPERVISIÓN</t>
  </si>
  <si>
    <t>Transportista Independiente TIBA S.A.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</si>
  <si>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</si>
  <si>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</si>
  <si>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</si>
  <si>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</si>
  <si>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</si>
  <si>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</si>
  <si>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</si>
  <si>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</si>
  <si>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</si>
  <si>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</si>
  <si>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</si>
  <si>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</si>
  <si>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</si>
  <si>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</si>
  <si>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</si>
  <si>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</si>
  <si>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</si>
  <si>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</si>
  <si>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</si>
  <si>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</si>
  <si>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</si>
  <si>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</si>
  <si>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</si>
  <si>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</si>
  <si>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</si>
  <si>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</si>
  <si>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</si>
  <si>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</si>
  <si>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</si>
  <si>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</si>
  <si>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</si>
  <si>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REDUCC.
RESTANTE</t>
  </si>
  <si>
    <t>PENALIZAC.
PROGRAM.</t>
  </si>
  <si>
    <t>PENALIZACION FORZADA
Por Salida      1ras 5 hs.     hs. Restantes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</si>
  <si>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</si>
  <si>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</si>
  <si>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</si>
  <si>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</si>
  <si>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</si>
  <si>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</si>
  <si>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</si>
  <si>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</si>
  <si>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</si>
  <si>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</si>
  <si>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</si>
  <si>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</si>
  <si>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</si>
  <si>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</si>
  <si>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</si>
  <si>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</si>
  <si>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</si>
  <si>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</si>
  <si>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</si>
  <si>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</si>
  <si>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</si>
  <si>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</si>
  <si>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</si>
  <si>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</si>
  <si>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</si>
  <si>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</si>
  <si>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</si>
  <si>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</si>
  <si>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</si>
  <si>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</si>
  <si>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</si>
  <si>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</si>
  <si>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</si>
  <si>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</si>
  <si>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Remuneración SALIDA 132 kV             =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</si>
  <si>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</si>
  <si>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</si>
  <si>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</si>
  <si>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</si>
  <si>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</si>
  <si>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Tipo 
Sal</t>
  </si>
  <si>
    <t>REDUCC. FORZADA
Por Salida        1ras 5 hs.      hs. Restantes</t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</si>
  <si>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</si>
  <si>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</si>
  <si>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</si>
  <si>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</si>
  <si>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</si>
  <si>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LONG.</t>
  </si>
  <si>
    <t>U [kV]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</si>
  <si>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</si>
  <si>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</si>
  <si>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</si>
  <si>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t xml:space="preserve"> Rincón - Salto Grande</t>
  </si>
  <si>
    <t xml:space="preserve"> Rincón - San Isidro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</si>
  <si>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</si>
  <si>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</si>
  <si>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</si>
  <si>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</si>
  <si>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t>Rincón - TR06</t>
  </si>
  <si>
    <t>E.T.</t>
  </si>
  <si>
    <t>SALIDA</t>
  </si>
  <si>
    <r>
      <t>RM</t>
    </r>
    <r>
      <rPr>
        <sz val="12"/>
        <rFont val="Times New Roman"/>
        <family val="1"/>
      </rPr>
      <t xml:space="preserve"> por Conexión</t>
    </r>
  </si>
  <si>
    <t>Rincón</t>
  </si>
  <si>
    <t>Ituzaingó, Ita Ibate, Virasoro</t>
  </si>
  <si>
    <t>e)</t>
  </si>
  <si>
    <t>SANCIÓN</t>
  </si>
  <si>
    <t>Sanción calculada</t>
  </si>
  <si>
    <t>TOTAL A PENALIZAR A TRANSENER S.A POR SUPERVISIÓN A L.I.T.S.A.</t>
  </si>
  <si>
    <t>SANCIÓN =</t>
  </si>
  <si>
    <t>Valor Mensual del Canon                        =</t>
  </si>
  <si>
    <t>Línea Rincón - Resistencia</t>
  </si>
  <si>
    <t>3 Líneas Rincón - Yacyretá</t>
  </si>
  <si>
    <t>TOTAL A PENALIZAR A TRANSENER S.A POR SUPERVISIÓN A YACYLEC S.A.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</si>
  <si>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</si>
  <si>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</si>
  <si>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</si>
  <si>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</si>
  <si>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</si>
  <si>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</si>
  <si>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</si>
  <si>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</si>
  <si>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</si>
  <si>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</si>
  <si>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</si>
  <si>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</si>
  <si>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</si>
  <si>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RINCON - PASO DE LA PATRIA</t>
  </si>
  <si>
    <t>PASO DE LA PATRIA</t>
  </si>
  <si>
    <t>SALIDA STA. CATALINA 1</t>
  </si>
  <si>
    <t>SALIDA STA. CATALINA 2</t>
  </si>
  <si>
    <t>Transportista Independiente ENECOR S.A.</t>
  </si>
  <si>
    <t>4.1.- Transportista Independiente YACYLEC S.A.</t>
  </si>
  <si>
    <t>4.2.- Transportista Independiente L.I.T.S.A.</t>
  </si>
  <si>
    <t xml:space="preserve">Salida en 500 kV en $/h </t>
  </si>
  <si>
    <t>Salida en 132 kV en $/h</t>
  </si>
  <si>
    <t>TOTAL A PENALIZAR A TRANSENER S.A POR SUPERVISIÓN A T.I.B.A.</t>
  </si>
  <si>
    <t>SALIDA LINEA M. DE ABASTO</t>
  </si>
  <si>
    <t>SALIDA LINEA REOLIN 1</t>
  </si>
  <si>
    <t>4.4.- Transportista Independiente  ENECOR S.A.</t>
  </si>
  <si>
    <t>TOTAL A PENALIZAR A TRANSENER S.A POR SUPERVISIÓN A ENECOR S.A.</t>
  </si>
  <si>
    <t>Paso de la Patria Trafo 1</t>
  </si>
  <si>
    <t>Paso de la Patria</t>
  </si>
  <si>
    <t>Factor X =</t>
  </si>
  <si>
    <t>SALIDA LÍNEA A C.T. TUCUMÁN maq 3</t>
  </si>
  <si>
    <t>GRAL. RODRIGUEZ - RAMALLO</t>
  </si>
  <si>
    <t>500/132/13,8</t>
  </si>
  <si>
    <t>F</t>
  </si>
  <si>
    <t>Valores remuneratorios según Res. ENRE N° 618/01 - 544/01 - 533/01</t>
  </si>
  <si>
    <t>Salto Grande</t>
  </si>
  <si>
    <t>Trafo 2 500/132 kV</t>
  </si>
  <si>
    <t>$/hora</t>
  </si>
  <si>
    <t>Remuneración SALIDA 500 kV             =</t>
  </si>
  <si>
    <t>Salto Grande - TR02</t>
  </si>
  <si>
    <t>SALIDA LINEA A GODOY</t>
  </si>
  <si>
    <t>Transporte de la hoja 1/2</t>
  </si>
  <si>
    <t>I</t>
  </si>
  <si>
    <t>P</t>
  </si>
  <si>
    <t>II</t>
  </si>
  <si>
    <t>III</t>
  </si>
  <si>
    <t>IV</t>
  </si>
  <si>
    <t>V</t>
  </si>
  <si>
    <t>Desde el 01 al 31 de enero de 2004</t>
  </si>
  <si>
    <t>RF</t>
  </si>
  <si>
    <t>(DTE 0401)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</si>
  <si>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</si>
  <si>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</si>
  <si>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</si>
  <si>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</si>
  <si>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</si>
  <si>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</si>
  <si>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</si>
  <si>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</si>
  <si>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</si>
  <si>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</si>
  <si>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</si>
  <si>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</si>
  <si>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</si>
  <si>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</si>
  <si>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</si>
  <si>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</si>
  <si>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</si>
  <si>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</si>
  <si>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</si>
  <si>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 km</t>
  </si>
  <si>
    <t>Correspondiente al mes de enero de 2004 (provisoria)</t>
  </si>
  <si>
    <t>TRACOBAT</t>
  </si>
  <si>
    <t>43*</t>
  </si>
  <si>
    <t>1.2 - Indisponibilidades de LAT causadas por condiciones climáticas extremas. Resolución ENRE 313/01</t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</si>
  <si>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</si>
  <si>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</si>
  <si>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</si>
  <si>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</si>
  <si>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</si>
  <si>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</si>
  <si>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PC en Tst</t>
  </si>
  <si>
    <t>Informó
en Térm.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</si>
  <si>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</si>
  <si>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</si>
  <si>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</si>
  <si>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</si>
  <si>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</si>
  <si>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</si>
  <si>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</si>
  <si>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</si>
  <si>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</si>
  <si>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</si>
  <si>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</si>
  <si>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</si>
  <si>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EVENTO  2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</si>
  <si>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</si>
  <si>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</si>
  <si>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</si>
  <si>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</si>
  <si>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</si>
  <si>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</si>
  <si>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</si>
  <si>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</si>
  <si>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Condiciones climáticas extremas</t>
  </si>
  <si>
    <t xml:space="preserve">1.1.2.- </t>
  </si>
  <si>
    <t>TOTAL DE PENALIZACIONES A APLICAR</t>
  </si>
  <si>
    <t>Dado que la indisponibilidad comienza en enero de 2004 y concluye en febrero de 2004, y debido a que la metodología de la Resolución ENRE N° 313/01 requiere utilizar el tiempo total de indisponibilidad, se  aplica la totalidad de la sanción en el mes de enero de 2004.</t>
  </si>
  <si>
    <t>(*)</t>
  </si>
  <si>
    <t>Desde el 01 al 31 de enero de 2004 - Incluye febrero</t>
  </si>
  <si>
    <t>ALIMENTADOR A SALADILLO</t>
  </si>
  <si>
    <t>ANEXO I-1a a la Resolución ENRE N° 686/2007.-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</si>
</sst>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1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u val="single"/>
      <sz val="18"/>
      <name val="Times New Roman"/>
      <family val="1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34"/>
      <name val="Times New Roman"/>
      <family val="0"/>
    </font>
    <font>
      <sz val="10"/>
      <color indexed="9"/>
      <name val="MS Sans Serif"/>
      <family val="2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0"/>
      <color indexed="3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i/>
      <sz val="12"/>
      <name val="Times New Roman"/>
      <family val="1"/>
    </font>
    <font>
      <sz val="10"/>
      <name val="Courier New"/>
      <family val="3"/>
    </font>
    <font>
      <sz val="11"/>
      <color indexed="57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3" fontId="4" fillId="0" borderId="1" xfId="0" applyNumberFormat="1" applyFont="1" applyBorder="1" applyAlignment="1" applyProtection="1">
      <alignment horizontal="center"/>
      <protection/>
    </xf>
    <xf numFmtId="172" fontId="4" fillId="0" borderId="2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 horizontal="center"/>
      <protection/>
    </xf>
    <xf numFmtId="22" fontId="4" fillId="0" borderId="4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5" xfId="0" applyFont="1" applyBorder="1" applyAlignment="1">
      <alignment horizontal="center"/>
    </xf>
    <xf numFmtId="176" fontId="4" fillId="0" borderId="6" xfId="0" applyNumberFormat="1" applyFont="1" applyBorder="1" applyAlignment="1" applyProtection="1">
      <alignment horizontal="center"/>
      <protection/>
    </xf>
    <xf numFmtId="179" fontId="4" fillId="0" borderId="6" xfId="0" applyNumberFormat="1" applyFont="1" applyBorder="1" applyAlignment="1" applyProtection="1" quotePrefix="1">
      <alignment horizontal="center"/>
      <protection/>
    </xf>
    <xf numFmtId="4" fontId="5" fillId="0" borderId="6" xfId="0" applyNumberFormat="1" applyFont="1" applyBorder="1" applyAlignment="1" applyProtection="1">
      <alignment horizontal="center"/>
      <protection/>
    </xf>
    <xf numFmtId="2" fontId="16" fillId="0" borderId="7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172" fontId="4" fillId="0" borderId="5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172" fontId="4" fillId="0" borderId="5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6" fontId="4" fillId="0" borderId="6" xfId="0" applyNumberFormat="1" applyFont="1" applyFill="1" applyBorder="1" applyAlignment="1" applyProtection="1">
      <alignment horizontal="center"/>
      <protection/>
    </xf>
    <xf numFmtId="38" fontId="4" fillId="0" borderId="6" xfId="0" applyNumberFormat="1" applyFont="1" applyFill="1" applyBorder="1" applyAlignment="1" applyProtection="1">
      <alignment horizontal="center"/>
      <protection/>
    </xf>
    <xf numFmtId="172" fontId="4" fillId="0" borderId="6" xfId="0" applyNumberFormat="1" applyFont="1" applyFill="1" applyBorder="1" applyAlignment="1" applyProtection="1" quotePrefix="1">
      <alignment horizontal="center"/>
      <protection/>
    </xf>
    <xf numFmtId="176" fontId="19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22" fontId="4" fillId="0" borderId="13" xfId="0" applyNumberFormat="1" applyFont="1" applyBorder="1" applyAlignment="1">
      <alignment horizontal="center"/>
    </xf>
    <xf numFmtId="22" fontId="4" fillId="0" borderId="1" xfId="0" applyNumberFormat="1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22" fontId="4" fillId="0" borderId="16" xfId="0" applyNumberFormat="1" applyFont="1" applyBorder="1" applyAlignment="1">
      <alignment horizontal="center"/>
    </xf>
    <xf numFmtId="22" fontId="4" fillId="0" borderId="15" xfId="0" applyNumberFormat="1" applyFont="1" applyBorder="1" applyAlignment="1" applyProtection="1">
      <alignment horizontal="center"/>
      <protection/>
    </xf>
    <xf numFmtId="2" fontId="4" fillId="0" borderId="5" xfId="0" applyNumberFormat="1" applyFont="1" applyFill="1" applyBorder="1" applyAlignment="1" applyProtection="1" quotePrefix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176" fontId="4" fillId="0" borderId="9" xfId="0" applyNumberFormat="1" applyFont="1" applyBorder="1" applyAlignment="1" applyProtection="1">
      <alignment horizontal="center"/>
      <protection/>
    </xf>
    <xf numFmtId="7" fontId="12" fillId="0" borderId="17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11" fillId="0" borderId="21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2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2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7" fontId="13" fillId="0" borderId="24" xfId="0" applyNumberFormat="1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2" xfId="0" applyFont="1" applyFill="1" applyBorder="1" applyAlignment="1">
      <alignment horizontal="centerContinuous"/>
    </xf>
    <xf numFmtId="0" fontId="0" fillId="0" borderId="23" xfId="0" applyFont="1" applyBorder="1" applyAlignment="1" applyProtection="1">
      <alignment horizontal="center"/>
      <protection/>
    </xf>
    <xf numFmtId="0" fontId="33" fillId="0" borderId="17" xfId="0" applyFont="1" applyBorder="1" applyAlignment="1">
      <alignment horizontal="center" vertical="center"/>
    </xf>
    <xf numFmtId="176" fontId="33" fillId="0" borderId="17" xfId="0" applyNumberFormat="1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172" fontId="33" fillId="0" borderId="24" xfId="0" applyNumberFormat="1" applyFont="1" applyBorder="1" applyAlignment="1" applyProtection="1">
      <alignment horizontal="center" vertical="center" wrapText="1"/>
      <protection/>
    </xf>
    <xf numFmtId="0" fontId="33" fillId="0" borderId="29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1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21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72" fontId="0" fillId="0" borderId="24" xfId="0" applyNumberFormat="1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 quotePrefix="1">
      <alignment horizontal="center" vertical="center" wrapText="1"/>
      <protection/>
    </xf>
    <xf numFmtId="0" fontId="33" fillId="0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3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2" xfId="0" applyFont="1" applyBorder="1" applyAlignment="1">
      <alignment horizontal="centerContinuous"/>
    </xf>
    <xf numFmtId="0" fontId="32" fillId="0" borderId="21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2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 applyProtection="1">
      <alignment horizontal="left"/>
      <protection/>
    </xf>
    <xf numFmtId="0" fontId="33" fillId="0" borderId="29" xfId="0" applyFont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7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 applyProtection="1" quotePrefix="1">
      <alignment horizontal="center"/>
      <protection/>
    </xf>
    <xf numFmtId="0" fontId="4" fillId="0" borderId="32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22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2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6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9" xfId="0" applyFont="1" applyBorder="1" applyAlignment="1" applyProtection="1">
      <alignment horizontal="center"/>
      <protection/>
    </xf>
    <xf numFmtId="172" fontId="0" fillId="0" borderId="24" xfId="0" applyNumberFormat="1" applyFont="1" applyBorder="1" applyAlignment="1" applyProtection="1">
      <alignment horizontal="center"/>
      <protection/>
    </xf>
    <xf numFmtId="0" fontId="33" fillId="0" borderId="17" xfId="0" applyFont="1" applyBorder="1" applyAlignment="1" applyProtection="1" quotePrefix="1">
      <alignment horizontal="center" vertical="center" wrapText="1"/>
      <protection/>
    </xf>
    <xf numFmtId="0" fontId="38" fillId="0" borderId="17" xfId="0" applyFont="1" applyFill="1" applyBorder="1" applyAlignment="1">
      <alignment horizontal="center" vertical="center" wrapText="1"/>
    </xf>
    <xf numFmtId="176" fontId="18" fillId="0" borderId="5" xfId="0" applyNumberFormat="1" applyFont="1" applyFill="1" applyBorder="1" applyAlignment="1">
      <alignment horizontal="center"/>
    </xf>
    <xf numFmtId="176" fontId="18" fillId="0" borderId="7" xfId="0" applyNumberFormat="1" applyFont="1" applyFill="1" applyBorder="1" applyAlignment="1">
      <alignment horizontal="center"/>
    </xf>
    <xf numFmtId="180" fontId="0" fillId="0" borderId="24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41" fillId="0" borderId="36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21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2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2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2" xfId="0" applyFont="1" applyBorder="1" applyAlignment="1">
      <alignment/>
    </xf>
    <xf numFmtId="0" fontId="20" fillId="0" borderId="0" xfId="0" applyFont="1" applyBorder="1" applyAlignment="1">
      <alignment/>
    </xf>
    <xf numFmtId="0" fontId="49" fillId="0" borderId="0" xfId="0" applyFont="1" applyBorder="1" applyAlignment="1" quotePrefix="1">
      <alignment horizontal="left"/>
    </xf>
    <xf numFmtId="176" fontId="16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>
      <alignment/>
    </xf>
    <xf numFmtId="173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left"/>
      <protection/>
    </xf>
    <xf numFmtId="0" fontId="29" fillId="0" borderId="6" xfId="0" applyFont="1" applyBorder="1" applyAlignment="1">
      <alignment horizontal="center"/>
    </xf>
    <xf numFmtId="0" fontId="29" fillId="0" borderId="1" xfId="0" applyFont="1" applyBorder="1" applyAlignment="1">
      <alignment/>
    </xf>
    <xf numFmtId="172" fontId="29" fillId="0" borderId="2" xfId="0" applyNumberFormat="1" applyFont="1" applyBorder="1" applyAlignment="1" applyProtection="1">
      <alignment/>
      <protection/>
    </xf>
    <xf numFmtId="172" fontId="29" fillId="0" borderId="1" xfId="0" applyNumberFormat="1" applyFont="1" applyBorder="1" applyAlignment="1" applyProtection="1">
      <alignment horizontal="center"/>
      <protection/>
    </xf>
    <xf numFmtId="0" fontId="29" fillId="0" borderId="37" xfId="0" applyFont="1" applyBorder="1" applyAlignment="1">
      <alignment horizontal="center"/>
    </xf>
    <xf numFmtId="172" fontId="52" fillId="0" borderId="6" xfId="0" applyNumberFormat="1" applyFont="1" applyBorder="1" applyAlignment="1" applyProtection="1">
      <alignment horizontal="center"/>
      <protection/>
    </xf>
    <xf numFmtId="0" fontId="29" fillId="0" borderId="6" xfId="0" applyFont="1" applyBorder="1" applyAlignment="1" applyProtection="1">
      <alignment horizontal="center"/>
      <protection/>
    </xf>
    <xf numFmtId="173" fontId="29" fillId="0" borderId="6" xfId="0" applyNumberFormat="1" applyFont="1" applyBorder="1" applyAlignment="1" applyProtection="1">
      <alignment horizontal="center"/>
      <protection/>
    </xf>
    <xf numFmtId="176" fontId="29" fillId="0" borderId="6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172" fontId="5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"/>
      <protection/>
    </xf>
    <xf numFmtId="179" fontId="29" fillId="0" borderId="0" xfId="0" applyNumberFormat="1" applyFont="1" applyBorder="1" applyAlignment="1" applyProtection="1" quotePrefix="1">
      <alignment horizontal="center"/>
      <protection/>
    </xf>
    <xf numFmtId="2" fontId="29" fillId="0" borderId="38" xfId="0" applyNumberFormat="1" applyFont="1" applyBorder="1" applyAlignment="1" applyProtection="1">
      <alignment horizontal="center"/>
      <protection/>
    </xf>
    <xf numFmtId="0" fontId="29" fillId="0" borderId="21" xfId="0" applyFont="1" applyBorder="1" applyAlignment="1">
      <alignment/>
    </xf>
    <xf numFmtId="2" fontId="53" fillId="0" borderId="0" xfId="0" applyNumberFormat="1" applyFont="1" applyBorder="1" applyAlignment="1" applyProtection="1">
      <alignment horizontal="left"/>
      <protection/>
    </xf>
    <xf numFmtId="176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>
      <alignment horizontal="center"/>
      <protection/>
    </xf>
    <xf numFmtId="179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center"/>
      <protection/>
    </xf>
    <xf numFmtId="4" fontId="53" fillId="0" borderId="0" xfId="0" applyNumberFormat="1" applyFont="1" applyBorder="1" applyAlignment="1" applyProtection="1">
      <alignment horizontal="center"/>
      <protection/>
    </xf>
    <xf numFmtId="7" fontId="53" fillId="0" borderId="0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4" fillId="0" borderId="0" xfId="0" applyNumberFormat="1" applyFont="1" applyBorder="1" applyAlignment="1" applyProtection="1">
      <alignment horizontal="left"/>
      <protection/>
    </xf>
    <xf numFmtId="2" fontId="51" fillId="0" borderId="0" xfId="0" applyNumberFormat="1" applyFont="1" applyBorder="1" applyAlignment="1" applyProtection="1">
      <alignment horizontal="center"/>
      <protection/>
    </xf>
    <xf numFmtId="176" fontId="52" fillId="0" borderId="0" xfId="0" applyNumberFormat="1" applyFont="1" applyBorder="1" applyAlignment="1" applyProtection="1" quotePrefix="1">
      <alignment horizontal="center"/>
      <protection/>
    </xf>
    <xf numFmtId="4" fontId="52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right"/>
      <protection/>
    </xf>
    <xf numFmtId="0" fontId="29" fillId="0" borderId="0" xfId="0" applyFont="1" applyAlignment="1">
      <alignment horizontal="centerContinuous"/>
    </xf>
    <xf numFmtId="7" fontId="29" fillId="0" borderId="0" xfId="0" applyNumberFormat="1" applyFont="1" applyBorder="1" applyAlignment="1">
      <alignment horizontal="right"/>
    </xf>
    <xf numFmtId="176" fontId="30" fillId="0" borderId="0" xfId="0" applyNumberFormat="1" applyFont="1" applyBorder="1" applyAlignment="1" applyProtection="1">
      <alignment horizontal="left"/>
      <protection/>
    </xf>
    <xf numFmtId="1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7" fontId="29" fillId="0" borderId="0" xfId="0" applyNumberFormat="1" applyFont="1" applyAlignment="1">
      <alignment horizontal="right"/>
    </xf>
    <xf numFmtId="0" fontId="50" fillId="0" borderId="0" xfId="0" applyFont="1" applyAlignment="1" quotePrefix="1">
      <alignment/>
    </xf>
    <xf numFmtId="7" fontId="29" fillId="0" borderId="0" xfId="0" applyNumberFormat="1" applyFont="1" applyBorder="1" applyAlignment="1" applyProtection="1">
      <alignment horizontal="center"/>
      <protection/>
    </xf>
    <xf numFmtId="7" fontId="29" fillId="0" borderId="0" xfId="0" applyNumberFormat="1" applyFont="1" applyBorder="1" applyAlignment="1" applyProtection="1">
      <alignment horizontal="left"/>
      <protection/>
    </xf>
    <xf numFmtId="0" fontId="29" fillId="0" borderId="27" xfId="0" applyFont="1" applyFill="1" applyBorder="1" applyAlignment="1">
      <alignment/>
    </xf>
    <xf numFmtId="0" fontId="0" fillId="0" borderId="19" xfId="0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59" fillId="3" borderId="23" xfId="0" applyFont="1" applyFill="1" applyBorder="1" applyAlignment="1" applyProtection="1">
      <alignment horizontal="centerContinuous" vertical="center" wrapText="1"/>
      <protection/>
    </xf>
    <xf numFmtId="0" fontId="60" fillId="3" borderId="29" xfId="0" applyFont="1" applyFill="1" applyBorder="1" applyAlignment="1">
      <alignment horizontal="centerContinuous"/>
    </xf>
    <xf numFmtId="0" fontId="59" fillId="3" borderId="24" xfId="0" applyFont="1" applyFill="1" applyBorder="1" applyAlignment="1">
      <alignment horizontal="centerContinuous" vertical="center"/>
    </xf>
    <xf numFmtId="0" fontId="61" fillId="3" borderId="17" xfId="0" applyFont="1" applyFill="1" applyBorder="1" applyAlignment="1" applyProtection="1">
      <alignment horizontal="center" vertical="center"/>
      <protection/>
    </xf>
    <xf numFmtId="176" fontId="62" fillId="3" borderId="1" xfId="0" applyNumberFormat="1" applyFont="1" applyFill="1" applyBorder="1" applyAlignment="1" applyProtection="1">
      <alignment horizontal="center"/>
      <protection/>
    </xf>
    <xf numFmtId="176" fontId="62" fillId="3" borderId="6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 horizontal="center"/>
    </xf>
    <xf numFmtId="0" fontId="62" fillId="3" borderId="33" xfId="0" applyFont="1" applyFill="1" applyBorder="1" applyAlignment="1">
      <alignment horizontal="center"/>
    </xf>
    <xf numFmtId="0" fontId="62" fillId="3" borderId="5" xfId="0" applyFont="1" applyFill="1" applyBorder="1" applyAlignment="1">
      <alignment horizontal="center"/>
    </xf>
    <xf numFmtId="0" fontId="62" fillId="3" borderId="1" xfId="0" applyFont="1" applyFill="1" applyBorder="1" applyAlignment="1" applyProtection="1">
      <alignment horizontal="center"/>
      <protection/>
    </xf>
    <xf numFmtId="0" fontId="62" fillId="3" borderId="12" xfId="0" applyFont="1" applyFill="1" applyBorder="1" applyAlignment="1" applyProtection="1">
      <alignment horizontal="center"/>
      <protection/>
    </xf>
    <xf numFmtId="176" fontId="62" fillId="3" borderId="5" xfId="0" applyNumberFormat="1" applyFont="1" applyFill="1" applyBorder="1" applyAlignment="1" applyProtection="1">
      <alignment horizontal="center"/>
      <protection/>
    </xf>
    <xf numFmtId="0" fontId="62" fillId="3" borderId="0" xfId="0" applyFont="1" applyFill="1" applyBorder="1" applyAlignment="1">
      <alignment horizontal="center"/>
    </xf>
    <xf numFmtId="172" fontId="62" fillId="3" borderId="4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0" fontId="14" fillId="0" borderId="22" xfId="0" applyFont="1" applyFill="1" applyBorder="1" applyAlignment="1">
      <alignment/>
    </xf>
    <xf numFmtId="0" fontId="33" fillId="0" borderId="17" xfId="23" applyFont="1" applyBorder="1" applyAlignment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172" fontId="4" fillId="0" borderId="39" xfId="0" applyNumberFormat="1" applyFont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 quotePrefix="1">
      <alignment horizontal="center"/>
      <protection/>
    </xf>
    <xf numFmtId="22" fontId="4" fillId="0" borderId="6" xfId="0" applyNumberFormat="1" applyFont="1" applyFill="1" applyBorder="1" applyAlignment="1">
      <alignment horizontal="center"/>
    </xf>
    <xf numFmtId="22" fontId="4" fillId="0" borderId="6" xfId="0" applyNumberFormat="1" applyFont="1" applyFill="1" applyBorder="1" applyAlignment="1" applyProtection="1">
      <alignment horizontal="center"/>
      <protection/>
    </xf>
    <xf numFmtId="4" fontId="4" fillId="0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8" fillId="0" borderId="17" xfId="0" applyNumberFormat="1" applyFont="1" applyFill="1" applyBorder="1" applyAlignment="1">
      <alignment horizontal="right"/>
    </xf>
    <xf numFmtId="1" fontId="29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 horizontal="centerContinuous"/>
    </xf>
    <xf numFmtId="0" fontId="33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67" fillId="4" borderId="1" xfId="0" applyFont="1" applyFill="1" applyBorder="1" applyAlignment="1">
      <alignment/>
    </xf>
    <xf numFmtId="0" fontId="66" fillId="4" borderId="17" xfId="0" applyFont="1" applyFill="1" applyBorder="1" applyAlignment="1">
      <alignment horizontal="center" vertical="center" wrapText="1"/>
    </xf>
    <xf numFmtId="0" fontId="67" fillId="4" borderId="42" xfId="0" applyFont="1" applyFill="1" applyBorder="1" applyAlignment="1">
      <alignment/>
    </xf>
    <xf numFmtId="0" fontId="55" fillId="5" borderId="2" xfId="0" applyFont="1" applyFill="1" applyBorder="1" applyAlignment="1">
      <alignment/>
    </xf>
    <xf numFmtId="0" fontId="58" fillId="5" borderId="17" xfId="0" applyFont="1" applyFill="1" applyBorder="1" applyAlignment="1">
      <alignment horizontal="center" vertical="center" wrapText="1"/>
    </xf>
    <xf numFmtId="0" fontId="55" fillId="5" borderId="42" xfId="0" applyFont="1" applyFill="1" applyBorder="1" applyAlignment="1">
      <alignment/>
    </xf>
    <xf numFmtId="176" fontId="5" fillId="3" borderId="43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9" fillId="6" borderId="23" xfId="0" applyFont="1" applyFill="1" applyBorder="1" applyAlignment="1">
      <alignment horizontal="centerContinuous" vertical="center" wrapText="1"/>
    </xf>
    <xf numFmtId="0" fontId="70" fillId="6" borderId="29" xfId="0" applyFont="1" applyFill="1" applyBorder="1" applyAlignment="1">
      <alignment horizontal="centerContinuous"/>
    </xf>
    <xf numFmtId="0" fontId="69" fillId="6" borderId="24" xfId="0" applyFont="1" applyFill="1" applyBorder="1" applyAlignment="1">
      <alignment horizontal="centerContinuous" vertical="center"/>
    </xf>
    <xf numFmtId="176" fontId="71" fillId="6" borderId="43" xfId="0" applyNumberFormat="1" applyFont="1" applyFill="1" applyBorder="1" applyAlignment="1" applyProtection="1" quotePrefix="1">
      <alignment horizontal="center"/>
      <protection/>
    </xf>
    <xf numFmtId="4" fontId="71" fillId="6" borderId="2" xfId="0" applyNumberFormat="1" applyFont="1" applyFill="1" applyBorder="1" applyAlignment="1" applyProtection="1">
      <alignment horizontal="center"/>
      <protection/>
    </xf>
    <xf numFmtId="0" fontId="4" fillId="3" borderId="44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71" fillId="6" borderId="44" xfId="0" applyFont="1" applyFill="1" applyBorder="1" applyAlignment="1">
      <alignment/>
    </xf>
    <xf numFmtId="0" fontId="71" fillId="6" borderId="45" xfId="0" applyFont="1" applyFill="1" applyBorder="1" applyAlignment="1">
      <alignment/>
    </xf>
    <xf numFmtId="0" fontId="71" fillId="6" borderId="46" xfId="0" applyFont="1" applyFill="1" applyBorder="1" applyAlignment="1">
      <alignment/>
    </xf>
    <xf numFmtId="176" fontId="71" fillId="6" borderId="13" xfId="0" applyNumberFormat="1" applyFont="1" applyFill="1" applyBorder="1" applyAlignment="1" applyProtection="1" quotePrefix="1">
      <alignment horizontal="center"/>
      <protection/>
    </xf>
    <xf numFmtId="176" fontId="5" fillId="3" borderId="13" xfId="0" applyNumberFormat="1" applyFont="1" applyFill="1" applyBorder="1" applyAlignment="1" applyProtection="1" quotePrefix="1">
      <alignment horizontal="center"/>
      <protection/>
    </xf>
    <xf numFmtId="0" fontId="4" fillId="0" borderId="42" xfId="0" applyFont="1" applyBorder="1" applyAlignment="1">
      <alignment/>
    </xf>
    <xf numFmtId="0" fontId="74" fillId="7" borderId="42" xfId="0" applyFont="1" applyFill="1" applyBorder="1" applyAlignment="1">
      <alignment/>
    </xf>
    <xf numFmtId="4" fontId="74" fillId="7" borderId="1" xfId="0" applyNumberFormat="1" applyFont="1" applyFill="1" applyBorder="1" applyAlignment="1" applyProtection="1">
      <alignment horizontal="center"/>
      <protection/>
    </xf>
    <xf numFmtId="0" fontId="73" fillId="7" borderId="17" xfId="0" applyFont="1" applyFill="1" applyBorder="1" applyAlignment="1">
      <alignment horizontal="center" vertical="center" wrapText="1"/>
    </xf>
    <xf numFmtId="0" fontId="76" fillId="8" borderId="17" xfId="0" applyFont="1" applyFill="1" applyBorder="1" applyAlignment="1">
      <alignment horizontal="center" vertical="center" wrapText="1"/>
    </xf>
    <xf numFmtId="0" fontId="77" fillId="8" borderId="42" xfId="0" applyFont="1" applyFill="1" applyBorder="1" applyAlignment="1">
      <alignment/>
    </xf>
    <xf numFmtId="4" fontId="77" fillId="8" borderId="1" xfId="0" applyNumberFormat="1" applyFont="1" applyFill="1" applyBorder="1" applyAlignment="1" applyProtection="1">
      <alignment horizontal="center"/>
      <protection/>
    </xf>
    <xf numFmtId="2" fontId="68" fillId="4" borderId="17" xfId="0" applyNumberFormat="1" applyFont="1" applyFill="1" applyBorder="1" applyAlignment="1" applyProtection="1">
      <alignment horizontal="center"/>
      <protection/>
    </xf>
    <xf numFmtId="2" fontId="56" fillId="5" borderId="17" xfId="0" applyNumberFormat="1" applyFont="1" applyFill="1" applyBorder="1" applyAlignment="1" applyProtection="1">
      <alignment horizontal="center"/>
      <protection/>
    </xf>
    <xf numFmtId="2" fontId="57" fillId="3" borderId="17" xfId="0" applyNumberFormat="1" applyFont="1" applyFill="1" applyBorder="1" applyAlignment="1" applyProtection="1">
      <alignment horizontal="center"/>
      <protection/>
    </xf>
    <xf numFmtId="2" fontId="72" fillId="6" borderId="17" xfId="0" applyNumberFormat="1" applyFont="1" applyFill="1" applyBorder="1" applyAlignment="1" applyProtection="1">
      <alignment horizontal="center"/>
      <protection/>
    </xf>
    <xf numFmtId="2" fontId="75" fillId="7" borderId="17" xfId="0" applyNumberFormat="1" applyFont="1" applyFill="1" applyBorder="1" applyAlignment="1" applyProtection="1">
      <alignment horizontal="center"/>
      <protection/>
    </xf>
    <xf numFmtId="2" fontId="78" fillId="8" borderId="17" xfId="0" applyNumberFormat="1" applyFont="1" applyFill="1" applyBorder="1" applyAlignment="1" applyProtection="1">
      <alignment horizontal="center"/>
      <protection/>
    </xf>
    <xf numFmtId="0" fontId="80" fillId="9" borderId="1" xfId="0" applyFont="1" applyFill="1" applyBorder="1" applyAlignment="1">
      <alignment/>
    </xf>
    <xf numFmtId="0" fontId="80" fillId="9" borderId="6" xfId="0" applyFont="1" applyFill="1" applyBorder="1" applyAlignment="1" applyProtection="1">
      <alignment horizontal="center"/>
      <protection/>
    </xf>
    <xf numFmtId="0" fontId="81" fillId="10" borderId="17" xfId="0" applyFont="1" applyFill="1" applyBorder="1" applyAlignment="1" applyProtection="1">
      <alignment horizontal="center" vertical="center"/>
      <protection/>
    </xf>
    <xf numFmtId="0" fontId="82" fillId="10" borderId="1" xfId="0" applyFont="1" applyFill="1" applyBorder="1" applyAlignment="1">
      <alignment/>
    </xf>
    <xf numFmtId="172" fontId="33" fillId="0" borderId="17" xfId="0" applyNumberFormat="1" applyFont="1" applyBorder="1" applyAlignment="1" applyProtection="1">
      <alignment horizontal="center" vertical="center" wrapText="1"/>
      <protection/>
    </xf>
    <xf numFmtId="176" fontId="79" fillId="9" borderId="17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Border="1" applyAlignment="1" applyProtection="1">
      <alignment horizontal="center"/>
      <protection/>
    </xf>
    <xf numFmtId="0" fontId="80" fillId="9" borderId="1" xfId="0" applyFont="1" applyFill="1" applyBorder="1" applyAlignment="1" applyProtection="1">
      <alignment horizontal="center"/>
      <protection/>
    </xf>
    <xf numFmtId="0" fontId="80" fillId="9" borderId="42" xfId="0" applyFont="1" applyFill="1" applyBorder="1" applyAlignment="1">
      <alignment/>
    </xf>
    <xf numFmtId="0" fontId="82" fillId="10" borderId="42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176" fontId="61" fillId="3" borderId="17" xfId="0" applyNumberFormat="1" applyFont="1" applyFill="1" applyBorder="1" applyAlignment="1" applyProtection="1">
      <alignment horizontal="center" vertical="center"/>
      <protection/>
    </xf>
    <xf numFmtId="0" fontId="62" fillId="3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72" fontId="4" fillId="0" borderId="47" xfId="0" applyNumberFormat="1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>
      <alignment horizontal="center"/>
    </xf>
    <xf numFmtId="0" fontId="83" fillId="11" borderId="17" xfId="0" applyFont="1" applyFill="1" applyBorder="1" applyAlignment="1" applyProtection="1">
      <alignment horizontal="center" vertical="center"/>
      <protection/>
    </xf>
    <xf numFmtId="0" fontId="85" fillId="11" borderId="47" xfId="0" applyFont="1" applyFill="1" applyBorder="1" applyAlignment="1">
      <alignment horizontal="center"/>
    </xf>
    <xf numFmtId="0" fontId="85" fillId="11" borderId="5" xfId="0" applyFont="1" applyFill="1" applyBorder="1" applyAlignment="1">
      <alignment horizontal="center"/>
    </xf>
    <xf numFmtId="172" fontId="85" fillId="11" borderId="1" xfId="0" applyNumberFormat="1" applyFont="1" applyFill="1" applyBorder="1" applyAlignment="1" applyProtection="1">
      <alignment horizontal="center"/>
      <protection/>
    </xf>
    <xf numFmtId="172" fontId="85" fillId="11" borderId="6" xfId="0" applyNumberFormat="1" applyFont="1" applyFill="1" applyBorder="1" applyAlignment="1" applyProtection="1">
      <alignment horizontal="center"/>
      <protection/>
    </xf>
    <xf numFmtId="0" fontId="86" fillId="7" borderId="17" xfId="0" applyFont="1" applyFill="1" applyBorder="1" applyAlignment="1">
      <alignment horizontal="center" vertical="center" wrapText="1"/>
    </xf>
    <xf numFmtId="0" fontId="87" fillId="7" borderId="47" xfId="0" applyFont="1" applyFill="1" applyBorder="1" applyAlignment="1">
      <alignment horizontal="center"/>
    </xf>
    <xf numFmtId="0" fontId="87" fillId="7" borderId="5" xfId="0" applyFont="1" applyFill="1" applyBorder="1" applyAlignment="1">
      <alignment horizontal="center"/>
    </xf>
    <xf numFmtId="2" fontId="87" fillId="7" borderId="1" xfId="0" applyNumberFormat="1" applyFont="1" applyFill="1" applyBorder="1" applyAlignment="1">
      <alignment horizontal="center"/>
    </xf>
    <xf numFmtId="2" fontId="87" fillId="7" borderId="6" xfId="0" applyNumberFormat="1" applyFont="1" applyFill="1" applyBorder="1" applyAlignment="1">
      <alignment horizontal="center"/>
    </xf>
    <xf numFmtId="4" fontId="87" fillId="7" borderId="17" xfId="0" applyNumberFormat="1" applyFont="1" applyFill="1" applyBorder="1" applyAlignment="1">
      <alignment horizontal="center"/>
    </xf>
    <xf numFmtId="0" fontId="88" fillId="5" borderId="17" xfId="0" applyFont="1" applyFill="1" applyBorder="1" applyAlignment="1">
      <alignment horizontal="center" vertical="center" wrapText="1"/>
    </xf>
    <xf numFmtId="0" fontId="89" fillId="5" borderId="47" xfId="0" applyFont="1" applyFill="1" applyBorder="1" applyAlignment="1">
      <alignment horizontal="center"/>
    </xf>
    <xf numFmtId="0" fontId="89" fillId="5" borderId="5" xfId="0" applyFont="1" applyFill="1" applyBorder="1" applyAlignment="1">
      <alignment horizontal="center"/>
    </xf>
    <xf numFmtId="2" fontId="89" fillId="5" borderId="1" xfId="0" applyNumberFormat="1" applyFont="1" applyFill="1" applyBorder="1" applyAlignment="1">
      <alignment horizontal="center"/>
    </xf>
    <xf numFmtId="2" fontId="89" fillId="5" borderId="6" xfId="0" applyNumberFormat="1" applyFont="1" applyFill="1" applyBorder="1" applyAlignment="1">
      <alignment horizontal="center"/>
    </xf>
    <xf numFmtId="4" fontId="89" fillId="5" borderId="17" xfId="0" applyNumberFormat="1" applyFont="1" applyFill="1" applyBorder="1" applyAlignment="1">
      <alignment horizontal="center"/>
    </xf>
    <xf numFmtId="0" fontId="57" fillId="3" borderId="44" xfId="0" applyFont="1" applyFill="1" applyBorder="1" applyAlignment="1">
      <alignment horizontal="center"/>
    </xf>
    <xf numFmtId="0" fontId="57" fillId="3" borderId="46" xfId="0" applyFont="1" applyFill="1" applyBorder="1" applyAlignment="1">
      <alignment horizontal="center"/>
    </xf>
    <xf numFmtId="0" fontId="57" fillId="3" borderId="16" xfId="0" applyFont="1" applyFill="1" applyBorder="1" applyAlignment="1">
      <alignment horizontal="center"/>
    </xf>
    <xf numFmtId="0" fontId="57" fillId="3" borderId="10" xfId="0" applyFont="1" applyFill="1" applyBorder="1" applyAlignment="1">
      <alignment horizontal="center"/>
    </xf>
    <xf numFmtId="176" fontId="57" fillId="3" borderId="16" xfId="0" applyNumberFormat="1" applyFont="1" applyFill="1" applyBorder="1" applyAlignment="1" applyProtection="1" quotePrefix="1">
      <alignment horizontal="center"/>
      <protection/>
    </xf>
    <xf numFmtId="176" fontId="57" fillId="3" borderId="10" xfId="0" applyNumberFormat="1" applyFont="1" applyFill="1" applyBorder="1" applyAlignment="1" applyProtection="1" quotePrefix="1">
      <alignment horizontal="center"/>
      <protection/>
    </xf>
    <xf numFmtId="176" fontId="57" fillId="3" borderId="48" xfId="0" applyNumberFormat="1" applyFont="1" applyFill="1" applyBorder="1" applyAlignment="1" applyProtection="1" quotePrefix="1">
      <alignment horizontal="center"/>
      <protection/>
    </xf>
    <xf numFmtId="176" fontId="57" fillId="3" borderId="41" xfId="0" applyNumberFormat="1" applyFont="1" applyFill="1" applyBorder="1" applyAlignment="1" applyProtection="1" quotePrefix="1">
      <alignment horizontal="center"/>
      <protection/>
    </xf>
    <xf numFmtId="4" fontId="57" fillId="3" borderId="49" xfId="0" applyNumberFormat="1" applyFont="1" applyFill="1" applyBorder="1" applyAlignment="1">
      <alignment horizontal="center"/>
    </xf>
    <xf numFmtId="4" fontId="57" fillId="3" borderId="24" xfId="0" applyNumberFormat="1" applyFont="1" applyFill="1" applyBorder="1" applyAlignment="1">
      <alignment horizontal="center"/>
    </xf>
    <xf numFmtId="0" fontId="90" fillId="12" borderId="23" xfId="0" applyFont="1" applyFill="1" applyBorder="1" applyAlignment="1" applyProtection="1">
      <alignment horizontal="centerContinuous" vertical="center" wrapText="1"/>
      <protection/>
    </xf>
    <xf numFmtId="0" fontId="90" fillId="12" borderId="24" xfId="0" applyFont="1" applyFill="1" applyBorder="1" applyAlignment="1">
      <alignment horizontal="centerContinuous" vertical="center"/>
    </xf>
    <xf numFmtId="0" fontId="91" fillId="12" borderId="50" xfId="0" applyFont="1" applyFill="1" applyBorder="1" applyAlignment="1">
      <alignment horizontal="center"/>
    </xf>
    <xf numFmtId="0" fontId="91" fillId="12" borderId="51" xfId="0" applyFont="1" applyFill="1" applyBorder="1" applyAlignment="1">
      <alignment horizontal="center"/>
    </xf>
    <xf numFmtId="0" fontId="91" fillId="12" borderId="16" xfId="0" applyFont="1" applyFill="1" applyBorder="1" applyAlignment="1">
      <alignment horizontal="center"/>
    </xf>
    <xf numFmtId="0" fontId="91" fillId="12" borderId="10" xfId="0" applyFont="1" applyFill="1" applyBorder="1" applyAlignment="1">
      <alignment horizontal="center"/>
    </xf>
    <xf numFmtId="176" fontId="91" fillId="12" borderId="16" xfId="0" applyNumberFormat="1" applyFont="1" applyFill="1" applyBorder="1" applyAlignment="1" applyProtection="1" quotePrefix="1">
      <alignment horizontal="center"/>
      <protection/>
    </xf>
    <xf numFmtId="176" fontId="91" fillId="12" borderId="10" xfId="0" applyNumberFormat="1" applyFont="1" applyFill="1" applyBorder="1" applyAlignment="1" applyProtection="1" quotePrefix="1">
      <alignment horizontal="center"/>
      <protection/>
    </xf>
    <xf numFmtId="176" fontId="91" fillId="12" borderId="52" xfId="0" applyNumberFormat="1" applyFont="1" applyFill="1" applyBorder="1" applyAlignment="1" applyProtection="1" quotePrefix="1">
      <alignment horizontal="center"/>
      <protection/>
    </xf>
    <xf numFmtId="176" fontId="91" fillId="12" borderId="53" xfId="0" applyNumberFormat="1" applyFont="1" applyFill="1" applyBorder="1" applyAlignment="1" applyProtection="1" quotePrefix="1">
      <alignment horizontal="center"/>
      <protection/>
    </xf>
    <xf numFmtId="4" fontId="91" fillId="12" borderId="49" xfId="0" applyNumberFormat="1" applyFont="1" applyFill="1" applyBorder="1" applyAlignment="1">
      <alignment horizontal="center"/>
    </xf>
    <xf numFmtId="4" fontId="91" fillId="12" borderId="54" xfId="0" applyNumberFormat="1" applyFont="1" applyFill="1" applyBorder="1" applyAlignment="1">
      <alignment horizontal="center"/>
    </xf>
    <xf numFmtId="0" fontId="90" fillId="12" borderId="17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8" fillId="13" borderId="47" xfId="0" applyFont="1" applyFill="1" applyBorder="1" applyAlignment="1">
      <alignment horizontal="center"/>
    </xf>
    <xf numFmtId="0" fontId="68" fillId="13" borderId="5" xfId="0" applyFont="1" applyFill="1" applyBorder="1" applyAlignment="1">
      <alignment horizontal="center"/>
    </xf>
    <xf numFmtId="176" fontId="68" fillId="13" borderId="1" xfId="0" applyNumberFormat="1" applyFont="1" applyFill="1" applyBorder="1" applyAlignment="1" applyProtection="1" quotePrefix="1">
      <alignment horizontal="center"/>
      <protection/>
    </xf>
    <xf numFmtId="176" fontId="68" fillId="13" borderId="6" xfId="0" applyNumberFormat="1" applyFont="1" applyFill="1" applyBorder="1" applyAlignment="1" applyProtection="1" quotePrefix="1">
      <alignment horizontal="center"/>
      <protection/>
    </xf>
    <xf numFmtId="0" fontId="92" fillId="7" borderId="17" xfId="0" applyFont="1" applyFill="1" applyBorder="1" applyAlignment="1">
      <alignment horizontal="center" vertical="center" wrapText="1"/>
    </xf>
    <xf numFmtId="0" fontId="93" fillId="7" borderId="47" xfId="0" applyFont="1" applyFill="1" applyBorder="1" applyAlignment="1">
      <alignment horizontal="center"/>
    </xf>
    <xf numFmtId="0" fontId="93" fillId="7" borderId="5" xfId="0" applyFont="1" applyFill="1" applyBorder="1" applyAlignment="1">
      <alignment horizontal="center"/>
    </xf>
    <xf numFmtId="176" fontId="93" fillId="7" borderId="5" xfId="0" applyNumberFormat="1" applyFont="1" applyFill="1" applyBorder="1" applyAlignment="1" applyProtection="1" quotePrefix="1">
      <alignment horizontal="center"/>
      <protection/>
    </xf>
    <xf numFmtId="176" fontId="93" fillId="7" borderId="6" xfId="0" applyNumberFormat="1" applyFont="1" applyFill="1" applyBorder="1" applyAlignment="1" applyProtection="1" quotePrefix="1">
      <alignment horizontal="center"/>
      <protection/>
    </xf>
    <xf numFmtId="0" fontId="85" fillId="10" borderId="1" xfId="0" applyFont="1" applyFill="1" applyBorder="1" applyAlignment="1" applyProtection="1">
      <alignment horizontal="center"/>
      <protection/>
    </xf>
    <xf numFmtId="0" fontId="83" fillId="10" borderId="17" xfId="0" applyFont="1" applyFill="1" applyBorder="1" applyAlignment="1" applyProtection="1">
      <alignment horizontal="center" vertical="center"/>
      <protection/>
    </xf>
    <xf numFmtId="172" fontId="85" fillId="10" borderId="1" xfId="0" applyNumberFormat="1" applyFont="1" applyFill="1" applyBorder="1" applyAlignment="1" applyProtection="1">
      <alignment horizontal="center"/>
      <protection/>
    </xf>
    <xf numFmtId="0" fontId="85" fillId="10" borderId="42" xfId="0" applyFont="1" applyFill="1" applyBorder="1" applyAlignment="1" applyProtection="1">
      <alignment horizontal="center"/>
      <protection/>
    </xf>
    <xf numFmtId="0" fontId="91" fillId="12" borderId="1" xfId="0" applyFont="1" applyFill="1" applyBorder="1" applyAlignment="1" applyProtection="1">
      <alignment horizontal="center"/>
      <protection/>
    </xf>
    <xf numFmtId="2" fontId="91" fillId="12" borderId="1" xfId="0" applyNumberFormat="1" applyFont="1" applyFill="1" applyBorder="1" applyAlignment="1">
      <alignment horizontal="center"/>
    </xf>
    <xf numFmtId="0" fontId="91" fillId="12" borderId="42" xfId="0" applyFont="1" applyFill="1" applyBorder="1" applyAlignment="1" applyProtection="1">
      <alignment horizontal="center"/>
      <protection/>
    </xf>
    <xf numFmtId="4" fontId="91" fillId="12" borderId="17" xfId="0" applyNumberFormat="1" applyFont="1" applyFill="1" applyBorder="1" applyAlignment="1">
      <alignment horizontal="center"/>
    </xf>
    <xf numFmtId="0" fontId="58" fillId="5" borderId="23" xfId="0" applyFont="1" applyFill="1" applyBorder="1" applyAlignment="1" applyProtection="1">
      <alignment horizontal="centerContinuous" vertical="center" wrapText="1"/>
      <protection/>
    </xf>
    <xf numFmtId="0" fontId="58" fillId="5" borderId="24" xfId="0" applyFont="1" applyFill="1" applyBorder="1" applyAlignment="1">
      <alignment horizontal="centerContinuous" vertical="center"/>
    </xf>
    <xf numFmtId="176" fontId="56" fillId="5" borderId="44" xfId="0" applyNumberFormat="1" applyFont="1" applyFill="1" applyBorder="1" applyAlignment="1" applyProtection="1" quotePrefix="1">
      <alignment horizontal="center"/>
      <protection/>
    </xf>
    <xf numFmtId="176" fontId="56" fillId="5" borderId="46" xfId="0" applyNumberFormat="1" applyFont="1" applyFill="1" applyBorder="1" applyAlignment="1" applyProtection="1" quotePrefix="1">
      <alignment horizontal="center"/>
      <protection/>
    </xf>
    <xf numFmtId="176" fontId="56" fillId="5" borderId="13" xfId="0" applyNumberFormat="1" applyFont="1" applyFill="1" applyBorder="1" applyAlignment="1" applyProtection="1" quotePrefix="1">
      <alignment horizontal="center"/>
      <protection/>
    </xf>
    <xf numFmtId="176" fontId="56" fillId="5" borderId="55" xfId="0" applyNumberFormat="1" applyFont="1" applyFill="1" applyBorder="1" applyAlignment="1" applyProtection="1" quotePrefix="1">
      <alignment horizontal="center"/>
      <protection/>
    </xf>
    <xf numFmtId="4" fontId="56" fillId="5" borderId="49" xfId="0" applyNumberFormat="1" applyFont="1" applyFill="1" applyBorder="1" applyAlignment="1">
      <alignment horizontal="center"/>
    </xf>
    <xf numFmtId="4" fontId="56" fillId="5" borderId="54" xfId="0" applyNumberFormat="1" applyFont="1" applyFill="1" applyBorder="1" applyAlignment="1">
      <alignment horizontal="center"/>
    </xf>
    <xf numFmtId="176" fontId="84" fillId="4" borderId="1" xfId="0" applyNumberFormat="1" applyFont="1" applyFill="1" applyBorder="1" applyAlignment="1" applyProtection="1" quotePrefix="1">
      <alignment horizontal="center"/>
      <protection/>
    </xf>
    <xf numFmtId="4" fontId="84" fillId="4" borderId="17" xfId="0" applyNumberFormat="1" applyFont="1" applyFill="1" applyBorder="1" applyAlignment="1">
      <alignment horizontal="center"/>
    </xf>
    <xf numFmtId="0" fontId="83" fillId="4" borderId="17" xfId="0" applyFont="1" applyFill="1" applyBorder="1" applyAlignment="1">
      <alignment horizontal="center" vertical="center" wrapText="1"/>
    </xf>
    <xf numFmtId="176" fontId="84" fillId="4" borderId="42" xfId="0" applyNumberFormat="1" applyFont="1" applyFill="1" applyBorder="1" applyAlignment="1" applyProtection="1" quotePrefix="1">
      <alignment horizontal="center"/>
      <protection/>
    </xf>
    <xf numFmtId="0" fontId="38" fillId="7" borderId="17" xfId="0" applyFont="1" applyFill="1" applyBorder="1" applyAlignment="1">
      <alignment horizontal="center" vertical="center" wrapText="1"/>
    </xf>
    <xf numFmtId="0" fontId="94" fillId="7" borderId="47" xfId="0" applyFont="1" applyFill="1" applyBorder="1" applyAlignment="1">
      <alignment horizontal="center"/>
    </xf>
    <xf numFmtId="2" fontId="94" fillId="7" borderId="5" xfId="0" applyNumberFormat="1" applyFont="1" applyFill="1" applyBorder="1" applyAlignment="1">
      <alignment horizontal="center"/>
    </xf>
    <xf numFmtId="4" fontId="94" fillId="7" borderId="17" xfId="0" applyNumberFormat="1" applyFont="1" applyFill="1" applyBorder="1" applyAlignment="1">
      <alignment horizontal="center"/>
    </xf>
    <xf numFmtId="0" fontId="66" fillId="14" borderId="23" xfId="0" applyFont="1" applyFill="1" applyBorder="1" applyAlignment="1" applyProtection="1">
      <alignment horizontal="centerContinuous" vertical="center" wrapText="1"/>
      <protection/>
    </xf>
    <xf numFmtId="0" fontId="66" fillId="14" borderId="24" xfId="0" applyFont="1" applyFill="1" applyBorder="1" applyAlignment="1">
      <alignment horizontal="centerContinuous" vertical="center"/>
    </xf>
    <xf numFmtId="0" fontId="68" fillId="14" borderId="44" xfId="0" applyFont="1" applyFill="1" applyBorder="1" applyAlignment="1">
      <alignment horizontal="center"/>
    </xf>
    <xf numFmtId="0" fontId="68" fillId="14" borderId="46" xfId="0" applyFont="1" applyFill="1" applyBorder="1" applyAlignment="1">
      <alignment horizontal="center"/>
    </xf>
    <xf numFmtId="176" fontId="68" fillId="14" borderId="16" xfId="0" applyNumberFormat="1" applyFont="1" applyFill="1" applyBorder="1" applyAlignment="1" applyProtection="1" quotePrefix="1">
      <alignment horizontal="center"/>
      <protection/>
    </xf>
    <xf numFmtId="176" fontId="68" fillId="14" borderId="10" xfId="0" applyNumberFormat="1" applyFont="1" applyFill="1" applyBorder="1" applyAlignment="1" applyProtection="1" quotePrefix="1">
      <alignment horizontal="center"/>
      <protection/>
    </xf>
    <xf numFmtId="4" fontId="68" fillId="14" borderId="49" xfId="0" applyNumberFormat="1" applyFont="1" applyFill="1" applyBorder="1" applyAlignment="1">
      <alignment horizontal="center"/>
    </xf>
    <xf numFmtId="4" fontId="68" fillId="14" borderId="24" xfId="0" applyNumberFormat="1" applyFont="1" applyFill="1" applyBorder="1" applyAlignment="1">
      <alignment horizontal="center"/>
    </xf>
    <xf numFmtId="0" fontId="69" fillId="5" borderId="17" xfId="0" applyFont="1" applyFill="1" applyBorder="1" applyAlignment="1">
      <alignment horizontal="center" vertical="center" wrapText="1"/>
    </xf>
    <xf numFmtId="0" fontId="72" fillId="5" borderId="47" xfId="0" applyFont="1" applyFill="1" applyBorder="1" applyAlignment="1">
      <alignment horizontal="center"/>
    </xf>
    <xf numFmtId="176" fontId="72" fillId="5" borderId="5" xfId="0" applyNumberFormat="1" applyFont="1" applyFill="1" applyBorder="1" applyAlignment="1" applyProtection="1" quotePrefix="1">
      <alignment horizontal="center"/>
      <protection/>
    </xf>
    <xf numFmtId="4" fontId="72" fillId="5" borderId="17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172" fontId="62" fillId="3" borderId="1" xfId="0" applyNumberFormat="1" applyFont="1" applyFill="1" applyBorder="1" applyAlignment="1" applyProtection="1">
      <alignment horizontal="center"/>
      <protection/>
    </xf>
    <xf numFmtId="172" fontId="62" fillId="3" borderId="6" xfId="0" applyNumberFormat="1" applyFont="1" applyFill="1" applyBorder="1" applyAlignment="1" applyProtection="1">
      <alignment horizontal="center"/>
      <protection/>
    </xf>
    <xf numFmtId="4" fontId="68" fillId="13" borderId="17" xfId="0" applyNumberFormat="1" applyFont="1" applyFill="1" applyBorder="1" applyAlignment="1">
      <alignment horizontal="center"/>
    </xf>
    <xf numFmtId="4" fontId="93" fillId="7" borderId="1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176" fontId="85" fillId="4" borderId="6" xfId="0" applyNumberFormat="1" applyFont="1" applyFill="1" applyBorder="1" applyAlignment="1" applyProtection="1" quotePrefix="1">
      <alignment horizontal="center"/>
      <protection/>
    </xf>
    <xf numFmtId="173" fontId="95" fillId="3" borderId="6" xfId="0" applyNumberFormat="1" applyFont="1" applyFill="1" applyBorder="1" applyAlignment="1" applyProtection="1">
      <alignment horizontal="center"/>
      <protection/>
    </xf>
    <xf numFmtId="176" fontId="96" fillId="10" borderId="1" xfId="0" applyNumberFormat="1" applyFont="1" applyFill="1" applyBorder="1" applyAlignment="1" applyProtection="1">
      <alignment horizontal="center"/>
      <protection/>
    </xf>
    <xf numFmtId="176" fontId="96" fillId="10" borderId="6" xfId="0" applyNumberFormat="1" applyFont="1" applyFill="1" applyBorder="1" applyAlignment="1" applyProtection="1">
      <alignment horizontal="center"/>
      <protection/>
    </xf>
    <xf numFmtId="0" fontId="29" fillId="0" borderId="42" xfId="0" applyFont="1" applyBorder="1" applyAlignment="1">
      <alignment horizontal="center"/>
    </xf>
    <xf numFmtId="0" fontId="95" fillId="3" borderId="1" xfId="0" applyFont="1" applyFill="1" applyBorder="1" applyAlignment="1" applyProtection="1">
      <alignment horizontal="center"/>
      <protection/>
    </xf>
    <xf numFmtId="22" fontId="4" fillId="0" borderId="1" xfId="0" applyNumberFormat="1" applyFont="1" applyBorder="1" applyAlignment="1">
      <alignment horizontal="center"/>
    </xf>
    <xf numFmtId="172" fontId="29" fillId="0" borderId="42" xfId="0" applyNumberFormat="1" applyFont="1" applyBorder="1" applyAlignment="1" applyProtection="1">
      <alignment horizontal="center"/>
      <protection/>
    </xf>
    <xf numFmtId="172" fontId="95" fillId="3" borderId="42" xfId="0" applyNumberFormat="1" applyFont="1" applyFill="1" applyBorder="1" applyAlignment="1" applyProtection="1">
      <alignment horizontal="center"/>
      <protection/>
    </xf>
    <xf numFmtId="0" fontId="96" fillId="10" borderId="42" xfId="0" applyFont="1" applyFill="1" applyBorder="1" applyAlignment="1">
      <alignment horizontal="center"/>
    </xf>
    <xf numFmtId="2" fontId="96" fillId="11" borderId="17" xfId="0" applyNumberFormat="1" applyFont="1" applyFill="1" applyBorder="1" applyAlignment="1" applyProtection="1">
      <alignment horizontal="center"/>
      <protection/>
    </xf>
    <xf numFmtId="2" fontId="21" fillId="15" borderId="17" xfId="0" applyNumberFormat="1" applyFont="1" applyFill="1" applyBorder="1" applyAlignment="1" applyProtection="1">
      <alignment horizontal="center"/>
      <protection/>
    </xf>
    <xf numFmtId="0" fontId="97" fillId="4" borderId="23" xfId="0" applyFont="1" applyFill="1" applyBorder="1" applyAlignment="1" applyProtection="1">
      <alignment horizontal="centerContinuous" vertical="center" wrapText="1"/>
      <protection/>
    </xf>
    <xf numFmtId="0" fontId="98" fillId="4" borderId="29" xfId="0" applyFont="1" applyFill="1" applyBorder="1" applyAlignment="1">
      <alignment horizontal="centerContinuous"/>
    </xf>
    <xf numFmtId="0" fontId="97" fillId="4" borderId="24" xfId="0" applyFont="1" applyFill="1" applyBorder="1" applyAlignment="1">
      <alignment horizontal="centerContinuous" vertical="center"/>
    </xf>
    <xf numFmtId="2" fontId="99" fillId="4" borderId="17" xfId="0" applyNumberFormat="1" applyFont="1" applyFill="1" applyBorder="1" applyAlignment="1" applyProtection="1">
      <alignment horizontal="center"/>
      <protection/>
    </xf>
    <xf numFmtId="0" fontId="83" fillId="11" borderId="17" xfId="0" applyFont="1" applyFill="1" applyBorder="1" applyAlignment="1">
      <alignment horizontal="center" vertical="center" wrapText="1"/>
    </xf>
    <xf numFmtId="0" fontId="38" fillId="15" borderId="17" xfId="0" applyFont="1" applyFill="1" applyBorder="1" applyAlignment="1">
      <alignment horizontal="center" vertical="center" wrapText="1"/>
    </xf>
    <xf numFmtId="0" fontId="83" fillId="16" borderId="23" xfId="0" applyFont="1" applyFill="1" applyBorder="1" applyAlignment="1">
      <alignment horizontal="centerContinuous" vertical="center" wrapText="1"/>
    </xf>
    <xf numFmtId="0" fontId="100" fillId="16" borderId="29" xfId="0" applyFont="1" applyFill="1" applyBorder="1" applyAlignment="1">
      <alignment horizontal="centerContinuous"/>
    </xf>
    <xf numFmtId="0" fontId="83" fillId="16" borderId="24" xfId="0" applyFont="1" applyFill="1" applyBorder="1" applyAlignment="1">
      <alignment horizontal="centerContinuous" vertical="center"/>
    </xf>
    <xf numFmtId="2" fontId="96" fillId="16" borderId="17" xfId="0" applyNumberFormat="1" applyFont="1" applyFill="1" applyBorder="1" applyAlignment="1" applyProtection="1">
      <alignment horizontal="center"/>
      <protection/>
    </xf>
    <xf numFmtId="0" fontId="83" fillId="7" borderId="17" xfId="0" applyFont="1" applyFill="1" applyBorder="1" applyAlignment="1">
      <alignment horizontal="centerContinuous" vertical="center" wrapText="1"/>
    </xf>
    <xf numFmtId="2" fontId="96" fillId="7" borderId="17" xfId="0" applyNumberFormat="1" applyFont="1" applyFill="1" applyBorder="1" applyAlignment="1" applyProtection="1">
      <alignment horizontal="center"/>
      <protection/>
    </xf>
    <xf numFmtId="0" fontId="83" fillId="17" borderId="17" xfId="0" applyFont="1" applyFill="1" applyBorder="1" applyAlignment="1">
      <alignment horizontal="centerContinuous" vertical="center" wrapText="1"/>
    </xf>
    <xf numFmtId="2" fontId="96" fillId="17" borderId="17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Continuous"/>
      <protection/>
    </xf>
    <xf numFmtId="0" fontId="65" fillId="3" borderId="1" xfId="0" applyFont="1" applyFill="1" applyBorder="1" applyAlignment="1">
      <alignment horizontal="center"/>
    </xf>
    <xf numFmtId="176" fontId="65" fillId="3" borderId="1" xfId="0" applyNumberFormat="1" applyFont="1" applyFill="1" applyBorder="1" applyAlignment="1" applyProtection="1">
      <alignment horizontal="center"/>
      <protection/>
    </xf>
    <xf numFmtId="176" fontId="65" fillId="3" borderId="6" xfId="0" applyNumberFormat="1" applyFont="1" applyFill="1" applyBorder="1" applyAlignment="1" applyProtection="1">
      <alignment horizontal="center"/>
      <protection/>
    </xf>
    <xf numFmtId="7" fontId="16" fillId="0" borderId="42" xfId="0" applyNumberFormat="1" applyFont="1" applyBorder="1" applyAlignment="1">
      <alignment/>
    </xf>
    <xf numFmtId="7" fontId="18" fillId="0" borderId="47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9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7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/>
    </xf>
    <xf numFmtId="7" fontId="29" fillId="0" borderId="0" xfId="0" applyNumberFormat="1" applyFont="1" applyBorder="1" applyAlignment="1">
      <alignment horizontal="centerContinuous"/>
    </xf>
    <xf numFmtId="0" fontId="29" fillId="0" borderId="0" xfId="0" applyFont="1" applyAlignment="1">
      <alignment horizontal="right"/>
    </xf>
    <xf numFmtId="10" fontId="29" fillId="0" borderId="0" xfId="0" applyNumberFormat="1" applyFont="1" applyBorder="1" applyAlignment="1" applyProtection="1">
      <alignment horizontal="right"/>
      <protection/>
    </xf>
    <xf numFmtId="0" fontId="83" fillId="18" borderId="23" xfId="0" applyFont="1" applyFill="1" applyBorder="1" applyAlignment="1" applyProtection="1">
      <alignment horizontal="centerContinuous" vertical="center" wrapText="1"/>
      <protection/>
    </xf>
    <xf numFmtId="0" fontId="83" fillId="18" borderId="24" xfId="0" applyFont="1" applyFill="1" applyBorder="1" applyAlignment="1">
      <alignment horizontal="centerContinuous" vertical="center"/>
    </xf>
    <xf numFmtId="0" fontId="85" fillId="18" borderId="44" xfId="0" applyFont="1" applyFill="1" applyBorder="1" applyAlignment="1">
      <alignment horizontal="center"/>
    </xf>
    <xf numFmtId="0" fontId="85" fillId="18" borderId="46" xfId="0" applyFont="1" applyFill="1" applyBorder="1" applyAlignment="1">
      <alignment horizontal="left"/>
    </xf>
    <xf numFmtId="176" fontId="84" fillId="18" borderId="16" xfId="0" applyNumberFormat="1" applyFont="1" applyFill="1" applyBorder="1" applyAlignment="1" applyProtection="1" quotePrefix="1">
      <alignment horizontal="center"/>
      <protection/>
    </xf>
    <xf numFmtId="176" fontId="84" fillId="18" borderId="10" xfId="0" applyNumberFormat="1" applyFont="1" applyFill="1" applyBorder="1" applyAlignment="1" applyProtection="1" quotePrefix="1">
      <alignment horizontal="center"/>
      <protection/>
    </xf>
    <xf numFmtId="176" fontId="85" fillId="18" borderId="48" xfId="0" applyNumberFormat="1" applyFont="1" applyFill="1" applyBorder="1" applyAlignment="1" applyProtection="1" quotePrefix="1">
      <alignment horizontal="center"/>
      <protection/>
    </xf>
    <xf numFmtId="176" fontId="85" fillId="18" borderId="41" xfId="0" applyNumberFormat="1" applyFont="1" applyFill="1" applyBorder="1" applyAlignment="1" applyProtection="1" quotePrefix="1">
      <alignment horizontal="center"/>
      <protection/>
    </xf>
    <xf numFmtId="0" fontId="83" fillId="19" borderId="17" xfId="0" applyFont="1" applyFill="1" applyBorder="1" applyAlignment="1">
      <alignment horizontal="center" vertical="center" wrapText="1"/>
    </xf>
    <xf numFmtId="2" fontId="84" fillId="19" borderId="1" xfId="0" applyNumberFormat="1" applyFont="1" applyFill="1" applyBorder="1" applyAlignment="1">
      <alignment horizontal="center"/>
    </xf>
    <xf numFmtId="2" fontId="85" fillId="19" borderId="6" xfId="0" applyNumberFormat="1" applyFont="1" applyFill="1" applyBorder="1" applyAlignment="1">
      <alignment horizontal="center"/>
    </xf>
    <xf numFmtId="0" fontId="83" fillId="4" borderId="17" xfId="0" applyFont="1" applyFill="1" applyBorder="1" applyAlignment="1">
      <alignment horizontal="centerContinuous" vertical="center" wrapText="1"/>
    </xf>
    <xf numFmtId="0" fontId="62" fillId="3" borderId="42" xfId="0" applyFont="1" applyFill="1" applyBorder="1" applyAlignment="1">
      <alignment horizontal="center"/>
    </xf>
    <xf numFmtId="0" fontId="85" fillId="19" borderId="42" xfId="0" applyFont="1" applyFill="1" applyBorder="1" applyAlignment="1">
      <alignment horizontal="center"/>
    </xf>
    <xf numFmtId="0" fontId="85" fillId="4" borderId="42" xfId="0" applyFont="1" applyFill="1" applyBorder="1" applyAlignment="1">
      <alignment horizontal="left"/>
    </xf>
    <xf numFmtId="0" fontId="101" fillId="0" borderId="0" xfId="0" applyFont="1" applyBorder="1" applyAlignment="1" quotePrefix="1">
      <alignment horizontal="left"/>
    </xf>
    <xf numFmtId="0" fontId="29" fillId="0" borderId="22" xfId="0" applyFont="1" applyFill="1" applyBorder="1" applyAlignment="1">
      <alignment/>
    </xf>
    <xf numFmtId="181" fontId="29" fillId="0" borderId="0" xfId="0" applyNumberFormat="1" applyFont="1" applyBorder="1" applyAlignment="1">
      <alignment/>
    </xf>
    <xf numFmtId="2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 quotePrefix="1">
      <alignment horizontal="center"/>
      <protection/>
    </xf>
    <xf numFmtId="0" fontId="29" fillId="0" borderId="0" xfId="0" applyFont="1" applyAlignment="1" quotePrefix="1">
      <alignment/>
    </xf>
    <xf numFmtId="181" fontId="29" fillId="0" borderId="0" xfId="0" applyNumberFormat="1" applyFont="1" applyBorder="1" applyAlignment="1" applyProtection="1">
      <alignment horizontal="centerContinuous"/>
      <protection/>
    </xf>
    <xf numFmtId="176" fontId="108" fillId="4" borderId="56" xfId="0" applyNumberFormat="1" applyFont="1" applyFill="1" applyBorder="1" applyAlignment="1" applyProtection="1" quotePrefix="1">
      <alignment horizontal="center"/>
      <protection/>
    </xf>
    <xf numFmtId="181" fontId="53" fillId="0" borderId="0" xfId="0" applyNumberFormat="1" applyFont="1" applyBorder="1" applyAlignment="1" applyProtection="1">
      <alignment horizontal="centerContinuous"/>
      <protection/>
    </xf>
    <xf numFmtId="7" fontId="53" fillId="0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6" fontId="53" fillId="0" borderId="0" xfId="0" applyNumberFormat="1" applyFont="1" applyBorder="1" applyAlignment="1" applyProtection="1" quotePrefix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left"/>
      <protection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left" vertical="center"/>
      <protection/>
    </xf>
    <xf numFmtId="0" fontId="64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73" fontId="14" fillId="0" borderId="0" xfId="0" applyNumberFormat="1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center"/>
    </xf>
    <xf numFmtId="4" fontId="13" fillId="0" borderId="23" xfId="0" applyNumberFormat="1" applyFont="1" applyBorder="1" applyAlignment="1" applyProtection="1">
      <alignment horizontal="center" vertical="center"/>
      <protection/>
    </xf>
    <xf numFmtId="7" fontId="102" fillId="0" borderId="24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 quotePrefix="1">
      <alignment horizontal="center" vertical="center"/>
      <protection/>
    </xf>
    <xf numFmtId="2" fontId="103" fillId="0" borderId="0" xfId="0" applyNumberFormat="1" applyFont="1" applyBorder="1" applyAlignment="1" applyProtection="1">
      <alignment horizontal="center" vertical="center"/>
      <protection/>
    </xf>
    <xf numFmtId="176" fontId="104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22" xfId="0" applyNumberFormat="1" applyFont="1" applyFill="1" applyBorder="1" applyAlignment="1">
      <alignment horizontal="center" vertical="center"/>
    </xf>
    <xf numFmtId="180" fontId="82" fillId="10" borderId="1" xfId="0" applyNumberFormat="1" applyFont="1" applyFill="1" applyBorder="1" applyAlignment="1" applyProtection="1">
      <alignment horizontal="center"/>
      <protection/>
    </xf>
    <xf numFmtId="180" fontId="82" fillId="10" borderId="6" xfId="0" applyNumberFormat="1" applyFont="1" applyFill="1" applyBorder="1" applyAlignment="1" applyProtection="1">
      <alignment horizontal="center"/>
      <protection/>
    </xf>
    <xf numFmtId="180" fontId="62" fillId="3" borderId="1" xfId="0" applyNumberFormat="1" applyFont="1" applyFill="1" applyBorder="1" applyAlignment="1" applyProtection="1">
      <alignment horizontal="center"/>
      <protection/>
    </xf>
    <xf numFmtId="180" fontId="16" fillId="0" borderId="23" xfId="0" applyNumberFormat="1" applyFont="1" applyBorder="1" applyAlignment="1">
      <alignment horizontal="centerContinuous"/>
    </xf>
    <xf numFmtId="180" fontId="29" fillId="0" borderId="0" xfId="0" applyNumberFormat="1" applyFont="1" applyBorder="1" applyAlignment="1">
      <alignment horizontal="center"/>
    </xf>
    <xf numFmtId="7" fontId="16" fillId="0" borderId="38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05" fillId="0" borderId="0" xfId="0" applyFont="1" applyAlignment="1">
      <alignment horizontal="right" vertical="top"/>
    </xf>
    <xf numFmtId="0" fontId="106" fillId="0" borderId="0" xfId="0" applyFont="1" applyFill="1" applyAlignment="1">
      <alignment/>
    </xf>
    <xf numFmtId="0" fontId="107" fillId="0" borderId="0" xfId="0" applyFont="1" applyAlignment="1">
      <alignment horizontal="centerContinuous"/>
    </xf>
    <xf numFmtId="0" fontId="106" fillId="0" borderId="0" xfId="0" applyFont="1" applyAlignment="1">
      <alignment horizontal="centerContinuous"/>
    </xf>
    <xf numFmtId="0" fontId="106" fillId="0" borderId="0" xfId="0" applyFont="1" applyAlignment="1">
      <alignment/>
    </xf>
    <xf numFmtId="176" fontId="12" fillId="0" borderId="23" xfId="0" applyNumberFormat="1" applyFont="1" applyBorder="1" applyAlignment="1" applyProtection="1">
      <alignment horizontal="center"/>
      <protection/>
    </xf>
    <xf numFmtId="181" fontId="29" fillId="0" borderId="24" xfId="0" applyNumberFormat="1" applyFont="1" applyBorder="1" applyAlignment="1" applyProtection="1">
      <alignment horizontal="centerContinuous"/>
      <protection/>
    </xf>
    <xf numFmtId="0" fontId="84" fillId="11" borderId="42" xfId="0" applyFont="1" applyFill="1" applyBorder="1" applyAlignment="1">
      <alignment horizontal="center"/>
    </xf>
    <xf numFmtId="0" fontId="94" fillId="15" borderId="42" xfId="0" applyFont="1" applyFill="1" applyBorder="1" applyAlignment="1">
      <alignment horizontal="center"/>
    </xf>
    <xf numFmtId="176" fontId="108" fillId="4" borderId="44" xfId="0" applyNumberFormat="1" applyFont="1" applyFill="1" applyBorder="1" applyAlignment="1" applyProtection="1" quotePrefix="1">
      <alignment horizontal="center"/>
      <protection/>
    </xf>
    <xf numFmtId="4" fontId="108" fillId="4" borderId="57" xfId="0" applyNumberFormat="1" applyFont="1" applyFill="1" applyBorder="1" applyAlignment="1" applyProtection="1">
      <alignment horizontal="center"/>
      <protection/>
    </xf>
    <xf numFmtId="176" fontId="84" fillId="16" borderId="44" xfId="0" applyNumberFormat="1" applyFont="1" applyFill="1" applyBorder="1" applyAlignment="1" applyProtection="1" quotePrefix="1">
      <alignment horizontal="center"/>
      <protection/>
    </xf>
    <xf numFmtId="176" fontId="84" fillId="16" borderId="56" xfId="0" applyNumberFormat="1" applyFont="1" applyFill="1" applyBorder="1" applyAlignment="1" applyProtection="1" quotePrefix="1">
      <alignment horizontal="center"/>
      <protection/>
    </xf>
    <xf numFmtId="4" fontId="84" fillId="16" borderId="57" xfId="0" applyNumberFormat="1" applyFont="1" applyFill="1" applyBorder="1" applyAlignment="1" applyProtection="1">
      <alignment horizontal="center"/>
      <protection/>
    </xf>
    <xf numFmtId="4" fontId="84" fillId="7" borderId="42" xfId="0" applyNumberFormat="1" applyFont="1" applyFill="1" applyBorder="1" applyAlignment="1" applyProtection="1">
      <alignment horizontal="center"/>
      <protection/>
    </xf>
    <xf numFmtId="4" fontId="84" fillId="17" borderId="42" xfId="0" applyNumberFormat="1" applyFont="1" applyFill="1" applyBorder="1" applyAlignment="1" applyProtection="1">
      <alignment horizontal="center"/>
      <protection/>
    </xf>
    <xf numFmtId="0" fontId="4" fillId="0" borderId="57" xfId="0" applyFont="1" applyBorder="1" applyAlignment="1">
      <alignment horizontal="left"/>
    </xf>
    <xf numFmtId="0" fontId="16" fillId="0" borderId="57" xfId="0" applyFont="1" applyBorder="1" applyAlignment="1">
      <alignment horizontal="center"/>
    </xf>
    <xf numFmtId="4" fontId="4" fillId="0" borderId="1" xfId="0" applyNumberFormat="1" applyFont="1" applyFill="1" applyBorder="1" applyAlignment="1" applyProtection="1" quotePrefix="1">
      <alignment horizontal="center"/>
      <protection/>
    </xf>
    <xf numFmtId="2" fontId="84" fillId="11" borderId="1" xfId="0" applyNumberFormat="1" applyFont="1" applyFill="1" applyBorder="1" applyAlignment="1" applyProtection="1">
      <alignment horizontal="center"/>
      <protection/>
    </xf>
    <xf numFmtId="2" fontId="94" fillId="15" borderId="1" xfId="0" applyNumberFormat="1" applyFont="1" applyFill="1" applyBorder="1" applyAlignment="1" applyProtection="1">
      <alignment horizontal="center"/>
      <protection/>
    </xf>
    <xf numFmtId="176" fontId="108" fillId="4" borderId="13" xfId="0" applyNumberFormat="1" applyFont="1" applyFill="1" applyBorder="1" applyAlignment="1" applyProtection="1" quotePrefix="1">
      <alignment horizontal="center"/>
      <protection/>
    </xf>
    <xf numFmtId="176" fontId="108" fillId="4" borderId="43" xfId="0" applyNumberFormat="1" applyFont="1" applyFill="1" applyBorder="1" applyAlignment="1" applyProtection="1" quotePrefix="1">
      <alignment horizontal="center"/>
      <protection/>
    </xf>
    <xf numFmtId="4" fontId="108" fillId="4" borderId="2" xfId="0" applyNumberFormat="1" applyFont="1" applyFill="1" applyBorder="1" applyAlignment="1" applyProtection="1">
      <alignment horizontal="center"/>
      <protection/>
    </xf>
    <xf numFmtId="176" fontId="84" fillId="16" borderId="13" xfId="0" applyNumberFormat="1" applyFont="1" applyFill="1" applyBorder="1" applyAlignment="1" applyProtection="1" quotePrefix="1">
      <alignment horizontal="center"/>
      <protection/>
    </xf>
    <xf numFmtId="176" fontId="84" fillId="16" borderId="43" xfId="0" applyNumberFormat="1" applyFont="1" applyFill="1" applyBorder="1" applyAlignment="1" applyProtection="1" quotePrefix="1">
      <alignment horizontal="center"/>
      <protection/>
    </xf>
    <xf numFmtId="4" fontId="84" fillId="16" borderId="2" xfId="0" applyNumberFormat="1" applyFont="1" applyFill="1" applyBorder="1" applyAlignment="1" applyProtection="1">
      <alignment horizontal="center"/>
      <protection/>
    </xf>
    <xf numFmtId="4" fontId="84" fillId="7" borderId="1" xfId="0" applyNumberFormat="1" applyFont="1" applyFill="1" applyBorder="1" applyAlignment="1" applyProtection="1">
      <alignment horizontal="center"/>
      <protection/>
    </xf>
    <xf numFmtId="4" fontId="84" fillId="17" borderId="1" xfId="0" applyNumberFormat="1" applyFont="1" applyFill="1" applyBorder="1" applyAlignment="1" applyProtection="1">
      <alignment horizontal="center"/>
      <protection/>
    </xf>
    <xf numFmtId="2" fontId="84" fillId="11" borderId="6" xfId="0" applyNumberFormat="1" applyFont="1" applyFill="1" applyBorder="1" applyAlignment="1" applyProtection="1">
      <alignment horizontal="center"/>
      <protection/>
    </xf>
    <xf numFmtId="2" fontId="94" fillId="15" borderId="6" xfId="0" applyNumberFormat="1" applyFont="1" applyFill="1" applyBorder="1" applyAlignment="1" applyProtection="1">
      <alignment horizontal="center"/>
      <protection/>
    </xf>
    <xf numFmtId="176" fontId="108" fillId="4" borderId="52" xfId="0" applyNumberFormat="1" applyFont="1" applyFill="1" applyBorder="1" applyAlignment="1" applyProtection="1" quotePrefix="1">
      <alignment horizontal="center"/>
      <protection/>
    </xf>
    <xf numFmtId="176" fontId="108" fillId="4" borderId="58" xfId="0" applyNumberFormat="1" applyFont="1" applyFill="1" applyBorder="1" applyAlignment="1" applyProtection="1" quotePrefix="1">
      <alignment horizontal="center"/>
      <protection/>
    </xf>
    <xf numFmtId="4" fontId="108" fillId="4" borderId="11" xfId="0" applyNumberFormat="1" applyFont="1" applyFill="1" applyBorder="1" applyAlignment="1" applyProtection="1">
      <alignment horizontal="center"/>
      <protection/>
    </xf>
    <xf numFmtId="176" fontId="84" fillId="16" borderId="52" xfId="0" applyNumberFormat="1" applyFont="1" applyFill="1" applyBorder="1" applyAlignment="1" applyProtection="1" quotePrefix="1">
      <alignment horizontal="center"/>
      <protection/>
    </xf>
    <xf numFmtId="176" fontId="84" fillId="16" borderId="58" xfId="0" applyNumberFormat="1" applyFont="1" applyFill="1" applyBorder="1" applyAlignment="1" applyProtection="1" quotePrefix="1">
      <alignment horizontal="center"/>
      <protection/>
    </xf>
    <xf numFmtId="4" fontId="84" fillId="16" borderId="11" xfId="0" applyNumberFormat="1" applyFont="1" applyFill="1" applyBorder="1" applyAlignment="1" applyProtection="1">
      <alignment horizontal="center"/>
      <protection/>
    </xf>
    <xf numFmtId="4" fontId="84" fillId="7" borderId="6" xfId="0" applyNumberFormat="1" applyFont="1" applyFill="1" applyBorder="1" applyAlignment="1" applyProtection="1">
      <alignment horizontal="center"/>
      <protection/>
    </xf>
    <xf numFmtId="4" fontId="84" fillId="17" borderId="6" xfId="0" applyNumberFormat="1" applyFont="1" applyFill="1" applyBorder="1" applyAlignment="1" applyProtection="1">
      <alignment horizontal="center"/>
      <protection/>
    </xf>
    <xf numFmtId="176" fontId="35" fillId="0" borderId="6" xfId="0" applyNumberFormat="1" applyFont="1" applyFill="1" applyBorder="1" applyAlignment="1">
      <alignment horizontal="center"/>
    </xf>
    <xf numFmtId="7" fontId="16" fillId="0" borderId="17" xfId="0" applyNumberFormat="1" applyFont="1" applyBorder="1" applyAlignment="1" applyProtection="1">
      <alignment horizontal="right"/>
      <protection/>
    </xf>
    <xf numFmtId="2" fontId="96" fillId="0" borderId="29" xfId="0" applyNumberFormat="1" applyFont="1" applyFill="1" applyBorder="1" applyAlignment="1" applyProtection="1">
      <alignment horizontal="center"/>
      <protection/>
    </xf>
    <xf numFmtId="2" fontId="21" fillId="0" borderId="29" xfId="0" applyNumberFormat="1" applyFont="1" applyFill="1" applyBorder="1" applyAlignment="1" applyProtection="1">
      <alignment horizontal="center"/>
      <protection/>
    </xf>
    <xf numFmtId="2" fontId="99" fillId="0" borderId="29" xfId="0" applyNumberFormat="1" applyFont="1" applyFill="1" applyBorder="1" applyAlignment="1" applyProtection="1">
      <alignment horizontal="center"/>
      <protection/>
    </xf>
    <xf numFmtId="0" fontId="61" fillId="20" borderId="17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Continuous" vertical="center"/>
      <protection/>
    </xf>
    <xf numFmtId="0" fontId="33" fillId="0" borderId="29" xfId="0" applyFont="1" applyFill="1" applyBorder="1" applyAlignment="1" applyProtection="1">
      <alignment horizontal="centerContinuous" vertical="center"/>
      <protection/>
    </xf>
    <xf numFmtId="0" fontId="83" fillId="20" borderId="59" xfId="0" applyFont="1" applyFill="1" applyBorder="1" applyAlignment="1">
      <alignment vertical="center" wrapText="1"/>
    </xf>
    <xf numFmtId="0" fontId="83" fillId="20" borderId="36" xfId="0" applyFont="1" applyFill="1" applyBorder="1" applyAlignment="1">
      <alignment vertical="center" wrapText="1"/>
    </xf>
    <xf numFmtId="0" fontId="83" fillId="20" borderId="38" xfId="0" applyFont="1" applyFill="1" applyBorder="1" applyAlignment="1">
      <alignment vertical="center" wrapText="1"/>
    </xf>
    <xf numFmtId="0" fontId="65" fillId="2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85" fillId="20" borderId="35" xfId="0" applyFont="1" applyFill="1" applyBorder="1" applyAlignment="1">
      <alignment horizontal="left"/>
    </xf>
    <xf numFmtId="0" fontId="85" fillId="20" borderId="0" xfId="0" applyFont="1" applyFill="1" applyBorder="1" applyAlignment="1">
      <alignment horizontal="left"/>
    </xf>
    <xf numFmtId="0" fontId="85" fillId="20" borderId="34" xfId="0" applyFont="1" applyFill="1" applyBorder="1" applyAlignment="1">
      <alignment horizontal="left"/>
    </xf>
    <xf numFmtId="176" fontId="65" fillId="20" borderId="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Continuous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176" fontId="84" fillId="20" borderId="35" xfId="0" applyNumberFormat="1" applyFont="1" applyFill="1" applyBorder="1" applyAlignment="1" applyProtection="1" quotePrefix="1">
      <alignment horizontal="center"/>
      <protection/>
    </xf>
    <xf numFmtId="176" fontId="84" fillId="20" borderId="0" xfId="0" applyNumberFormat="1" applyFont="1" applyFill="1" applyBorder="1" applyAlignment="1" applyProtection="1" quotePrefix="1">
      <alignment horizontal="center"/>
      <protection/>
    </xf>
    <xf numFmtId="176" fontId="84" fillId="20" borderId="34" xfId="0" applyNumberFormat="1" applyFont="1" applyFill="1" applyBorder="1" applyAlignment="1" applyProtection="1" quotePrefix="1">
      <alignment horizontal="center"/>
      <protection/>
    </xf>
    <xf numFmtId="176" fontId="65" fillId="20" borderId="6" xfId="0" applyNumberFormat="1" applyFont="1" applyFill="1" applyBorder="1" applyAlignment="1" applyProtection="1">
      <alignment horizontal="center"/>
      <protection/>
    </xf>
    <xf numFmtId="176" fontId="4" fillId="0" borderId="60" xfId="0" applyNumberFormat="1" applyFont="1" applyBorder="1" applyAlignment="1" applyProtection="1">
      <alignment horizontal="centerContinuous"/>
      <protection/>
    </xf>
    <xf numFmtId="176" fontId="4" fillId="0" borderId="11" xfId="0" applyNumberFormat="1" applyFont="1" applyBorder="1" applyAlignment="1" applyProtection="1">
      <alignment horizontal="centerContinuous"/>
      <protection/>
    </xf>
    <xf numFmtId="176" fontId="85" fillId="20" borderId="60" xfId="0" applyNumberFormat="1" applyFont="1" applyFill="1" applyBorder="1" applyAlignment="1" applyProtection="1" quotePrefix="1">
      <alignment horizontal="center"/>
      <protection/>
    </xf>
    <xf numFmtId="176" fontId="85" fillId="20" borderId="28" xfId="0" applyNumberFormat="1" applyFont="1" applyFill="1" applyBorder="1" applyAlignment="1" applyProtection="1" quotePrefix="1">
      <alignment horizontal="center"/>
      <protection/>
    </xf>
    <xf numFmtId="176" fontId="85" fillId="20" borderId="11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4" fontId="18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centerContinuous"/>
    </xf>
    <xf numFmtId="176" fontId="2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78" fontId="29" fillId="0" borderId="0" xfId="0" applyNumberFormat="1" applyFont="1" applyBorder="1" applyAlignment="1" applyProtection="1">
      <alignment horizontal="center"/>
      <protection/>
    </xf>
    <xf numFmtId="7" fontId="29" fillId="0" borderId="3" xfId="0" applyNumberFormat="1" applyFont="1" applyBorder="1" applyAlignment="1">
      <alignment horizontal="centerContinuous"/>
    </xf>
    <xf numFmtId="0" fontId="25" fillId="0" borderId="0" xfId="0" applyFont="1" applyFill="1" applyBorder="1" applyAlignment="1" applyProtection="1">
      <alignment horizontal="center"/>
      <protection/>
    </xf>
    <xf numFmtId="0" fontId="16" fillId="0" borderId="61" xfId="0" applyFont="1" applyBorder="1" applyAlignment="1">
      <alignment horizontal="centerContinuous"/>
    </xf>
    <xf numFmtId="0" fontId="16" fillId="0" borderId="62" xfId="0" applyFont="1" applyBorder="1" applyAlignment="1">
      <alignment horizontal="centerContinuous"/>
    </xf>
    <xf numFmtId="180" fontId="16" fillId="0" borderId="63" xfId="0" applyNumberFormat="1" applyFont="1" applyBorder="1" applyAlignment="1">
      <alignment horizontal="center"/>
    </xf>
    <xf numFmtId="0" fontId="16" fillId="0" borderId="64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180" fontId="16" fillId="0" borderId="66" xfId="0" applyNumberFormat="1" applyFont="1" applyFill="1" applyBorder="1" applyAlignment="1">
      <alignment horizontal="center"/>
    </xf>
    <xf numFmtId="0" fontId="16" fillId="0" borderId="67" xfId="0" applyFont="1" applyBorder="1" applyAlignment="1">
      <alignment horizontal="centerContinuous"/>
    </xf>
    <xf numFmtId="0" fontId="16" fillId="0" borderId="68" xfId="0" applyFont="1" applyBorder="1" applyAlignment="1">
      <alignment horizontal="centerContinuous"/>
    </xf>
    <xf numFmtId="172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9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left"/>
      <protection/>
    </xf>
    <xf numFmtId="1" fontId="0" fillId="0" borderId="69" xfId="0" applyNumberFormat="1" applyBorder="1" applyAlignment="1">
      <alignment horizontal="center"/>
    </xf>
    <xf numFmtId="1" fontId="16" fillId="0" borderId="63" xfId="0" applyNumberFormat="1" applyFont="1" applyBorder="1" applyAlignment="1">
      <alignment horizontal="center"/>
    </xf>
    <xf numFmtId="1" fontId="16" fillId="0" borderId="66" xfId="0" applyNumberFormat="1" applyFont="1" applyFill="1" applyBorder="1" applyAlignment="1">
      <alignment horizontal="center"/>
    </xf>
    <xf numFmtId="181" fontId="12" fillId="0" borderId="24" xfId="0" applyNumberFormat="1" applyFont="1" applyBorder="1" applyAlignment="1" applyProtection="1">
      <alignment horizontal="centerContinuous"/>
      <protection/>
    </xf>
    <xf numFmtId="2" fontId="96" fillId="0" borderId="28" xfId="0" applyNumberFormat="1" applyFont="1" applyFill="1" applyBorder="1" applyAlignment="1" applyProtection="1">
      <alignment horizontal="center"/>
      <protection/>
    </xf>
    <xf numFmtId="2" fontId="21" fillId="0" borderId="28" xfId="0" applyNumberFormat="1" applyFont="1" applyFill="1" applyBorder="1" applyAlignment="1" applyProtection="1">
      <alignment horizontal="center"/>
      <protection/>
    </xf>
    <xf numFmtId="2" fontId="99" fillId="0" borderId="28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6" xfId="0" applyNumberFormat="1" applyFont="1" applyBorder="1" applyAlignment="1" applyProtection="1">
      <alignment horizontal="centerContinuous"/>
      <protection/>
    </xf>
    <xf numFmtId="0" fontId="6" fillId="0" borderId="57" xfId="0" applyFont="1" applyBorder="1" applyAlignment="1" applyProtection="1">
      <alignment horizontal="center"/>
      <protection/>
    </xf>
    <xf numFmtId="0" fontId="4" fillId="0" borderId="39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172" fontId="5" fillId="0" borderId="39" xfId="0" applyNumberFormat="1" applyFont="1" applyBorder="1" applyAlignment="1" applyProtection="1" quotePrefix="1">
      <alignment horizontal="center"/>
      <protection/>
    </xf>
    <xf numFmtId="176" fontId="62" fillId="3" borderId="39" xfId="0" applyNumberFormat="1" applyFont="1" applyFill="1" applyBorder="1" applyAlignment="1" applyProtection="1">
      <alignment horizontal="center"/>
      <protection/>
    </xf>
    <xf numFmtId="22" fontId="4" fillId="0" borderId="48" xfId="0" applyNumberFormat="1" applyFont="1" applyBorder="1" applyAlignment="1">
      <alignment horizontal="center"/>
    </xf>
    <xf numFmtId="22" fontId="4" fillId="0" borderId="39" xfId="0" applyNumberFormat="1" applyFont="1" applyBorder="1" applyAlignment="1" applyProtection="1">
      <alignment horizontal="center"/>
      <protection/>
    </xf>
    <xf numFmtId="2" fontId="4" fillId="0" borderId="39" xfId="0" applyNumberFormat="1" applyFont="1" applyFill="1" applyBorder="1" applyAlignment="1" applyProtection="1" quotePrefix="1">
      <alignment horizontal="center"/>
      <protection/>
    </xf>
    <xf numFmtId="172" fontId="4" fillId="0" borderId="39" xfId="0" applyNumberFormat="1" applyFont="1" applyFill="1" applyBorder="1" applyAlignment="1" applyProtection="1" quotePrefix="1">
      <alignment horizontal="center"/>
      <protection/>
    </xf>
    <xf numFmtId="176" fontId="4" fillId="0" borderId="71" xfId="0" applyNumberFormat="1" applyFont="1" applyBorder="1" applyAlignment="1" applyProtection="1">
      <alignment horizontal="center"/>
      <protection/>
    </xf>
    <xf numFmtId="176" fontId="4" fillId="0" borderId="70" xfId="0" applyNumberFormat="1" applyFont="1" applyBorder="1" applyAlignment="1" applyProtection="1">
      <alignment horizontal="center"/>
      <protection/>
    </xf>
    <xf numFmtId="172" fontId="85" fillId="10" borderId="39" xfId="0" applyNumberFormat="1" applyFont="1" applyFill="1" applyBorder="1" applyAlignment="1" applyProtection="1">
      <alignment horizontal="center"/>
      <protection/>
    </xf>
    <xf numFmtId="2" fontId="91" fillId="12" borderId="39" xfId="0" applyNumberFormat="1" applyFont="1" applyFill="1" applyBorder="1" applyAlignment="1">
      <alignment horizontal="center"/>
    </xf>
    <xf numFmtId="176" fontId="56" fillId="5" borderId="48" xfId="0" applyNumberFormat="1" applyFont="1" applyFill="1" applyBorder="1" applyAlignment="1" applyProtection="1" quotePrefix="1">
      <alignment horizontal="center"/>
      <protection/>
    </xf>
    <xf numFmtId="176" fontId="56" fillId="5" borderId="41" xfId="0" applyNumberFormat="1" applyFont="1" applyFill="1" applyBorder="1" applyAlignment="1" applyProtection="1" quotePrefix="1">
      <alignment horizontal="center"/>
      <protection/>
    </xf>
    <xf numFmtId="176" fontId="84" fillId="4" borderId="39" xfId="0" applyNumberFormat="1" applyFont="1" applyFill="1" applyBorder="1" applyAlignment="1" applyProtection="1" quotePrefix="1">
      <alignment horizontal="center"/>
      <protection/>
    </xf>
    <xf numFmtId="176" fontId="4" fillId="0" borderId="39" xfId="0" applyNumberFormat="1" applyFont="1" applyBorder="1" applyAlignment="1">
      <alignment horizontal="center"/>
    </xf>
    <xf numFmtId="4" fontId="18" fillId="0" borderId="39" xfId="0" applyNumberFormat="1" applyFont="1" applyFill="1" applyBorder="1" applyAlignment="1">
      <alignment horizontal="right"/>
    </xf>
    <xf numFmtId="0" fontId="105" fillId="0" borderId="0" xfId="0" applyFont="1" applyAlignment="1">
      <alignment horizontal="right" vertical="top"/>
    </xf>
    <xf numFmtId="0" fontId="105" fillId="0" borderId="0" xfId="0" applyFont="1" applyFill="1" applyAlignment="1">
      <alignment horizontal="right" vertical="top"/>
    </xf>
    <xf numFmtId="172" fontId="1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4" xfId="0" applyNumberFormat="1" applyFont="1" applyFill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left" vertical="center"/>
      <protection/>
    </xf>
    <xf numFmtId="18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80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80" fontId="16" fillId="0" borderId="72" xfId="0" applyNumberFormat="1" applyFont="1" applyBorder="1" applyAlignment="1">
      <alignment horizontal="center"/>
    </xf>
    <xf numFmtId="1" fontId="16" fillId="0" borderId="72" xfId="0" applyNumberFormat="1" applyFont="1" applyBorder="1" applyAlignment="1">
      <alignment horizontal="center"/>
    </xf>
    <xf numFmtId="0" fontId="111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6" applyFont="1" applyFill="1" applyBorder="1" applyAlignment="1" applyProtection="1">
      <alignment horizontal="center"/>
      <protection locked="0"/>
    </xf>
    <xf numFmtId="172" fontId="4" fillId="0" borderId="1" xfId="26" applyNumberFormat="1" applyFont="1" applyFill="1" applyBorder="1" applyAlignment="1" applyProtection="1">
      <alignment horizontal="center"/>
      <protection locked="0"/>
    </xf>
    <xf numFmtId="173" fontId="4" fillId="0" borderId="1" xfId="26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72" fontId="5" fillId="0" borderId="6" xfId="0" applyNumberFormat="1" applyFont="1" applyBorder="1" applyAlignment="1" applyProtection="1">
      <alignment horizontal="center"/>
      <protection locked="0"/>
    </xf>
    <xf numFmtId="173" fontId="4" fillId="0" borderId="6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4" xfId="0" applyNumberFormat="1" applyFont="1" applyFill="1" applyBorder="1" applyAlignment="1" applyProtection="1">
      <alignment horizontal="center"/>
      <protection locked="0"/>
    </xf>
    <xf numFmtId="22" fontId="4" fillId="0" borderId="2" xfId="26" applyNumberFormat="1" applyFont="1" applyFill="1" applyBorder="1" applyAlignment="1" applyProtection="1">
      <alignment horizontal="center"/>
      <protection locked="0"/>
    </xf>
    <xf numFmtId="22" fontId="4" fillId="0" borderId="12" xfId="26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4" xfId="0" applyNumberFormat="1" applyFont="1" applyBorder="1" applyAlignment="1" applyProtection="1">
      <alignment horizontal="center"/>
      <protection locked="0"/>
    </xf>
    <xf numFmtId="22" fontId="4" fillId="0" borderId="12" xfId="0" applyNumberFormat="1" applyFont="1" applyBorder="1" applyAlignment="1" applyProtection="1">
      <alignment horizontal="center"/>
      <protection locked="0"/>
    </xf>
    <xf numFmtId="176" fontId="4" fillId="0" borderId="6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68" fillId="4" borderId="1" xfId="0" applyNumberFormat="1" applyFont="1" applyFill="1" applyBorder="1" applyAlignment="1" applyProtection="1">
      <alignment horizontal="center"/>
      <protection locked="0"/>
    </xf>
    <xf numFmtId="2" fontId="56" fillId="5" borderId="2" xfId="0" applyNumberFormat="1" applyFont="1" applyFill="1" applyBorder="1" applyAlignment="1" applyProtection="1">
      <alignment horizontal="center"/>
      <protection locked="0"/>
    </xf>
    <xf numFmtId="176" fontId="57" fillId="3" borderId="13" xfId="0" applyNumberFormat="1" applyFont="1" applyFill="1" applyBorder="1" applyAlignment="1" applyProtection="1" quotePrefix="1">
      <alignment horizontal="center"/>
      <protection locked="0"/>
    </xf>
    <xf numFmtId="176" fontId="57" fillId="3" borderId="43" xfId="0" applyNumberFormat="1" applyFont="1" applyFill="1" applyBorder="1" applyAlignment="1" applyProtection="1" quotePrefix="1">
      <alignment horizontal="center"/>
      <protection locked="0"/>
    </xf>
    <xf numFmtId="4" fontId="57" fillId="3" borderId="2" xfId="0" applyNumberFormat="1" applyFont="1" applyFill="1" applyBorder="1" applyAlignment="1" applyProtection="1">
      <alignment horizontal="center"/>
      <protection locked="0"/>
    </xf>
    <xf numFmtId="176" fontId="72" fillId="6" borderId="13" xfId="0" applyNumberFormat="1" applyFont="1" applyFill="1" applyBorder="1" applyAlignment="1" applyProtection="1" quotePrefix="1">
      <alignment horizontal="center"/>
      <protection locked="0"/>
    </xf>
    <xf numFmtId="176" fontId="72" fillId="6" borderId="43" xfId="0" applyNumberFormat="1" applyFont="1" applyFill="1" applyBorder="1" applyAlignment="1" applyProtection="1" quotePrefix="1">
      <alignment horizontal="center"/>
      <protection locked="0"/>
    </xf>
    <xf numFmtId="4" fontId="72" fillId="6" borderId="2" xfId="0" applyNumberFormat="1" applyFont="1" applyFill="1" applyBorder="1" applyAlignment="1" applyProtection="1">
      <alignment horizontal="center"/>
      <protection locked="0"/>
    </xf>
    <xf numFmtId="4" fontId="75" fillId="7" borderId="1" xfId="0" applyNumberFormat="1" applyFont="1" applyFill="1" applyBorder="1" applyAlignment="1" applyProtection="1">
      <alignment horizontal="center"/>
      <protection locked="0"/>
    </xf>
    <xf numFmtId="4" fontId="78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6" xfId="0" applyNumberFormat="1" applyFont="1" applyBorder="1" applyAlignment="1" applyProtection="1" quotePrefix="1">
      <alignment horizontal="center"/>
      <protection locked="0"/>
    </xf>
    <xf numFmtId="2" fontId="67" fillId="4" borderId="6" xfId="0" applyNumberFormat="1" applyFont="1" applyFill="1" applyBorder="1" applyAlignment="1" applyProtection="1">
      <alignment horizontal="center"/>
      <protection locked="0"/>
    </xf>
    <xf numFmtId="2" fontId="56" fillId="5" borderId="6" xfId="0" applyNumberFormat="1" applyFont="1" applyFill="1" applyBorder="1" applyAlignment="1" applyProtection="1">
      <alignment horizontal="center"/>
      <protection locked="0"/>
    </xf>
    <xf numFmtId="176" fontId="57" fillId="3" borderId="52" xfId="0" applyNumberFormat="1" applyFont="1" applyFill="1" applyBorder="1" applyAlignment="1" applyProtection="1" quotePrefix="1">
      <alignment horizontal="center"/>
      <protection locked="0"/>
    </xf>
    <xf numFmtId="176" fontId="57" fillId="3" borderId="73" xfId="0" applyNumberFormat="1" applyFont="1" applyFill="1" applyBorder="1" applyAlignment="1" applyProtection="1" quotePrefix="1">
      <alignment horizontal="center"/>
      <protection locked="0"/>
    </xf>
    <xf numFmtId="4" fontId="57" fillId="3" borderId="53" xfId="0" applyNumberFormat="1" applyFont="1" applyFill="1" applyBorder="1" applyAlignment="1" applyProtection="1">
      <alignment horizontal="center"/>
      <protection locked="0"/>
    </xf>
    <xf numFmtId="176" fontId="72" fillId="6" borderId="52" xfId="0" applyNumberFormat="1" applyFont="1" applyFill="1" applyBorder="1" applyAlignment="1" applyProtection="1" quotePrefix="1">
      <alignment horizontal="center"/>
      <protection locked="0"/>
    </xf>
    <xf numFmtId="176" fontId="72" fillId="6" borderId="73" xfId="0" applyNumberFormat="1" applyFont="1" applyFill="1" applyBorder="1" applyAlignment="1" applyProtection="1" quotePrefix="1">
      <alignment horizontal="center"/>
      <protection locked="0"/>
    </xf>
    <xf numFmtId="4" fontId="72" fillId="6" borderId="53" xfId="0" applyNumberFormat="1" applyFont="1" applyFill="1" applyBorder="1" applyAlignment="1" applyProtection="1">
      <alignment horizontal="center"/>
      <protection locked="0"/>
    </xf>
    <xf numFmtId="4" fontId="75" fillId="7" borderId="6" xfId="0" applyNumberFormat="1" applyFont="1" applyFill="1" applyBorder="1" applyAlignment="1" applyProtection="1">
      <alignment horizontal="center"/>
      <protection locked="0"/>
    </xf>
    <xf numFmtId="4" fontId="78" fillId="8" borderId="6" xfId="0" applyNumberFormat="1" applyFont="1" applyFill="1" applyBorder="1" applyAlignment="1" applyProtection="1">
      <alignment horizontal="center"/>
      <protection locked="0"/>
    </xf>
    <xf numFmtId="4" fontId="5" fillId="0" borderId="6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72" fontId="4" fillId="0" borderId="5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 quotePrefix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 quotePrefix="1">
      <alignment horizontal="center"/>
      <protection locked="0"/>
    </xf>
    <xf numFmtId="172" fontId="5" fillId="0" borderId="39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6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6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22" fontId="4" fillId="0" borderId="13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2" fontId="85" fillId="10" borderId="1" xfId="0" applyNumberFormat="1" applyFont="1" applyFill="1" applyBorder="1" applyAlignment="1" applyProtection="1">
      <alignment horizontal="center"/>
      <protection locked="0"/>
    </xf>
    <xf numFmtId="2" fontId="91" fillId="12" borderId="1" xfId="0" applyNumberFormat="1" applyFont="1" applyFill="1" applyBorder="1" applyAlignment="1" applyProtection="1">
      <alignment horizontal="center"/>
      <protection locked="0"/>
    </xf>
    <xf numFmtId="176" fontId="56" fillId="5" borderId="13" xfId="0" applyNumberFormat="1" applyFont="1" applyFill="1" applyBorder="1" applyAlignment="1" applyProtection="1" quotePrefix="1">
      <alignment horizontal="center"/>
      <protection locked="0"/>
    </xf>
    <xf numFmtId="176" fontId="56" fillId="5" borderId="55" xfId="0" applyNumberFormat="1" applyFont="1" applyFill="1" applyBorder="1" applyAlignment="1" applyProtection="1" quotePrefix="1">
      <alignment horizontal="center"/>
      <protection locked="0"/>
    </xf>
    <xf numFmtId="176" fontId="84" fillId="4" borderId="1" xfId="0" applyNumberFormat="1" applyFont="1" applyFill="1" applyBorder="1" applyAlignment="1" applyProtection="1" quotePrefix="1">
      <alignment horizontal="center"/>
      <protection locked="0"/>
    </xf>
    <xf numFmtId="172" fontId="85" fillId="10" borderId="6" xfId="0" applyNumberFormat="1" applyFont="1" applyFill="1" applyBorder="1" applyAlignment="1" applyProtection="1">
      <alignment horizontal="center"/>
      <protection locked="0"/>
    </xf>
    <xf numFmtId="2" fontId="91" fillId="12" borderId="6" xfId="0" applyNumberFormat="1" applyFont="1" applyFill="1" applyBorder="1" applyAlignment="1" applyProtection="1">
      <alignment horizontal="center"/>
      <protection locked="0"/>
    </xf>
    <xf numFmtId="176" fontId="56" fillId="5" borderId="52" xfId="0" applyNumberFormat="1" applyFont="1" applyFill="1" applyBorder="1" applyAlignment="1" applyProtection="1" quotePrefix="1">
      <alignment horizontal="center"/>
      <protection locked="0"/>
    </xf>
    <xf numFmtId="176" fontId="56" fillId="5" borderId="53" xfId="0" applyNumberFormat="1" applyFont="1" applyFill="1" applyBorder="1" applyAlignment="1" applyProtection="1" quotePrefix="1">
      <alignment horizontal="center"/>
      <protection locked="0"/>
    </xf>
    <xf numFmtId="176" fontId="84" fillId="4" borderId="6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172" fontId="62" fillId="3" borderId="3" xfId="0" applyNumberFormat="1" applyFont="1" applyFill="1" applyBorder="1" applyAlignment="1" applyProtection="1">
      <alignment horizontal="center"/>
      <protection locked="0"/>
    </xf>
    <xf numFmtId="2" fontId="94" fillId="7" borderId="1" xfId="0" applyNumberFormat="1" applyFont="1" applyFill="1" applyBorder="1" applyAlignment="1" applyProtection="1">
      <alignment horizontal="center"/>
      <protection locked="0"/>
    </xf>
    <xf numFmtId="176" fontId="68" fillId="14" borderId="16" xfId="0" applyNumberFormat="1" applyFont="1" applyFill="1" applyBorder="1" applyAlignment="1" applyProtection="1" quotePrefix="1">
      <alignment horizontal="center"/>
      <protection locked="0"/>
    </xf>
    <xf numFmtId="176" fontId="68" fillId="14" borderId="10" xfId="0" applyNumberFormat="1" applyFont="1" applyFill="1" applyBorder="1" applyAlignment="1" applyProtection="1" quotePrefix="1">
      <alignment horizontal="center"/>
      <protection locked="0"/>
    </xf>
    <xf numFmtId="176" fontId="72" fillId="5" borderId="5" xfId="0" applyNumberFormat="1" applyFont="1" applyFill="1" applyBorder="1" applyAlignment="1" applyProtection="1" quotePrefix="1">
      <alignment horizontal="center"/>
      <protection locked="0"/>
    </xf>
    <xf numFmtId="172" fontId="62" fillId="3" borderId="28" xfId="0" applyNumberFormat="1" applyFont="1" applyFill="1" applyBorder="1" applyAlignment="1" applyProtection="1">
      <alignment horizontal="center"/>
      <protection locked="0"/>
    </xf>
    <xf numFmtId="2" fontId="94" fillId="7" borderId="6" xfId="0" applyNumberFormat="1" applyFont="1" applyFill="1" applyBorder="1" applyAlignment="1" applyProtection="1">
      <alignment horizontal="center"/>
      <protection locked="0"/>
    </xf>
    <xf numFmtId="176" fontId="68" fillId="14" borderId="48" xfId="0" applyNumberFormat="1" applyFont="1" applyFill="1" applyBorder="1" applyAlignment="1" applyProtection="1" quotePrefix="1">
      <alignment horizontal="center"/>
      <protection locked="0"/>
    </xf>
    <xf numFmtId="176" fontId="68" fillId="14" borderId="41" xfId="0" applyNumberFormat="1" applyFont="1" applyFill="1" applyBorder="1" applyAlignment="1" applyProtection="1" quotePrefix="1">
      <alignment horizontal="center"/>
      <protection locked="0"/>
    </xf>
    <xf numFmtId="176" fontId="72" fillId="5" borderId="6" xfId="0" applyNumberFormat="1" applyFont="1" applyFill="1" applyBorder="1" applyAlignment="1" applyProtection="1" quotePrefix="1">
      <alignment horizontal="center"/>
      <protection locked="0"/>
    </xf>
    <xf numFmtId="1" fontId="29" fillId="0" borderId="0" xfId="0" applyNumberFormat="1" applyFont="1" applyBorder="1" applyAlignment="1" applyProtection="1">
      <alignment horizontal="left"/>
      <protection/>
    </xf>
    <xf numFmtId="7" fontId="21" fillId="0" borderId="1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112" fillId="0" borderId="0" xfId="0" applyFont="1" applyAlignment="1">
      <alignment horizontal="right" vertical="top"/>
    </xf>
    <xf numFmtId="188" fontId="1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63" fillId="0" borderId="0" xfId="0" applyFont="1" applyAlignment="1">
      <alignment/>
    </xf>
    <xf numFmtId="0" fontId="113" fillId="0" borderId="0" xfId="0" applyFont="1" applyAlignment="1">
      <alignment horizontal="centerContinuous"/>
    </xf>
    <xf numFmtId="0" fontId="63" fillId="0" borderId="0" xfId="0" applyFont="1" applyAlignment="1">
      <alignment/>
    </xf>
    <xf numFmtId="0" fontId="29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/>
    </xf>
    <xf numFmtId="0" fontId="29" fillId="0" borderId="18" xfId="0" applyFont="1" applyBorder="1" applyAlignment="1">
      <alignment horizontal="centerContinuous"/>
    </xf>
    <xf numFmtId="0" fontId="29" fillId="0" borderId="19" xfId="0" applyFont="1" applyBorder="1" applyAlignment="1">
      <alignment horizontal="centerContinuous"/>
    </xf>
    <xf numFmtId="0" fontId="29" fillId="0" borderId="2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29" fillId="0" borderId="22" xfId="0" applyFont="1" applyBorder="1" applyAlignment="1">
      <alignment/>
    </xf>
    <xf numFmtId="17" fontId="33" fillId="0" borderId="17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0" fontId="114" fillId="0" borderId="21" xfId="0" applyFont="1" applyBorder="1" applyAlignment="1">
      <alignment vertical="center"/>
    </xf>
    <xf numFmtId="0" fontId="114" fillId="0" borderId="12" xfId="0" applyFont="1" applyBorder="1" applyAlignment="1">
      <alignment vertical="center"/>
    </xf>
    <xf numFmtId="0" fontId="114" fillId="0" borderId="1" xfId="0" applyFont="1" applyBorder="1" applyAlignment="1">
      <alignment vertical="center"/>
    </xf>
    <xf numFmtId="0" fontId="114" fillId="21" borderId="1" xfId="0" applyFont="1" applyFill="1" applyBorder="1" applyAlignment="1">
      <alignment vertical="center"/>
    </xf>
    <xf numFmtId="0" fontId="114" fillId="0" borderId="47" xfId="0" applyFont="1" applyBorder="1" applyAlignment="1">
      <alignment vertical="center"/>
    </xf>
    <xf numFmtId="0" fontId="114" fillId="0" borderId="22" xfId="0" applyFont="1" applyBorder="1" applyAlignment="1">
      <alignment vertical="center"/>
    </xf>
    <xf numFmtId="0" fontId="114" fillId="1" borderId="13" xfId="0" applyFont="1" applyFill="1" applyBorder="1" applyAlignment="1">
      <alignment horizontal="center" vertical="center"/>
    </xf>
    <xf numFmtId="0" fontId="114" fillId="1" borderId="1" xfId="0" applyFont="1" applyFill="1" applyBorder="1" applyAlignment="1">
      <alignment horizontal="center" vertical="center"/>
    </xf>
    <xf numFmtId="0" fontId="114" fillId="21" borderId="5" xfId="0" applyFont="1" applyFill="1" applyBorder="1" applyAlignment="1">
      <alignment horizontal="center" vertical="center"/>
    </xf>
    <xf numFmtId="0" fontId="114" fillId="0" borderId="33" xfId="0" applyFont="1" applyBorder="1" applyAlignment="1">
      <alignment horizontal="center" vertical="center"/>
    </xf>
    <xf numFmtId="0" fontId="114" fillId="0" borderId="16" xfId="0" applyFont="1" applyBorder="1" applyAlignment="1">
      <alignment horizontal="center" vertical="center"/>
    </xf>
    <xf numFmtId="0" fontId="114" fillId="0" borderId="5" xfId="0" applyFont="1" applyBorder="1" applyAlignment="1">
      <alignment horizontal="center" vertical="center"/>
    </xf>
    <xf numFmtId="0" fontId="114" fillId="1" borderId="16" xfId="0" applyFont="1" applyFill="1" applyBorder="1" applyAlignment="1">
      <alignment horizontal="center" vertical="center"/>
    </xf>
    <xf numFmtId="0" fontId="114" fillId="1" borderId="5" xfId="0" applyFont="1" applyFill="1" applyBorder="1" applyAlignment="1">
      <alignment horizontal="center" vertical="center"/>
    </xf>
    <xf numFmtId="0" fontId="114" fillId="0" borderId="48" xfId="0" applyFont="1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114" fillId="21" borderId="39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horizontal="right" vertical="center"/>
    </xf>
    <xf numFmtId="178" fontId="115" fillId="0" borderId="17" xfId="0" applyNumberFormat="1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4" fillId="0" borderId="29" xfId="0" applyFont="1" applyFill="1" applyBorder="1" applyAlignment="1">
      <alignment horizontal="center" vertical="center"/>
    </xf>
    <xf numFmtId="0" fontId="114" fillId="0" borderId="24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0" fontId="114" fillId="0" borderId="0" xfId="0" applyFont="1" applyBorder="1" applyAlignment="1">
      <alignment horizontal="right" vertical="center"/>
    </xf>
    <xf numFmtId="0" fontId="115" fillId="0" borderId="0" xfId="0" applyFont="1" applyBorder="1" applyAlignment="1">
      <alignment horizontal="right" vertical="center"/>
    </xf>
    <xf numFmtId="0" fontId="114" fillId="0" borderId="17" xfId="0" applyFont="1" applyBorder="1" applyAlignment="1">
      <alignment horizontal="center" vertical="center"/>
    </xf>
    <xf numFmtId="0" fontId="114" fillId="0" borderId="6" xfId="0" applyFont="1" applyBorder="1" applyAlignment="1">
      <alignment horizontal="center" vertical="center"/>
    </xf>
    <xf numFmtId="2" fontId="115" fillId="2" borderId="17" xfId="0" applyNumberFormat="1" applyFont="1" applyFill="1" applyBorder="1" applyAlignment="1">
      <alignment horizontal="center" vertical="center"/>
    </xf>
    <xf numFmtId="2" fontId="115" fillId="21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25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116" fillId="21" borderId="69" xfId="0" applyFont="1" applyFill="1" applyBorder="1" applyAlignment="1" applyProtection="1">
      <alignment horizontal="right"/>
      <protection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17" fillId="0" borderId="29" xfId="0" applyFont="1" applyBorder="1" applyAlignment="1">
      <alignment horizontal="right"/>
    </xf>
    <xf numFmtId="2" fontId="17" fillId="0" borderId="29" xfId="0" applyNumberFormat="1" applyFont="1" applyBorder="1" applyAlignment="1">
      <alignment horizontal="center"/>
    </xf>
    <xf numFmtId="0" fontId="117" fillId="0" borderId="29" xfId="0" applyFont="1" applyBorder="1" applyAlignment="1">
      <alignment/>
    </xf>
    <xf numFmtId="0" fontId="0" fillId="0" borderId="24" xfId="0" applyBorder="1" applyAlignment="1">
      <alignment/>
    </xf>
    <xf numFmtId="0" fontId="29" fillId="0" borderId="26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8" fillId="0" borderId="0" xfId="0" applyFont="1" applyBorder="1" applyAlignment="1" applyProtection="1">
      <alignment horizontal="left" vertical="center"/>
      <protection/>
    </xf>
    <xf numFmtId="0" fontId="23" fillId="0" borderId="0" xfId="26" applyFont="1" applyFill="1">
      <alignment/>
      <protection/>
    </xf>
    <xf numFmtId="0" fontId="23" fillId="0" borderId="0" xfId="26" applyFont="1">
      <alignment/>
      <protection/>
    </xf>
    <xf numFmtId="0" fontId="105" fillId="0" borderId="0" xfId="26" applyFont="1" applyAlignment="1">
      <alignment horizontal="right" vertical="top"/>
      <protection/>
    </xf>
    <xf numFmtId="0" fontId="7" fillId="0" borderId="0" xfId="26" applyFont="1" applyAlignment="1">
      <alignment horizontal="centerContinuous"/>
      <protection/>
    </xf>
    <xf numFmtId="0" fontId="7" fillId="0" borderId="0" xfId="26" applyFont="1" applyFill="1" applyAlignment="1">
      <alignment horizontal="centerContinuous"/>
      <protection/>
    </xf>
    <xf numFmtId="0" fontId="4" fillId="0" borderId="0" xfId="26" applyFont="1" applyFill="1">
      <alignment/>
      <protection/>
    </xf>
    <xf numFmtId="0" fontId="4" fillId="0" borderId="0" xfId="26" applyFont="1">
      <alignment/>
      <protection/>
    </xf>
    <xf numFmtId="0" fontId="25" fillId="0" borderId="0" xfId="26" applyFont="1" applyFill="1" applyBorder="1" applyAlignment="1" applyProtection="1">
      <alignment horizontal="centerContinuous"/>
      <protection/>
    </xf>
    <xf numFmtId="0" fontId="26" fillId="0" borderId="0" xfId="26" applyFont="1" applyAlignment="1">
      <alignment horizontal="centerContinuous"/>
      <protection/>
    </xf>
    <xf numFmtId="0" fontId="26" fillId="0" borderId="0" xfId="26" applyFont="1">
      <alignment/>
      <protection/>
    </xf>
    <xf numFmtId="0" fontId="26" fillId="0" borderId="0" xfId="26" applyFont="1" applyFill="1">
      <alignment/>
      <protection/>
    </xf>
    <xf numFmtId="0" fontId="4" fillId="0" borderId="18" xfId="26" applyFont="1" applyBorder="1">
      <alignment/>
      <protection/>
    </xf>
    <xf numFmtId="0" fontId="4" fillId="0" borderId="19" xfId="26" applyFont="1" applyBorder="1">
      <alignment/>
      <protection/>
    </xf>
    <xf numFmtId="0" fontId="4" fillId="0" borderId="19" xfId="26" applyFont="1" applyBorder="1" applyAlignment="1" applyProtection="1">
      <alignment horizontal="left"/>
      <protection/>
    </xf>
    <xf numFmtId="0" fontId="4" fillId="0" borderId="19" xfId="26" applyFont="1" applyFill="1" applyBorder="1">
      <alignment/>
      <protection/>
    </xf>
    <xf numFmtId="0" fontId="4" fillId="0" borderId="20" xfId="26" applyFont="1" applyFill="1" applyBorder="1">
      <alignment/>
      <protection/>
    </xf>
    <xf numFmtId="0" fontId="10" fillId="0" borderId="0" xfId="26" applyFont="1">
      <alignment/>
      <protection/>
    </xf>
    <xf numFmtId="0" fontId="10" fillId="0" borderId="21" xfId="26" applyFont="1" applyBorder="1">
      <alignment/>
      <protection/>
    </xf>
    <xf numFmtId="0" fontId="10" fillId="0" borderId="0" xfId="26" applyFont="1" applyBorder="1">
      <alignment/>
      <protection/>
    </xf>
    <xf numFmtId="0" fontId="9" fillId="0" borderId="0" xfId="26" applyFont="1" applyBorder="1" applyAlignment="1">
      <alignment horizontal="left"/>
      <protection/>
    </xf>
    <xf numFmtId="0" fontId="10" fillId="0" borderId="0" xfId="26" applyFont="1" applyFill="1">
      <alignment/>
      <protection/>
    </xf>
    <xf numFmtId="0" fontId="9" fillId="0" borderId="0" xfId="26" applyFont="1" applyBorder="1">
      <alignment/>
      <protection/>
    </xf>
    <xf numFmtId="0" fontId="10" fillId="0" borderId="0" xfId="26" applyFont="1" applyFill="1" applyBorder="1">
      <alignment/>
      <protection/>
    </xf>
    <xf numFmtId="0" fontId="10" fillId="0" borderId="22" xfId="26" applyFont="1" applyFill="1" applyBorder="1">
      <alignment/>
      <protection/>
    </xf>
    <xf numFmtId="0" fontId="4" fillId="0" borderId="21" xfId="26" applyFont="1" applyBorder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 applyFill="1" applyBorder="1">
      <alignment/>
      <protection/>
    </xf>
    <xf numFmtId="0" fontId="4" fillId="0" borderId="22" xfId="26" applyFont="1" applyFill="1" applyBorder="1">
      <alignment/>
      <protection/>
    </xf>
    <xf numFmtId="0" fontId="9" fillId="0" borderId="0" xfId="26" applyFont="1" applyBorder="1" applyProtection="1">
      <alignment/>
      <protection locked="0"/>
    </xf>
    <xf numFmtId="0" fontId="14" fillId="0" borderId="0" xfId="26" applyFont="1">
      <alignment/>
      <protection/>
    </xf>
    <xf numFmtId="0" fontId="11" fillId="0" borderId="0" xfId="26" applyFont="1" applyBorder="1" applyAlignment="1">
      <alignment horizontal="centerContinuous"/>
      <protection/>
    </xf>
    <xf numFmtId="0" fontId="11" fillId="0" borderId="0" xfId="26" applyFont="1" applyFill="1" applyBorder="1" applyAlignment="1">
      <alignment horizontal="centerContinuous"/>
      <protection/>
    </xf>
    <xf numFmtId="0" fontId="11" fillId="0" borderId="0" xfId="26" applyFont="1" applyAlignment="1">
      <alignment horizontal="centerContinuous"/>
      <protection/>
    </xf>
    <xf numFmtId="0" fontId="11" fillId="0" borderId="22" xfId="26" applyFont="1" applyFill="1" applyBorder="1" applyAlignment="1">
      <alignment horizontal="centerContinuous"/>
      <protection/>
    </xf>
    <xf numFmtId="0" fontId="4" fillId="0" borderId="0" xfId="26" applyFont="1" applyBorder="1" applyAlignment="1">
      <alignment horizontal="center"/>
      <protection/>
    </xf>
    <xf numFmtId="0" fontId="32" fillId="0" borderId="0" xfId="26" applyFont="1" applyBorder="1" applyAlignment="1">
      <alignment horizontal="left"/>
      <protection/>
    </xf>
    <xf numFmtId="0" fontId="0" fillId="0" borderId="23" xfId="26" applyFont="1" applyBorder="1" applyAlignment="1" applyProtection="1">
      <alignment horizontal="center"/>
      <protection/>
    </xf>
    <xf numFmtId="180" fontId="16" fillId="0" borderId="23" xfId="21" applyNumberFormat="1" applyFont="1" applyBorder="1" applyAlignment="1" applyProtection="1">
      <alignment horizontal="centerContinuous"/>
      <protection locked="0"/>
    </xf>
    <xf numFmtId="0" fontId="0" fillId="0" borderId="24" xfId="26" applyBorder="1" applyAlignment="1">
      <alignment horizontal="centerContinuous"/>
      <protection/>
    </xf>
    <xf numFmtId="180" fontId="16" fillId="0" borderId="0" xfId="21" applyNumberFormat="1" applyFont="1" applyBorder="1" applyAlignment="1">
      <alignment horizontal="center"/>
      <protection/>
    </xf>
    <xf numFmtId="0" fontId="31" fillId="22" borderId="18" xfId="26" applyFont="1" applyFill="1" applyBorder="1" applyAlignment="1">
      <alignment horizontal="left"/>
      <protection/>
    </xf>
    <xf numFmtId="2" fontId="4" fillId="22" borderId="19" xfId="26" applyNumberFormat="1" applyFont="1" applyFill="1" applyBorder="1" applyAlignment="1">
      <alignment horizontal="left"/>
      <protection/>
    </xf>
    <xf numFmtId="0" fontId="4" fillId="22" borderId="20" xfId="26" applyFont="1" applyFill="1" applyBorder="1" applyAlignment="1">
      <alignment horizontal="left"/>
      <protection/>
    </xf>
    <xf numFmtId="0" fontId="31" fillId="23" borderId="74" xfId="26" applyFont="1" applyFill="1" applyBorder="1">
      <alignment/>
      <protection/>
    </xf>
    <xf numFmtId="0" fontId="31" fillId="23" borderId="75" xfId="26" applyFont="1" applyFill="1" applyBorder="1">
      <alignment/>
      <protection/>
    </xf>
    <xf numFmtId="0" fontId="31" fillId="23" borderId="76" xfId="26" applyFont="1" applyFill="1" applyBorder="1">
      <alignment/>
      <protection/>
    </xf>
    <xf numFmtId="180" fontId="0" fillId="0" borderId="0" xfId="26" applyNumberFormat="1" applyFont="1" applyBorder="1" applyAlignment="1">
      <alignment horizontal="centerContinuous"/>
      <protection/>
    </xf>
    <xf numFmtId="0" fontId="4" fillId="22" borderId="21" xfId="26" applyFont="1" applyFill="1" applyBorder="1" applyAlignment="1">
      <alignment horizontal="left"/>
      <protection/>
    </xf>
    <xf numFmtId="0" fontId="4" fillId="22" borderId="0" xfId="26" applyFont="1" applyFill="1" applyBorder="1" applyAlignment="1">
      <alignment horizontal="left"/>
      <protection/>
    </xf>
    <xf numFmtId="22" fontId="4" fillId="22" borderId="22" xfId="26" applyNumberFormat="1" applyFont="1" applyFill="1" applyBorder="1" applyAlignment="1">
      <alignment horizontal="left"/>
      <protection/>
    </xf>
    <xf numFmtId="22" fontId="4" fillId="0" borderId="0" xfId="26" applyNumberFormat="1" applyFont="1" applyBorder="1">
      <alignment/>
      <protection/>
    </xf>
    <xf numFmtId="0" fontId="31" fillId="23" borderId="77" xfId="26" applyFont="1" applyFill="1" applyBorder="1">
      <alignment/>
      <protection/>
    </xf>
    <xf numFmtId="0" fontId="31" fillId="23" borderId="0" xfId="26" applyFont="1" applyFill="1" applyBorder="1">
      <alignment/>
      <protection/>
    </xf>
    <xf numFmtId="0" fontId="31" fillId="23" borderId="78" xfId="26" applyFont="1" applyFill="1" applyBorder="1">
      <alignment/>
      <protection/>
    </xf>
    <xf numFmtId="0" fontId="31" fillId="0" borderId="0" xfId="26" applyFont="1" applyFill="1" applyBorder="1">
      <alignment/>
      <protection/>
    </xf>
    <xf numFmtId="0" fontId="31" fillId="0" borderId="22" xfId="26" applyFont="1" applyFill="1" applyBorder="1">
      <alignment/>
      <protection/>
    </xf>
    <xf numFmtId="0" fontId="4" fillId="0" borderId="0" xfId="26" applyFont="1" applyBorder="1" applyAlignment="1" applyProtection="1">
      <alignment horizontal="center"/>
      <protection/>
    </xf>
    <xf numFmtId="0" fontId="4" fillId="0" borderId="28" xfId="26" applyFont="1" applyBorder="1">
      <alignment/>
      <protection/>
    </xf>
    <xf numFmtId="0" fontId="4" fillId="22" borderId="25" xfId="26" applyFont="1" applyFill="1" applyBorder="1" applyAlignment="1">
      <alignment horizontal="left"/>
      <protection/>
    </xf>
    <xf numFmtId="0" fontId="31" fillId="22" borderId="26" xfId="26" applyFont="1" applyFill="1" applyBorder="1" applyAlignment="1">
      <alignment horizontal="left"/>
      <protection/>
    </xf>
    <xf numFmtId="0" fontId="31" fillId="22" borderId="27" xfId="26" applyFont="1" applyFill="1" applyBorder="1" applyAlignment="1">
      <alignment horizontal="left"/>
      <protection/>
    </xf>
    <xf numFmtId="0" fontId="31" fillId="23" borderId="79" xfId="26" applyFont="1" applyFill="1" applyBorder="1">
      <alignment/>
      <protection/>
    </xf>
    <xf numFmtId="0" fontId="31" fillId="23" borderId="80" xfId="26" applyFont="1" applyFill="1" applyBorder="1">
      <alignment/>
      <protection/>
    </xf>
    <xf numFmtId="0" fontId="31" fillId="23" borderId="81" xfId="26" applyFont="1" applyFill="1" applyBorder="1">
      <alignment/>
      <protection/>
    </xf>
    <xf numFmtId="0" fontId="33" fillId="0" borderId="17" xfId="26" applyFont="1" applyBorder="1" applyAlignment="1" applyProtection="1">
      <alignment horizontal="center" vertical="center" textRotation="90" wrapText="1"/>
      <protection/>
    </xf>
    <xf numFmtId="0" fontId="33" fillId="0" borderId="17" xfId="26" applyFont="1" applyBorder="1" applyAlignment="1">
      <alignment horizontal="center" vertical="center"/>
      <protection/>
    </xf>
    <xf numFmtId="0" fontId="33" fillId="0" borderId="17" xfId="26" applyFont="1" applyBorder="1" applyAlignment="1" applyProtection="1">
      <alignment horizontal="center" vertical="center"/>
      <protection/>
    </xf>
    <xf numFmtId="172" fontId="33" fillId="0" borderId="17" xfId="26" applyNumberFormat="1" applyFont="1" applyBorder="1" applyAlignment="1" applyProtection="1">
      <alignment horizontal="center" vertical="center" wrapText="1"/>
      <protection/>
    </xf>
    <xf numFmtId="0" fontId="33" fillId="0" borderId="17" xfId="26" applyFont="1" applyBorder="1" applyAlignment="1" applyProtection="1">
      <alignment horizontal="center" vertical="center" wrapText="1"/>
      <protection/>
    </xf>
    <xf numFmtId="176" fontId="33" fillId="0" borderId="17" xfId="26" applyNumberFormat="1" applyFont="1" applyBorder="1" applyAlignment="1" applyProtection="1">
      <alignment horizontal="center" vertical="center"/>
      <protection/>
    </xf>
    <xf numFmtId="176" fontId="79" fillId="9" borderId="17" xfId="26" applyNumberFormat="1" applyFont="1" applyFill="1" applyBorder="1" applyAlignment="1" applyProtection="1">
      <alignment horizontal="center" vertical="center"/>
      <protection/>
    </xf>
    <xf numFmtId="0" fontId="81" fillId="10" borderId="17" xfId="26" applyFont="1" applyFill="1" applyBorder="1" applyAlignment="1" applyProtection="1">
      <alignment horizontal="center" vertical="center"/>
      <protection/>
    </xf>
    <xf numFmtId="0" fontId="33" fillId="0" borderId="23" xfId="26" applyFont="1" applyBorder="1" applyAlignment="1" applyProtection="1">
      <alignment horizontal="center" vertical="center"/>
      <protection/>
    </xf>
    <xf numFmtId="0" fontId="33" fillId="0" borderId="23" xfId="26" applyFont="1" applyFill="1" applyBorder="1" applyAlignment="1" applyProtection="1">
      <alignment horizontal="center" vertical="center" wrapText="1"/>
      <protection/>
    </xf>
    <xf numFmtId="0" fontId="33" fillId="0" borderId="17" xfId="26" applyFont="1" applyFill="1" applyBorder="1" applyAlignment="1" applyProtection="1">
      <alignment horizontal="center" vertical="center" wrapText="1"/>
      <protection/>
    </xf>
    <xf numFmtId="0" fontId="33" fillId="0" borderId="23" xfId="26" applyFont="1" applyBorder="1" applyAlignment="1" applyProtection="1">
      <alignment horizontal="center" vertical="center" wrapText="1"/>
      <protection/>
    </xf>
    <xf numFmtId="0" fontId="59" fillId="3" borderId="60" xfId="26" applyFont="1" applyFill="1" applyBorder="1" applyAlignment="1" applyProtection="1">
      <alignment horizontal="centerContinuous" vertical="center" wrapText="1"/>
      <protection/>
    </xf>
    <xf numFmtId="0" fontId="60" fillId="3" borderId="28" xfId="26" applyFont="1" applyFill="1" applyBorder="1" applyAlignment="1">
      <alignment horizontal="centerContinuous"/>
      <protection/>
    </xf>
    <xf numFmtId="0" fontId="59" fillId="3" borderId="11" xfId="26" applyFont="1" applyFill="1" applyBorder="1" applyAlignment="1">
      <alignment horizontal="centerContinuous" vertical="center"/>
      <protection/>
    </xf>
    <xf numFmtId="0" fontId="33" fillId="0" borderId="17" xfId="26" applyFont="1" applyFill="1" applyBorder="1" applyAlignment="1">
      <alignment horizontal="center" vertical="center" wrapText="1"/>
      <protection/>
    </xf>
    <xf numFmtId="0" fontId="33" fillId="0" borderId="17" xfId="26" applyFont="1" applyBorder="1" applyAlignment="1">
      <alignment horizontal="center" vertical="center" wrapText="1"/>
      <protection/>
    </xf>
    <xf numFmtId="0" fontId="33" fillId="22" borderId="17" xfId="26" applyFont="1" applyFill="1" applyBorder="1" applyAlignment="1">
      <alignment horizontal="center" vertical="center" wrapText="1"/>
      <protection/>
    </xf>
    <xf numFmtId="0" fontId="4" fillId="0" borderId="22" xfId="26" applyFont="1" applyFill="1" applyBorder="1" applyAlignment="1">
      <alignment horizontal="center"/>
      <protection/>
    </xf>
    <xf numFmtId="0" fontId="4" fillId="0" borderId="42" xfId="26" applyFont="1" applyBorder="1">
      <alignment/>
      <protection/>
    </xf>
    <xf numFmtId="0" fontId="4" fillId="0" borderId="42" xfId="26" applyFont="1" applyBorder="1" applyAlignment="1">
      <alignment horizontal="center"/>
      <protection/>
    </xf>
    <xf numFmtId="0" fontId="80" fillId="9" borderId="42" xfId="26" applyFont="1" applyFill="1" applyBorder="1">
      <alignment/>
      <protection/>
    </xf>
    <xf numFmtId="0" fontId="82" fillId="10" borderId="42" xfId="26" applyFont="1" applyFill="1" applyBorder="1">
      <alignment/>
      <protection/>
    </xf>
    <xf numFmtId="0" fontId="4" fillId="0" borderId="42" xfId="26" applyFont="1" applyFill="1" applyBorder="1">
      <alignment/>
      <protection/>
    </xf>
    <xf numFmtId="0" fontId="4" fillId="24" borderId="42" xfId="26" applyFont="1" applyFill="1" applyBorder="1">
      <alignment/>
      <protection/>
    </xf>
    <xf numFmtId="0" fontId="4" fillId="3" borderId="44" xfId="26" applyFont="1" applyFill="1" applyBorder="1">
      <alignment/>
      <protection/>
    </xf>
    <xf numFmtId="0" fontId="4" fillId="3" borderId="45" xfId="26" applyFont="1" applyFill="1" applyBorder="1">
      <alignment/>
      <protection/>
    </xf>
    <xf numFmtId="0" fontId="4" fillId="3" borderId="46" xfId="26" applyFont="1" applyFill="1" applyBorder="1">
      <alignment/>
      <protection/>
    </xf>
    <xf numFmtId="7" fontId="16" fillId="0" borderId="42" xfId="26" applyNumberFormat="1" applyFont="1" applyFill="1" applyBorder="1" applyAlignment="1">
      <alignment/>
      <protection/>
    </xf>
    <xf numFmtId="7" fontId="16" fillId="0" borderId="0" xfId="26" applyNumberFormat="1" applyFont="1" applyBorder="1" applyAlignment="1">
      <alignment/>
      <protection/>
    </xf>
    <xf numFmtId="7" fontId="16" fillId="0" borderId="0" xfId="26" applyNumberFormat="1" applyFont="1" applyFill="1" applyBorder="1" applyAlignment="1">
      <alignment/>
      <protection/>
    </xf>
    <xf numFmtId="7" fontId="16" fillId="0" borderId="77" xfId="26" applyNumberFormat="1" applyFont="1" applyFill="1" applyBorder="1" applyAlignment="1">
      <alignment/>
      <protection/>
    </xf>
    <xf numFmtId="7" fontId="16" fillId="22" borderId="0" xfId="26" applyNumberFormat="1" applyFont="1" applyFill="1" applyBorder="1" applyAlignment="1">
      <alignment/>
      <protection/>
    </xf>
    <xf numFmtId="0" fontId="4" fillId="2" borderId="47" xfId="26" applyFont="1" applyFill="1" applyBorder="1">
      <alignment/>
      <protection/>
    </xf>
    <xf numFmtId="0" fontId="4" fillId="0" borderId="33" xfId="26" applyFont="1" applyBorder="1">
      <alignment/>
      <protection/>
    </xf>
    <xf numFmtId="0" fontId="4" fillId="0" borderId="34" xfId="26" applyFont="1" applyBorder="1">
      <alignment/>
      <protection/>
    </xf>
    <xf numFmtId="0" fontId="4" fillId="25" borderId="33" xfId="26" applyFont="1" applyFill="1" applyBorder="1" applyProtection="1">
      <alignment/>
      <protection locked="0"/>
    </xf>
    <xf numFmtId="0" fontId="4" fillId="25" borderId="33" xfId="26" applyFont="1" applyFill="1" applyBorder="1" applyAlignment="1" applyProtection="1">
      <alignment horizontal="center"/>
      <protection locked="0"/>
    </xf>
    <xf numFmtId="0" fontId="80" fillId="9" borderId="33" xfId="26" applyFont="1" applyFill="1" applyBorder="1" applyProtection="1">
      <alignment/>
      <protection locked="0"/>
    </xf>
    <xf numFmtId="0" fontId="82" fillId="10" borderId="33" xfId="26" applyFont="1" applyFill="1" applyBorder="1" applyProtection="1">
      <alignment/>
      <protection locked="0"/>
    </xf>
    <xf numFmtId="22" fontId="4" fillId="25" borderId="34" xfId="26" applyNumberFormat="1" applyFont="1" applyFill="1" applyBorder="1" applyAlignment="1" applyProtection="1">
      <alignment horizontal="center"/>
      <protection locked="0"/>
    </xf>
    <xf numFmtId="0" fontId="4" fillId="25" borderId="0" xfId="26" applyFont="1" applyFill="1" applyBorder="1" applyProtection="1">
      <alignment/>
      <protection locked="0"/>
    </xf>
    <xf numFmtId="0" fontId="4" fillId="0" borderId="33" xfId="26" applyFont="1" applyFill="1" applyBorder="1">
      <alignment/>
      <protection/>
    </xf>
    <xf numFmtId="0" fontId="4" fillId="25" borderId="34" xfId="26" applyFont="1" applyFill="1" applyBorder="1" applyProtection="1">
      <alignment/>
      <protection locked="0"/>
    </xf>
    <xf numFmtId="176" fontId="5" fillId="3" borderId="82" xfId="26" applyNumberFormat="1" applyFont="1" applyFill="1" applyBorder="1" applyAlignment="1" applyProtection="1" quotePrefix="1">
      <alignment horizontal="center"/>
      <protection/>
    </xf>
    <xf numFmtId="4" fontId="5" fillId="3" borderId="82" xfId="26" applyNumberFormat="1" applyFont="1" applyFill="1" applyBorder="1" applyAlignment="1" applyProtection="1">
      <alignment horizontal="center"/>
      <protection/>
    </xf>
    <xf numFmtId="0" fontId="16" fillId="0" borderId="34" xfId="26" applyFont="1" applyFill="1" applyBorder="1">
      <alignment/>
      <protection/>
    </xf>
    <xf numFmtId="0" fontId="16" fillId="25" borderId="34" xfId="26" applyFont="1" applyFill="1" applyBorder="1" applyProtection="1">
      <alignment/>
      <protection locked="0"/>
    </xf>
    <xf numFmtId="0" fontId="16" fillId="0" borderId="83" xfId="26" applyFont="1" applyFill="1" applyBorder="1">
      <alignment/>
      <protection/>
    </xf>
    <xf numFmtId="0" fontId="16" fillId="22" borderId="34" xfId="26" applyFont="1" applyFill="1" applyBorder="1">
      <alignment/>
      <protection/>
    </xf>
    <xf numFmtId="0" fontId="16" fillId="0" borderId="34" xfId="26" applyFont="1" applyBorder="1">
      <alignment/>
      <protection/>
    </xf>
    <xf numFmtId="0" fontId="4" fillId="0" borderId="21" xfId="26" applyFont="1" applyFill="1" applyBorder="1">
      <alignment/>
      <protection/>
    </xf>
    <xf numFmtId="0" fontId="4" fillId="0" borderId="84" xfId="26" applyFont="1" applyFill="1" applyBorder="1" applyAlignment="1">
      <alignment horizontal="center"/>
      <protection/>
    </xf>
    <xf numFmtId="0" fontId="4" fillId="0" borderId="84" xfId="22" applyFont="1" applyBorder="1" applyAlignment="1" applyProtection="1">
      <alignment horizontal="center"/>
      <protection locked="0"/>
    </xf>
    <xf numFmtId="0" fontId="4" fillId="0" borderId="84" xfId="22" applyFont="1" applyFill="1" applyBorder="1" applyAlignment="1" applyProtection="1">
      <alignment horizontal="center"/>
      <protection locked="0"/>
    </xf>
    <xf numFmtId="172" fontId="4" fillId="0" borderId="84" xfId="22" applyNumberFormat="1" applyFont="1" applyFill="1" applyBorder="1" applyAlignment="1" applyProtection="1">
      <alignment horizontal="center"/>
      <protection locked="0"/>
    </xf>
    <xf numFmtId="173" fontId="4" fillId="0" borderId="84" xfId="22" applyNumberFormat="1" applyFont="1" applyFill="1" applyBorder="1" applyAlignment="1" applyProtection="1">
      <alignment horizontal="center"/>
      <protection locked="0"/>
    </xf>
    <xf numFmtId="0" fontId="80" fillId="9" borderId="84" xfId="26" applyFont="1" applyFill="1" applyBorder="1" applyProtection="1">
      <alignment/>
      <protection locked="0"/>
    </xf>
    <xf numFmtId="0" fontId="82" fillId="10" borderId="84" xfId="26" applyFont="1" applyFill="1" applyBorder="1" applyProtection="1">
      <alignment/>
      <protection locked="0"/>
    </xf>
    <xf numFmtId="22" fontId="4" fillId="0" borderId="85" xfId="22" applyNumberFormat="1" applyFont="1" applyFill="1" applyBorder="1" applyAlignment="1" applyProtection="1">
      <alignment horizontal="center"/>
      <protection locked="0"/>
    </xf>
    <xf numFmtId="22" fontId="4" fillId="0" borderId="86" xfId="22" applyNumberFormat="1" applyFont="1" applyFill="1" applyBorder="1" applyAlignment="1" applyProtection="1">
      <alignment horizontal="center"/>
      <protection locked="0"/>
    </xf>
    <xf numFmtId="4" fontId="4" fillId="0" borderId="84" xfId="26" applyNumberFormat="1" applyFont="1" applyFill="1" applyBorder="1" applyAlignment="1" applyProtection="1" quotePrefix="1">
      <alignment horizontal="center"/>
      <protection/>
    </xf>
    <xf numFmtId="172" fontId="4" fillId="0" borderId="84" xfId="26" applyNumberFormat="1" applyFont="1" applyFill="1" applyBorder="1" applyAlignment="1" applyProtection="1" quotePrefix="1">
      <alignment horizontal="center"/>
      <protection/>
    </xf>
    <xf numFmtId="176" fontId="4" fillId="25" borderId="85" xfId="26" applyNumberFormat="1" applyFont="1" applyFill="1" applyBorder="1" applyAlignment="1" applyProtection="1">
      <alignment horizontal="center"/>
      <protection locked="0"/>
    </xf>
    <xf numFmtId="179" fontId="4" fillId="0" borderId="84" xfId="26" applyNumberFormat="1" applyFont="1" applyFill="1" applyBorder="1" applyAlignment="1" applyProtection="1" quotePrefix="1">
      <alignment horizontal="center"/>
      <protection/>
    </xf>
    <xf numFmtId="176" fontId="4" fillId="0" borderId="84" xfId="26" applyNumberFormat="1" applyFont="1" applyFill="1" applyBorder="1" applyAlignment="1" applyProtection="1">
      <alignment horizontal="center"/>
      <protection/>
    </xf>
    <xf numFmtId="176" fontId="5" fillId="3" borderId="84" xfId="26" applyNumberFormat="1" applyFont="1" applyFill="1" applyBorder="1" applyAlignment="1" applyProtection="1" quotePrefix="1">
      <alignment horizontal="center"/>
      <protection/>
    </xf>
    <xf numFmtId="4" fontId="5" fillId="3" borderId="84" xfId="26" applyNumberFormat="1" applyFont="1" applyFill="1" applyBorder="1" applyAlignment="1" applyProtection="1">
      <alignment horizontal="center"/>
      <protection/>
    </xf>
    <xf numFmtId="4" fontId="16" fillId="0" borderId="85" xfId="26" applyNumberFormat="1" applyFont="1" applyFill="1" applyBorder="1" applyAlignment="1">
      <alignment horizontal="right"/>
      <protection/>
    </xf>
    <xf numFmtId="4" fontId="5" fillId="0" borderId="84" xfId="26" applyNumberFormat="1" applyFont="1" applyFill="1" applyBorder="1" applyAlignment="1" applyProtection="1">
      <alignment horizontal="center"/>
      <protection/>
    </xf>
    <xf numFmtId="185" fontId="16" fillId="25" borderId="85" xfId="26" applyNumberFormat="1" applyFont="1" applyFill="1" applyBorder="1" applyAlignment="1" applyProtection="1">
      <alignment horizontal="right"/>
      <protection locked="0"/>
    </xf>
    <xf numFmtId="3" fontId="16" fillId="0" borderId="87" xfId="26" applyNumberFormat="1" applyFont="1" applyFill="1" applyBorder="1" applyAlignment="1">
      <alignment horizontal="right"/>
      <protection/>
    </xf>
    <xf numFmtId="4" fontId="16" fillId="25" borderId="88" xfId="26" applyNumberFormat="1" applyFont="1" applyFill="1" applyBorder="1" applyAlignment="1" applyProtection="1">
      <alignment horizontal="center"/>
      <protection locked="0"/>
    </xf>
    <xf numFmtId="178" fontId="16" fillId="0" borderId="88" xfId="26" applyNumberFormat="1" applyFont="1" applyFill="1" applyBorder="1" applyAlignment="1">
      <alignment horizontal="center"/>
      <protection/>
    </xf>
    <xf numFmtId="4" fontId="16" fillId="0" borderId="87" xfId="26" applyNumberFormat="1" applyFont="1" applyFill="1" applyBorder="1" applyAlignment="1">
      <alignment horizontal="right"/>
      <protection/>
    </xf>
    <xf numFmtId="4" fontId="16" fillId="0" borderId="89" xfId="26" applyNumberFormat="1" applyFont="1" applyFill="1" applyBorder="1" applyAlignment="1">
      <alignment horizontal="right"/>
      <protection/>
    </xf>
    <xf numFmtId="4" fontId="119" fillId="22" borderId="85" xfId="26" applyNumberFormat="1" applyFont="1" applyFill="1" applyBorder="1" applyAlignment="1">
      <alignment horizontal="right"/>
      <protection/>
    </xf>
    <xf numFmtId="186" fontId="119" fillId="22" borderId="85" xfId="26" applyNumberFormat="1" applyFont="1" applyFill="1" applyBorder="1" applyAlignment="1">
      <alignment horizontal="right"/>
      <protection/>
    </xf>
    <xf numFmtId="4" fontId="16" fillId="0" borderId="84" xfId="26" applyNumberFormat="1" applyFont="1" applyFill="1" applyBorder="1" applyAlignment="1">
      <alignment horizontal="right"/>
      <protection/>
    </xf>
    <xf numFmtId="2" fontId="4" fillId="0" borderId="22" xfId="26" applyNumberFormat="1" applyFont="1" applyFill="1" applyBorder="1" applyAlignment="1">
      <alignment horizontal="center"/>
      <protection/>
    </xf>
    <xf numFmtId="0" fontId="4" fillId="0" borderId="5" xfId="26" applyFont="1" applyFill="1" applyBorder="1" applyAlignment="1">
      <alignment horizontal="center"/>
      <protection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Fill="1" applyBorder="1" applyAlignment="1" applyProtection="1">
      <alignment horizontal="center"/>
      <protection locked="0"/>
    </xf>
    <xf numFmtId="172" fontId="4" fillId="0" borderId="1" xfId="22" applyNumberFormat="1" applyFont="1" applyFill="1" applyBorder="1" applyAlignment="1" applyProtection="1">
      <alignment horizontal="center"/>
      <protection locked="0"/>
    </xf>
    <xf numFmtId="173" fontId="4" fillId="0" borderId="1" xfId="22" applyNumberFormat="1" applyFont="1" applyFill="1" applyBorder="1" applyAlignment="1" applyProtection="1">
      <alignment horizontal="center"/>
      <protection locked="0"/>
    </xf>
    <xf numFmtId="0" fontId="80" fillId="9" borderId="5" xfId="26" applyFont="1" applyFill="1" applyBorder="1" applyProtection="1">
      <alignment/>
      <protection locked="0"/>
    </xf>
    <xf numFmtId="0" fontId="82" fillId="10" borderId="5" xfId="26" applyFont="1" applyFill="1" applyBorder="1" applyProtection="1">
      <alignment/>
      <protection locked="0"/>
    </xf>
    <xf numFmtId="22" fontId="4" fillId="0" borderId="2" xfId="22" applyNumberFormat="1" applyFont="1" applyFill="1" applyBorder="1" applyAlignment="1" applyProtection="1">
      <alignment horizontal="center"/>
      <protection locked="0"/>
    </xf>
    <xf numFmtId="22" fontId="4" fillId="0" borderId="4" xfId="22" applyNumberFormat="1" applyFont="1" applyFill="1" applyBorder="1" applyAlignment="1" applyProtection="1">
      <alignment horizontal="center"/>
      <protection locked="0"/>
    </xf>
    <xf numFmtId="4" fontId="4" fillId="0" borderId="5" xfId="26" applyNumberFormat="1" applyFont="1" applyFill="1" applyBorder="1" applyAlignment="1" applyProtection="1" quotePrefix="1">
      <alignment horizontal="center"/>
      <protection/>
    </xf>
    <xf numFmtId="172" fontId="4" fillId="0" borderId="5" xfId="26" applyNumberFormat="1" applyFont="1" applyFill="1" applyBorder="1" applyAlignment="1" applyProtection="1" quotePrefix="1">
      <alignment horizontal="center"/>
      <protection/>
    </xf>
    <xf numFmtId="176" fontId="4" fillId="25" borderId="9" xfId="26" applyNumberFormat="1" applyFont="1" applyFill="1" applyBorder="1" applyAlignment="1" applyProtection="1">
      <alignment horizontal="center"/>
      <protection locked="0"/>
    </xf>
    <xf numFmtId="179" fontId="4" fillId="0" borderId="5" xfId="26" applyNumberFormat="1" applyFont="1" applyFill="1" applyBorder="1" applyAlignment="1" applyProtection="1" quotePrefix="1">
      <alignment horizontal="center"/>
      <protection/>
    </xf>
    <xf numFmtId="176" fontId="4" fillId="0" borderId="5" xfId="26" applyNumberFormat="1" applyFont="1" applyFill="1" applyBorder="1" applyAlignment="1" applyProtection="1">
      <alignment horizontal="center"/>
      <protection/>
    </xf>
    <xf numFmtId="176" fontId="5" fillId="3" borderId="5" xfId="26" applyNumberFormat="1" applyFont="1" applyFill="1" applyBorder="1" applyAlignment="1" applyProtection="1" quotePrefix="1">
      <alignment horizontal="center"/>
      <protection/>
    </xf>
    <xf numFmtId="4" fontId="5" fillId="3" borderId="5" xfId="26" applyNumberFormat="1" applyFont="1" applyFill="1" applyBorder="1" applyAlignment="1" applyProtection="1">
      <alignment horizontal="center"/>
      <protection/>
    </xf>
    <xf numFmtId="4" fontId="16" fillId="0" borderId="9" xfId="26" applyNumberFormat="1" applyFont="1" applyFill="1" applyBorder="1" applyAlignment="1">
      <alignment horizontal="right"/>
      <protection/>
    </xf>
    <xf numFmtId="4" fontId="5" fillId="0" borderId="5" xfId="26" applyNumberFormat="1" applyFont="1" applyFill="1" applyBorder="1" applyAlignment="1" applyProtection="1">
      <alignment horizontal="center"/>
      <protection/>
    </xf>
    <xf numFmtId="185" fontId="16" fillId="25" borderId="9" xfId="26" applyNumberFormat="1" applyFont="1" applyFill="1" applyBorder="1" applyAlignment="1" applyProtection="1">
      <alignment horizontal="right"/>
      <protection locked="0"/>
    </xf>
    <xf numFmtId="3" fontId="16" fillId="0" borderId="5" xfId="26" applyNumberFormat="1" applyFont="1" applyFill="1" applyBorder="1" applyAlignment="1">
      <alignment horizontal="right"/>
      <protection/>
    </xf>
    <xf numFmtId="4" fontId="16" fillId="25" borderId="5" xfId="26" applyNumberFormat="1" applyFont="1" applyFill="1" applyBorder="1" applyAlignment="1" applyProtection="1">
      <alignment horizontal="center"/>
      <protection locked="0"/>
    </xf>
    <xf numFmtId="178" fontId="16" fillId="0" borderId="9" xfId="26" applyNumberFormat="1" applyFont="1" applyFill="1" applyBorder="1" applyAlignment="1">
      <alignment horizontal="center"/>
      <protection/>
    </xf>
    <xf numFmtId="4" fontId="16" fillId="0" borderId="90" xfId="26" applyNumberFormat="1" applyFont="1" applyFill="1" applyBorder="1" applyAlignment="1">
      <alignment horizontal="right"/>
      <protection/>
    </xf>
    <xf numFmtId="4" fontId="16" fillId="22" borderId="2" xfId="26" applyNumberFormat="1" applyFont="1" applyFill="1" applyBorder="1" applyAlignment="1">
      <alignment horizontal="right"/>
      <protection/>
    </xf>
    <xf numFmtId="186" fontId="16" fillId="22" borderId="9" xfId="26" applyNumberFormat="1" applyFont="1" applyFill="1" applyBorder="1" applyAlignment="1">
      <alignment horizontal="right"/>
      <protection/>
    </xf>
    <xf numFmtId="176" fontId="5" fillId="3" borderId="1" xfId="26" applyNumberFormat="1" applyFont="1" applyFill="1" applyBorder="1" applyAlignment="1" applyProtection="1" quotePrefix="1">
      <alignment horizontal="center"/>
      <protection/>
    </xf>
    <xf numFmtId="4" fontId="5" fillId="3" borderId="1" xfId="26" applyNumberFormat="1" applyFont="1" applyFill="1" applyBorder="1" applyAlignment="1" applyProtection="1">
      <alignment horizontal="center"/>
      <protection/>
    </xf>
    <xf numFmtId="4" fontId="16" fillId="0" borderId="1" xfId="26" applyNumberFormat="1" applyFont="1" applyFill="1" applyBorder="1" applyAlignment="1">
      <alignment horizontal="right"/>
      <protection/>
    </xf>
    <xf numFmtId="0" fontId="4" fillId="0" borderId="9" xfId="26" applyFont="1" applyFill="1" applyBorder="1" applyAlignment="1">
      <alignment horizontal="center"/>
      <protection/>
    </xf>
    <xf numFmtId="0" fontId="4" fillId="25" borderId="5" xfId="21" applyFont="1" applyFill="1" applyBorder="1" applyAlignment="1" applyProtection="1">
      <alignment horizontal="center"/>
      <protection locked="0"/>
    </xf>
    <xf numFmtId="172" fontId="4" fillId="25" borderId="5" xfId="21" applyNumberFormat="1" applyFont="1" applyFill="1" applyBorder="1" applyAlignment="1" applyProtection="1">
      <alignment horizontal="center"/>
      <protection locked="0"/>
    </xf>
    <xf numFmtId="173" fontId="4" fillId="25" borderId="5" xfId="21" applyNumberFormat="1" applyFont="1" applyFill="1" applyBorder="1" applyAlignment="1" applyProtection="1">
      <alignment horizontal="center"/>
      <protection locked="0"/>
    </xf>
    <xf numFmtId="22" fontId="4" fillId="25" borderId="5" xfId="21" applyNumberFormat="1" applyFont="1" applyFill="1" applyBorder="1" applyAlignment="1" applyProtection="1">
      <alignment horizontal="center"/>
      <protection locked="0"/>
    </xf>
    <xf numFmtId="176" fontId="4" fillId="25" borderId="5" xfId="26" applyNumberFormat="1" applyFont="1" applyFill="1" applyBorder="1" applyAlignment="1" applyProtection="1">
      <alignment horizontal="center"/>
      <protection locked="0"/>
    </xf>
    <xf numFmtId="4" fontId="16" fillId="0" borderId="5" xfId="26" applyNumberFormat="1" applyFont="1" applyFill="1" applyBorder="1" applyAlignment="1">
      <alignment horizontal="right"/>
      <protection/>
    </xf>
    <xf numFmtId="185" fontId="16" fillId="25" borderId="5" xfId="26" applyNumberFormat="1" applyFont="1" applyFill="1" applyBorder="1" applyAlignment="1" applyProtection="1">
      <alignment horizontal="right"/>
      <protection locked="0"/>
    </xf>
    <xf numFmtId="3" fontId="16" fillId="0" borderId="9" xfId="26" applyNumberFormat="1" applyFont="1" applyFill="1" applyBorder="1" applyAlignment="1">
      <alignment horizontal="right"/>
      <protection/>
    </xf>
    <xf numFmtId="178" fontId="16" fillId="0" borderId="2" xfId="26" applyNumberFormat="1" applyFont="1" applyFill="1" applyBorder="1" applyAlignment="1">
      <alignment horizontal="center"/>
      <protection/>
    </xf>
    <xf numFmtId="4" fontId="16" fillId="22" borderId="5" xfId="26" applyNumberFormat="1" applyFont="1" applyFill="1" applyBorder="1" applyAlignment="1">
      <alignment horizontal="right"/>
      <protection/>
    </xf>
    <xf numFmtId="186" fontId="16" fillId="22" borderId="5" xfId="26" applyNumberFormat="1" applyFont="1" applyFill="1" applyBorder="1" applyAlignment="1">
      <alignment horizontal="right"/>
      <protection/>
    </xf>
    <xf numFmtId="0" fontId="4" fillId="0" borderId="82" xfId="26" applyFont="1" applyFill="1" applyBorder="1" applyAlignment="1">
      <alignment horizontal="center"/>
      <protection/>
    </xf>
    <xf numFmtId="0" fontId="4" fillId="0" borderId="91" xfId="26" applyFont="1" applyFill="1" applyBorder="1" applyAlignment="1">
      <alignment horizontal="center"/>
      <protection/>
    </xf>
    <xf numFmtId="0" fontId="4" fillId="25" borderId="82" xfId="21" applyFont="1" applyFill="1" applyBorder="1" applyAlignment="1" applyProtection="1">
      <alignment horizontal="center"/>
      <protection locked="0"/>
    </xf>
    <xf numFmtId="172" fontId="4" fillId="25" borderId="82" xfId="21" applyNumberFormat="1" applyFont="1" applyFill="1" applyBorder="1" applyAlignment="1" applyProtection="1">
      <alignment horizontal="center"/>
      <protection locked="0"/>
    </xf>
    <xf numFmtId="173" fontId="4" fillId="25" borderId="82" xfId="21" applyNumberFormat="1" applyFont="1" applyFill="1" applyBorder="1" applyAlignment="1" applyProtection="1">
      <alignment horizontal="center"/>
      <protection locked="0"/>
    </xf>
    <xf numFmtId="0" fontId="80" fillId="9" borderId="82" xfId="26" applyFont="1" applyFill="1" applyBorder="1" applyProtection="1">
      <alignment/>
      <protection locked="0"/>
    </xf>
    <xf numFmtId="0" fontId="82" fillId="10" borderId="82" xfId="26" applyFont="1" applyFill="1" applyBorder="1" applyProtection="1">
      <alignment/>
      <protection locked="0"/>
    </xf>
    <xf numFmtId="22" fontId="4" fillId="25" borderId="82" xfId="21" applyNumberFormat="1" applyFont="1" applyFill="1" applyBorder="1" applyAlignment="1" applyProtection="1">
      <alignment horizontal="center"/>
      <protection locked="0"/>
    </xf>
    <xf numFmtId="4" fontId="4" fillId="0" borderId="82" xfId="26" applyNumberFormat="1" applyFont="1" applyFill="1" applyBorder="1" applyAlignment="1" applyProtection="1" quotePrefix="1">
      <alignment horizontal="center"/>
      <protection/>
    </xf>
    <xf numFmtId="172" fontId="4" fillId="0" borderId="82" xfId="26" applyNumberFormat="1" applyFont="1" applyFill="1" applyBorder="1" applyAlignment="1" applyProtection="1" quotePrefix="1">
      <alignment horizontal="center"/>
      <protection/>
    </xf>
    <xf numFmtId="176" fontId="4" fillId="25" borderId="82" xfId="26" applyNumberFormat="1" applyFont="1" applyFill="1" applyBorder="1" applyAlignment="1" applyProtection="1">
      <alignment horizontal="center"/>
      <protection locked="0"/>
    </xf>
    <xf numFmtId="179" fontId="4" fillId="0" borderId="82" xfId="26" applyNumberFormat="1" applyFont="1" applyFill="1" applyBorder="1" applyAlignment="1" applyProtection="1" quotePrefix="1">
      <alignment horizontal="center"/>
      <protection/>
    </xf>
    <xf numFmtId="176" fontId="4" fillId="0" borderId="82" xfId="26" applyNumberFormat="1" applyFont="1" applyFill="1" applyBorder="1" applyAlignment="1" applyProtection="1">
      <alignment horizontal="center"/>
      <protection/>
    </xf>
    <xf numFmtId="4" fontId="16" fillId="0" borderId="82" xfId="26" applyNumberFormat="1" applyFont="1" applyFill="1" applyBorder="1" applyAlignment="1">
      <alignment horizontal="right"/>
      <protection/>
    </xf>
    <xf numFmtId="4" fontId="5" fillId="0" borderId="82" xfId="26" applyNumberFormat="1" applyFont="1" applyFill="1" applyBorder="1" applyAlignment="1" applyProtection="1">
      <alignment horizontal="center"/>
      <protection/>
    </xf>
    <xf numFmtId="185" fontId="16" fillId="25" borderId="82" xfId="26" applyNumberFormat="1" applyFont="1" applyFill="1" applyBorder="1" applyAlignment="1" applyProtection="1">
      <alignment horizontal="right"/>
      <protection locked="0"/>
    </xf>
    <xf numFmtId="3" fontId="16" fillId="0" borderId="82" xfId="26" applyNumberFormat="1" applyFont="1" applyFill="1" applyBorder="1" applyAlignment="1">
      <alignment horizontal="right"/>
      <protection/>
    </xf>
    <xf numFmtId="4" fontId="16" fillId="25" borderId="82" xfId="26" applyNumberFormat="1" applyFont="1" applyFill="1" applyBorder="1" applyAlignment="1" applyProtection="1">
      <alignment horizontal="center"/>
      <protection locked="0"/>
    </xf>
    <xf numFmtId="4" fontId="16" fillId="22" borderId="82" xfId="26" applyNumberFormat="1" applyFont="1" applyFill="1" applyBorder="1" applyAlignment="1">
      <alignment horizontal="right"/>
      <protection/>
    </xf>
    <xf numFmtId="186" fontId="16" fillId="22" borderId="82" xfId="26" applyNumberFormat="1" applyFont="1" applyFill="1" applyBorder="1" applyAlignment="1">
      <alignment horizontal="right"/>
      <protection/>
    </xf>
    <xf numFmtId="0" fontId="4" fillId="0" borderId="85" xfId="26" applyFont="1" applyFill="1" applyBorder="1" applyAlignment="1">
      <alignment horizontal="center"/>
      <protection/>
    </xf>
    <xf numFmtId="0" fontId="4" fillId="25" borderId="92" xfId="24" applyFont="1" applyFill="1" applyBorder="1" applyAlignment="1" applyProtection="1">
      <alignment horizontal="center"/>
      <protection locked="0"/>
    </xf>
    <xf numFmtId="172" fontId="4" fillId="25" borderId="92" xfId="24" applyNumberFormat="1" applyFont="1" applyFill="1" applyBorder="1" applyAlignment="1" applyProtection="1">
      <alignment horizontal="center"/>
      <protection locked="0"/>
    </xf>
    <xf numFmtId="173" fontId="4" fillId="25" borderId="92" xfId="24" applyNumberFormat="1" applyFont="1" applyFill="1" applyBorder="1" applyAlignment="1" applyProtection="1">
      <alignment horizontal="center"/>
      <protection locked="0"/>
    </xf>
    <xf numFmtId="22" fontId="4" fillId="25" borderId="93" xfId="24" applyNumberFormat="1" applyFont="1" applyFill="1" applyBorder="1" applyAlignment="1" applyProtection="1">
      <alignment horizontal="center"/>
      <protection locked="0"/>
    </xf>
    <xf numFmtId="22" fontId="4" fillId="25" borderId="94" xfId="24" applyNumberFormat="1" applyFont="1" applyFill="1" applyBorder="1" applyAlignment="1" applyProtection="1">
      <alignment horizontal="center"/>
      <protection locked="0"/>
    </xf>
    <xf numFmtId="3" fontId="16" fillId="0" borderId="85" xfId="26" applyNumberFormat="1" applyFont="1" applyFill="1" applyBorder="1" applyAlignment="1">
      <alignment horizontal="right"/>
      <protection/>
    </xf>
    <xf numFmtId="4" fontId="16" fillId="25" borderId="84" xfId="26" applyNumberFormat="1" applyFont="1" applyFill="1" applyBorder="1" applyAlignment="1" applyProtection="1">
      <alignment horizontal="center"/>
      <protection locked="0"/>
    </xf>
    <xf numFmtId="178" fontId="16" fillId="0" borderId="84" xfId="26" applyNumberFormat="1" applyFont="1" applyFill="1" applyBorder="1" applyAlignment="1">
      <alignment horizontal="center"/>
      <protection/>
    </xf>
    <xf numFmtId="22" fontId="4" fillId="25" borderId="9" xfId="21" applyNumberFormat="1" applyFont="1" applyFill="1" applyBorder="1" applyAlignment="1" applyProtection="1">
      <alignment horizontal="center"/>
      <protection locked="0"/>
    </xf>
    <xf numFmtId="22" fontId="4" fillId="25" borderId="4" xfId="21" applyNumberFormat="1" applyFont="1" applyFill="1" applyBorder="1" applyAlignment="1" applyProtection="1">
      <alignment horizontal="center"/>
      <protection locked="0"/>
    </xf>
    <xf numFmtId="4" fontId="16" fillId="25" borderId="2" xfId="26" applyNumberFormat="1" applyFont="1" applyFill="1" applyBorder="1" applyAlignment="1" applyProtection="1">
      <alignment horizontal="center"/>
      <protection locked="0"/>
    </xf>
    <xf numFmtId="178" fontId="16" fillId="0" borderId="82" xfId="26" applyNumberFormat="1" applyFont="1" applyFill="1" applyBorder="1" applyAlignment="1">
      <alignment horizontal="center"/>
      <protection/>
    </xf>
    <xf numFmtId="4" fontId="16" fillId="0" borderId="91" xfId="26" applyNumberFormat="1" applyFont="1" applyFill="1" applyBorder="1" applyAlignment="1">
      <alignment horizontal="right"/>
      <protection/>
    </xf>
    <xf numFmtId="0" fontId="4" fillId="2" borderId="6" xfId="26" applyFont="1" applyFill="1" applyBorder="1">
      <alignment/>
      <protection/>
    </xf>
    <xf numFmtId="0" fontId="4" fillId="0" borderId="6" xfId="26" applyFont="1" applyBorder="1" applyAlignment="1">
      <alignment horizontal="center"/>
      <protection/>
    </xf>
    <xf numFmtId="0" fontId="4" fillId="0" borderId="11" xfId="26" applyFont="1" applyBorder="1" applyAlignment="1">
      <alignment horizontal="center"/>
      <protection/>
    </xf>
    <xf numFmtId="0" fontId="4" fillId="25" borderId="6" xfId="26" applyFont="1" applyFill="1" applyBorder="1" applyAlignment="1" applyProtection="1">
      <alignment horizontal="center"/>
      <protection locked="0"/>
    </xf>
    <xf numFmtId="172" fontId="5" fillId="25" borderId="6" xfId="26" applyNumberFormat="1" applyFont="1" applyFill="1" applyBorder="1" applyAlignment="1" applyProtection="1">
      <alignment horizontal="center"/>
      <protection locked="0"/>
    </xf>
    <xf numFmtId="173" fontId="4" fillId="25" borderId="6" xfId="26" applyNumberFormat="1" applyFont="1" applyFill="1" applyBorder="1" applyAlignment="1" applyProtection="1">
      <alignment horizontal="center"/>
      <protection locked="0"/>
    </xf>
    <xf numFmtId="0" fontId="80" fillId="9" borderId="6" xfId="26" applyFont="1" applyFill="1" applyBorder="1" applyAlignment="1" applyProtection="1">
      <alignment horizontal="center"/>
      <protection locked="0"/>
    </xf>
    <xf numFmtId="180" fontId="82" fillId="10" borderId="6" xfId="26" applyNumberFormat="1" applyFont="1" applyFill="1" applyBorder="1" applyAlignment="1" applyProtection="1">
      <alignment horizontal="center"/>
      <protection locked="0"/>
    </xf>
    <xf numFmtId="176" fontId="4" fillId="25" borderId="6" xfId="26" applyNumberFormat="1" applyFont="1" applyFill="1" applyBorder="1" applyAlignment="1" applyProtection="1">
      <alignment horizontal="center"/>
      <protection locked="0"/>
    </xf>
    <xf numFmtId="176" fontId="4" fillId="0" borderId="6" xfId="26" applyNumberFormat="1" applyFont="1" applyFill="1" applyBorder="1" applyAlignment="1" applyProtection="1">
      <alignment horizontal="center"/>
      <protection/>
    </xf>
    <xf numFmtId="179" fontId="4" fillId="0" borderId="6" xfId="26" applyNumberFormat="1" applyFont="1" applyFill="1" applyBorder="1" applyAlignment="1" applyProtection="1" quotePrefix="1">
      <alignment horizontal="center"/>
      <protection/>
    </xf>
    <xf numFmtId="176" fontId="57" fillId="3" borderId="39" xfId="26" applyNumberFormat="1" applyFont="1" applyFill="1" applyBorder="1" applyAlignment="1" applyProtection="1" quotePrefix="1">
      <alignment horizontal="center"/>
      <protection/>
    </xf>
    <xf numFmtId="4" fontId="57" fillId="3" borderId="39" xfId="26" applyNumberFormat="1" applyFont="1" applyFill="1" applyBorder="1" applyAlignment="1" applyProtection="1">
      <alignment horizontal="center"/>
      <protection/>
    </xf>
    <xf numFmtId="2" fontId="16" fillId="0" borderId="6" xfId="26" applyNumberFormat="1" applyFont="1" applyFill="1" applyBorder="1" applyAlignment="1">
      <alignment horizontal="right"/>
      <protection/>
    </xf>
    <xf numFmtId="4" fontId="5" fillId="0" borderId="6" xfId="26" applyNumberFormat="1" applyFont="1" applyBorder="1" applyAlignment="1" applyProtection="1">
      <alignment horizontal="center"/>
      <protection/>
    </xf>
    <xf numFmtId="0" fontId="16" fillId="25" borderId="6" xfId="26" applyFont="1" applyFill="1" applyBorder="1" applyProtection="1">
      <alignment/>
      <protection locked="0"/>
    </xf>
    <xf numFmtId="0" fontId="16" fillId="0" borderId="6" xfId="26" applyFont="1" applyFill="1" applyBorder="1">
      <alignment/>
      <protection/>
    </xf>
    <xf numFmtId="0" fontId="16" fillId="25" borderId="6" xfId="26" applyFont="1" applyFill="1" applyBorder="1" applyAlignment="1" applyProtection="1">
      <alignment horizontal="center"/>
      <protection locked="0"/>
    </xf>
    <xf numFmtId="178" fontId="16" fillId="0" borderId="6" xfId="26" applyNumberFormat="1" applyFont="1" applyFill="1" applyBorder="1" applyAlignment="1">
      <alignment horizontal="center"/>
      <protection/>
    </xf>
    <xf numFmtId="4" fontId="16" fillId="22" borderId="6" xfId="26" applyNumberFormat="1" applyFont="1" applyFill="1" applyBorder="1" applyAlignment="1">
      <alignment horizontal="right"/>
      <protection/>
    </xf>
    <xf numFmtId="0" fontId="16" fillId="22" borderId="6" xfId="26" applyFont="1" applyFill="1" applyBorder="1">
      <alignment/>
      <protection/>
    </xf>
    <xf numFmtId="176" fontId="57" fillId="3" borderId="6" xfId="26" applyNumberFormat="1" applyFont="1" applyFill="1" applyBorder="1" applyAlignment="1" applyProtection="1" quotePrefix="1">
      <alignment horizontal="center"/>
      <protection/>
    </xf>
    <xf numFmtId="4" fontId="57" fillId="3" borderId="6" xfId="26" applyNumberFormat="1" applyFont="1" applyFill="1" applyBorder="1" applyAlignment="1" applyProtection="1">
      <alignment horizontal="center"/>
      <protection/>
    </xf>
    <xf numFmtId="0" fontId="16" fillId="0" borderId="33" xfId="26" applyFont="1" applyBorder="1">
      <alignment/>
      <protection/>
    </xf>
    <xf numFmtId="0" fontId="41" fillId="0" borderId="36" xfId="26" applyFont="1" applyBorder="1" applyAlignment="1">
      <alignment horizontal="center"/>
      <protection/>
    </xf>
    <xf numFmtId="0" fontId="43" fillId="0" borderId="0" xfId="26" applyFont="1" applyBorder="1" applyAlignment="1" applyProtection="1">
      <alignment horizontal="left"/>
      <protection/>
    </xf>
    <xf numFmtId="172" fontId="5" fillId="0" borderId="0" xfId="26" applyNumberFormat="1" applyFont="1" applyBorder="1" applyAlignment="1" applyProtection="1">
      <alignment horizontal="center"/>
      <protection/>
    </xf>
    <xf numFmtId="173" fontId="4" fillId="0" borderId="0" xfId="26" applyNumberFormat="1" applyFont="1" applyBorder="1" applyAlignment="1" applyProtection="1">
      <alignment horizontal="center"/>
      <protection/>
    </xf>
    <xf numFmtId="176" fontId="4" fillId="0" borderId="0" xfId="26" applyNumberFormat="1" applyFont="1" applyBorder="1" applyAlignment="1" applyProtection="1">
      <alignment horizontal="center"/>
      <protection/>
    </xf>
    <xf numFmtId="176" fontId="4" fillId="0" borderId="0" xfId="26" applyNumberFormat="1" applyFont="1" applyFill="1" applyBorder="1" applyAlignment="1" applyProtection="1">
      <alignment horizontal="center"/>
      <protection/>
    </xf>
    <xf numFmtId="179" fontId="4" fillId="0" borderId="0" xfId="26" applyNumberFormat="1" applyFont="1" applyBorder="1" applyAlignment="1" applyProtection="1" quotePrefix="1">
      <alignment horizontal="center"/>
      <protection/>
    </xf>
    <xf numFmtId="2" fontId="57" fillId="3" borderId="6" xfId="26" applyNumberFormat="1" applyFont="1" applyFill="1" applyBorder="1" applyAlignment="1" applyProtection="1">
      <alignment horizontal="center"/>
      <protection/>
    </xf>
    <xf numFmtId="7" fontId="12" fillId="0" borderId="0" xfId="26" applyNumberFormat="1" applyFont="1" applyFill="1" applyBorder="1" applyAlignment="1" applyProtection="1">
      <alignment horizontal="right"/>
      <protection/>
    </xf>
    <xf numFmtId="2" fontId="15" fillId="0" borderId="0" xfId="26" applyNumberFormat="1" applyFont="1" applyBorder="1" applyAlignment="1" applyProtection="1">
      <alignment horizontal="center"/>
      <protection/>
    </xf>
    <xf numFmtId="7" fontId="12" fillId="0" borderId="14" xfId="26" applyNumberFormat="1" applyFont="1" applyFill="1" applyBorder="1" applyAlignment="1" applyProtection="1">
      <alignment horizontal="right"/>
      <protection/>
    </xf>
    <xf numFmtId="0" fontId="0" fillId="0" borderId="0" xfId="26">
      <alignment/>
      <protection/>
    </xf>
    <xf numFmtId="0" fontId="0" fillId="0" borderId="21" xfId="26" applyBorder="1">
      <alignment/>
      <protection/>
    </xf>
    <xf numFmtId="0" fontId="0" fillId="0" borderId="0" xfId="26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Fill="1">
      <alignment/>
      <protection/>
    </xf>
    <xf numFmtId="0" fontId="0" fillId="0" borderId="0" xfId="26" applyFill="1">
      <alignment/>
      <protection/>
    </xf>
    <xf numFmtId="0" fontId="0" fillId="0" borderId="22" xfId="26" applyBorder="1">
      <alignment/>
      <protection/>
    </xf>
    <xf numFmtId="0" fontId="4" fillId="0" borderId="25" xfId="26" applyFont="1" applyBorder="1">
      <alignment/>
      <protection/>
    </xf>
    <xf numFmtId="0" fontId="4" fillId="0" borderId="26" xfId="26" applyFont="1" applyBorder="1">
      <alignment/>
      <protection/>
    </xf>
    <xf numFmtId="0" fontId="4" fillId="0" borderId="27" xfId="26" applyFont="1" applyBorder="1">
      <alignment/>
      <protection/>
    </xf>
    <xf numFmtId="0" fontId="50" fillId="0" borderId="0" xfId="26" applyFont="1">
      <alignment/>
      <protection/>
    </xf>
    <xf numFmtId="0" fontId="50" fillId="0" borderId="0" xfId="26" applyFont="1" applyFill="1">
      <alignment/>
      <protection/>
    </xf>
    <xf numFmtId="0" fontId="0" fillId="0" borderId="26" xfId="26" applyFont="1" applyBorder="1">
      <alignment/>
      <protection/>
    </xf>
    <xf numFmtId="0" fontId="0" fillId="0" borderId="26" xfId="26" applyFont="1" applyFill="1" applyBorder="1">
      <alignment/>
      <protection/>
    </xf>
    <xf numFmtId="7" fontId="4" fillId="0" borderId="0" xfId="0" applyNumberFormat="1" applyFont="1" applyAlignment="1">
      <alignment/>
    </xf>
    <xf numFmtId="0" fontId="4" fillId="2" borderId="88" xfId="26" applyFont="1" applyFill="1" applyBorder="1" applyAlignment="1">
      <alignment horizontal="center" vertical="center" textRotation="90"/>
      <protection/>
    </xf>
    <xf numFmtId="0" fontId="4" fillId="2" borderId="33" xfId="26" applyFont="1" applyFill="1" applyBorder="1" applyAlignment="1">
      <alignment horizontal="center" vertical="center" textRotation="90"/>
      <protection/>
    </xf>
    <xf numFmtId="0" fontId="4" fillId="2" borderId="95" xfId="26" applyFont="1" applyFill="1" applyBorder="1" applyAlignment="1">
      <alignment horizontal="center" vertical="center" textRotation="90"/>
      <protection/>
    </xf>
    <xf numFmtId="7" fontId="16" fillId="0" borderId="3" xfId="0" applyNumberFormat="1" applyFont="1" applyFill="1" applyBorder="1" applyAlignment="1">
      <alignment horizontal="center"/>
    </xf>
    <xf numFmtId="7" fontId="16" fillId="0" borderId="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76" fontId="4" fillId="0" borderId="15" xfId="0" applyNumberFormat="1" applyFont="1" applyBorder="1" applyAlignment="1" applyProtection="1">
      <alignment horizontal="center"/>
      <protection/>
    </xf>
    <xf numFmtId="176" fontId="4" fillId="0" borderId="9" xfId="0" applyNumberFormat="1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13_TEMPORAL" xfId="21"/>
    <cellStyle name="Normal_climat1-4" xfId="22"/>
    <cellStyle name="Normal_EDENOR9604" xfId="23"/>
    <cellStyle name="Normal_info-penalizaciones-iii" xfId="24"/>
    <cellStyle name="Normal_líneas" xfId="25"/>
    <cellStyle name="Normal_TRAN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247650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9525</xdr:rowOff>
    </xdr:from>
    <xdr:to>
      <xdr:col>0</xdr:col>
      <xdr:colOff>1752600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0401NER%20Anexo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DM15">
            <v>37622</v>
          </cell>
          <cell r="DN15">
            <v>37653</v>
          </cell>
          <cell r="DO15">
            <v>37681</v>
          </cell>
          <cell r="DP15">
            <v>37712</v>
          </cell>
          <cell r="DQ15">
            <v>37742</v>
          </cell>
          <cell r="DR15">
            <v>37773</v>
          </cell>
          <cell r="DS15">
            <v>37803</v>
          </cell>
          <cell r="DT15">
            <v>37834</v>
          </cell>
          <cell r="DU15">
            <v>37865</v>
          </cell>
          <cell r="DV15">
            <v>37895</v>
          </cell>
          <cell r="DW15">
            <v>37926</v>
          </cell>
          <cell r="DX15">
            <v>37956</v>
          </cell>
          <cell r="DY15">
            <v>37987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DS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DO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DM20">
            <v>1</v>
          </cell>
          <cell r="DO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DR21">
            <v>1</v>
          </cell>
          <cell r="DT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DO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DM25">
            <v>2</v>
          </cell>
          <cell r="DO25">
            <v>2</v>
          </cell>
          <cell r="DR25">
            <v>1</v>
          </cell>
          <cell r="DU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DS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DS34">
            <v>1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DV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  <cell r="DQ36">
            <v>1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  <cell r="DV41">
            <v>1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DM46" t="str">
            <v>XXXX</v>
          </cell>
          <cell r="DN46" t="str">
            <v>XXXX</v>
          </cell>
          <cell r="DO46" t="str">
            <v>XXXX</v>
          </cell>
          <cell r="DP46" t="str">
            <v>XXXX</v>
          </cell>
          <cell r="DQ46" t="str">
            <v>XXXX</v>
          </cell>
          <cell r="DR46" t="str">
            <v>XXXX</v>
          </cell>
          <cell r="DS46" t="str">
            <v>XXXX</v>
          </cell>
          <cell r="DT46" t="str">
            <v>XXXX</v>
          </cell>
          <cell r="DU46" t="str">
            <v>XXXX</v>
          </cell>
          <cell r="DV46" t="str">
            <v>XXXX</v>
          </cell>
          <cell r="DW46" t="str">
            <v>XXXX</v>
          </cell>
          <cell r="DX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DU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DO48">
            <v>2</v>
          </cell>
          <cell r="DP48">
            <v>2</v>
          </cell>
          <cell r="DT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DO49">
            <v>2</v>
          </cell>
          <cell r="DS49">
            <v>1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DU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DM54" t="str">
            <v>XXXX</v>
          </cell>
          <cell r="DN54" t="str">
            <v>XXXX</v>
          </cell>
          <cell r="DO54" t="str">
            <v>XXXX</v>
          </cell>
          <cell r="DP54" t="str">
            <v>XXXX</v>
          </cell>
          <cell r="DQ54" t="str">
            <v>XXXX</v>
          </cell>
          <cell r="DR54" t="str">
            <v>XXXX</v>
          </cell>
          <cell r="DS54" t="str">
            <v>XXXX</v>
          </cell>
          <cell r="DT54" t="str">
            <v>XXXX</v>
          </cell>
          <cell r="DU54" t="str">
            <v>XXXX</v>
          </cell>
          <cell r="DV54" t="str">
            <v>XXXX</v>
          </cell>
          <cell r="DW54" t="str">
            <v>XXXX</v>
          </cell>
          <cell r="DX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DM57" t="str">
            <v>XXXX</v>
          </cell>
          <cell r="DN57" t="str">
            <v>XXXX</v>
          </cell>
          <cell r="DO57" t="str">
            <v>XXXX</v>
          </cell>
          <cell r="DP57" t="str">
            <v>XXXX</v>
          </cell>
          <cell r="DQ57" t="str">
            <v>XXXX</v>
          </cell>
          <cell r="DR57" t="str">
            <v>XXXX</v>
          </cell>
          <cell r="DS57" t="str">
            <v>XXXX</v>
          </cell>
          <cell r="DT57" t="str">
            <v>XXXX</v>
          </cell>
          <cell r="DU57" t="str">
            <v>XXXX</v>
          </cell>
          <cell r="DV57" t="str">
            <v>XXXX</v>
          </cell>
          <cell r="DW57" t="str">
            <v>XXXX</v>
          </cell>
          <cell r="DX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DN60">
            <v>1</v>
          </cell>
          <cell r="DO60">
            <v>1</v>
          </cell>
          <cell r="DW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DN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DM62">
            <v>1</v>
          </cell>
          <cell r="DW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  <cell r="DT63">
            <v>1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DS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DW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DP69">
            <v>1</v>
          </cell>
          <cell r="DQ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DT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DW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DN77">
            <v>1</v>
          </cell>
          <cell r="DW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DR78">
            <v>1</v>
          </cell>
          <cell r="DU78">
            <v>1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DU79">
            <v>2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  <cell r="DW86">
            <v>1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DM87" t="str">
            <v>XXXX</v>
          </cell>
          <cell r="DN87" t="str">
            <v>XXXX</v>
          </cell>
          <cell r="DO87" t="str">
            <v>XXXX</v>
          </cell>
          <cell r="DP87" t="str">
            <v>XXXX</v>
          </cell>
          <cell r="DQ87" t="str">
            <v>XXXX</v>
          </cell>
          <cell r="DR87" t="str">
            <v>XXXX</v>
          </cell>
          <cell r="DS87" t="str">
            <v>XXXX</v>
          </cell>
          <cell r="DT87" t="str">
            <v>XXXX</v>
          </cell>
          <cell r="DU87" t="str">
            <v>XXXX</v>
          </cell>
          <cell r="DV87" t="str">
            <v>XXXX</v>
          </cell>
          <cell r="DW87" t="str">
            <v>XXXX</v>
          </cell>
          <cell r="DX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  <cell r="DV89">
            <v>1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DM100">
            <v>0.71</v>
          </cell>
          <cell r="DN100">
            <v>0.69</v>
          </cell>
          <cell r="DO100">
            <v>0.72</v>
          </cell>
          <cell r="DP100">
            <v>0.78</v>
          </cell>
          <cell r="DQ100">
            <v>0.78</v>
          </cell>
          <cell r="DR100">
            <v>0.77</v>
          </cell>
          <cell r="DS100">
            <v>0.79</v>
          </cell>
          <cell r="DT100">
            <v>0.8</v>
          </cell>
          <cell r="DU100">
            <v>0.8</v>
          </cell>
          <cell r="DV100">
            <v>0.83</v>
          </cell>
          <cell r="DW100">
            <v>0.8</v>
          </cell>
          <cell r="DX100">
            <v>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401"/>
      <sheetName val="LI-0401"/>
      <sheetName val="condiciones climaticas 313-01"/>
      <sheetName val="LIN-YACY"/>
      <sheetName val="LIN-LITSA"/>
      <sheetName val="TR-0401"/>
      <sheetName val="TRAFO-TIBA"/>
      <sheetName val="TRAFO-ENECOR"/>
      <sheetName val="SA-0401"/>
      <sheetName val="SA-0401 (2)"/>
      <sheetName val="SALIDA-TIBA"/>
      <sheetName val="SALIDA-ENECOR"/>
      <sheetName val="RE-0401"/>
      <sheetName val="SU (YACYLEC)"/>
      <sheetName val="SU (LITSA)"/>
      <sheetName val="SU (TIBA)"/>
      <sheetName val="SU (ENECOR)"/>
      <sheetName val="TRANSENER"/>
    </sheetNames>
    <sheetDataSet>
      <sheetData sheetId="0">
        <row r="14">
          <cell r="B14" t="str">
            <v>Desde el 01 al 31 de enero de 2004</v>
          </cell>
        </row>
      </sheetData>
      <sheetData sheetId="3">
        <row r="14">
          <cell r="E14">
            <v>4115541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9"/>
  <sheetViews>
    <sheetView tabSelected="1" zoomScale="75" zoomScaleNormal="75" workbookViewId="0" topLeftCell="B1">
      <selection activeCell="B3" sqref="B3"/>
    </sheetView>
  </sheetViews>
  <sheetFormatPr defaultColWidth="11.421875" defaultRowHeight="12.75"/>
  <cols>
    <col min="1" max="1" width="22.7109375" style="16" customWidth="1"/>
    <col min="2" max="2" width="7.7109375" style="16" customWidth="1"/>
    <col min="3" max="3" width="21.00390625" style="16" customWidth="1"/>
    <col min="4" max="4" width="17.8515625" style="16" customWidth="1"/>
    <col min="5" max="5" width="21.00390625" style="16" customWidth="1"/>
    <col min="6" max="6" width="17.00390625" style="16" customWidth="1"/>
    <col min="7" max="7" width="36.28125" style="16" customWidth="1"/>
    <col min="8" max="8" width="22.57421875" style="16" customWidth="1"/>
    <col min="9" max="9" width="20.0039062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94" customFormat="1" ht="26.25">
      <c r="B1" s="95"/>
      <c r="E1" s="13"/>
      <c r="K1" s="759"/>
    </row>
    <row r="2" spans="2:10" s="94" customFormat="1" ht="26.25">
      <c r="B2" s="95" t="s">
        <v>284</v>
      </c>
      <c r="C2" s="96"/>
      <c r="D2" s="97"/>
      <c r="E2" s="97"/>
      <c r="F2" s="97"/>
      <c r="G2" s="97"/>
      <c r="H2" s="97"/>
      <c r="I2" s="97"/>
      <c r="J2" s="97"/>
    </row>
    <row r="3" spans="3:19" ht="12.75">
      <c r="C3"/>
      <c r="D3" s="98"/>
      <c r="E3" s="98"/>
      <c r="F3" s="98"/>
      <c r="G3" s="98"/>
      <c r="H3" s="98"/>
      <c r="I3" s="98"/>
      <c r="J3" s="98"/>
      <c r="P3" s="14"/>
      <c r="Q3" s="14"/>
      <c r="R3" s="14"/>
      <c r="S3" s="14"/>
    </row>
    <row r="4" spans="1:19" s="101" customFormat="1" ht="11.25">
      <c r="A4" s="99" t="s">
        <v>50</v>
      </c>
      <c r="B4" s="100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s="101" customFormat="1" ht="11.25">
      <c r="A5" s="99" t="s">
        <v>51</v>
      </c>
      <c r="B5" s="100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19" s="94" customFormat="1" ht="11.25" customHeight="1">
      <c r="B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2:19" s="10" customFormat="1" ht="21">
      <c r="B7" s="269" t="s">
        <v>0</v>
      </c>
      <c r="C7" s="105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69" t="s">
        <v>1</v>
      </c>
      <c r="C9" s="105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107"/>
      <c r="E10" s="10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69" t="s">
        <v>279</v>
      </c>
      <c r="C11" s="4"/>
      <c r="D11" s="106"/>
      <c r="E11" s="106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108" customFormat="1" ht="16.5" thickBot="1">
      <c r="D12" s="109"/>
      <c r="E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2:19" s="108" customFormat="1" ht="16.5" thickTop="1">
      <c r="B13" s="111"/>
      <c r="C13" s="112"/>
      <c r="D13" s="112"/>
      <c r="E13" s="573"/>
      <c r="F13" s="112"/>
      <c r="G13" s="112"/>
      <c r="H13" s="112"/>
      <c r="I13" s="112"/>
      <c r="J13" s="113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2:19" s="15" customFormat="1" ht="19.5">
      <c r="B14" s="114" t="s">
        <v>221</v>
      </c>
      <c r="C14" s="115"/>
      <c r="D14" s="116"/>
      <c r="E14" s="574"/>
      <c r="F14" s="117"/>
      <c r="G14" s="117"/>
      <c r="H14" s="117"/>
      <c r="I14" s="118"/>
      <c r="J14" s="119"/>
      <c r="K14" s="120"/>
      <c r="L14" s="120"/>
      <c r="M14" s="120"/>
      <c r="N14" s="120"/>
      <c r="O14" s="120"/>
      <c r="P14" s="120"/>
      <c r="Q14" s="120"/>
      <c r="R14" s="120"/>
      <c r="S14" s="120"/>
    </row>
    <row r="15" spans="2:19" s="15" customFormat="1" ht="13.5" customHeight="1">
      <c r="B15" s="121"/>
      <c r="C15" s="122"/>
      <c r="D15" s="572"/>
      <c r="E15" s="575"/>
      <c r="F15" s="68"/>
      <c r="G15" s="68"/>
      <c r="H15" s="68"/>
      <c r="I15" s="120"/>
      <c r="J15" s="123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2:19" s="15" customFormat="1" ht="19.5">
      <c r="B16" s="121"/>
      <c r="C16" s="124" t="s">
        <v>52</v>
      </c>
      <c r="D16" s="572" t="s">
        <v>53</v>
      </c>
      <c r="E16" s="575"/>
      <c r="F16" s="68"/>
      <c r="G16" s="68"/>
      <c r="H16" s="68"/>
      <c r="I16" s="125"/>
      <c r="J16" s="123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2:19" s="15" customFormat="1" ht="19.5">
      <c r="B17" s="121"/>
      <c r="C17" s="124"/>
      <c r="D17" s="572">
        <v>11</v>
      </c>
      <c r="E17" s="576" t="s">
        <v>54</v>
      </c>
      <c r="F17" s="68"/>
      <c r="G17" s="68"/>
      <c r="H17" s="68"/>
      <c r="I17" s="125">
        <f>ROUND('LI-0401'!AC40,2)</f>
        <v>7279.46</v>
      </c>
      <c r="J17" s="123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2:19" s="15" customFormat="1" ht="19.5">
      <c r="B18" s="121"/>
      <c r="C18" s="124"/>
      <c r="D18" s="572"/>
      <c r="E18" s="578" t="s">
        <v>278</v>
      </c>
      <c r="F18" s="576" t="s">
        <v>277</v>
      </c>
      <c r="G18" s="68"/>
      <c r="H18" s="68"/>
      <c r="I18" s="125">
        <f>'condiciones climaticas 313-01'!AM29</f>
        <v>5972.39</v>
      </c>
      <c r="J18" s="123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2:19" ht="12.75" customHeight="1">
      <c r="B19" s="126"/>
      <c r="C19" s="127"/>
      <c r="D19" s="572"/>
      <c r="E19" s="577"/>
      <c r="F19" s="128"/>
      <c r="G19" s="128"/>
      <c r="H19" s="128"/>
      <c r="I19" s="129"/>
      <c r="J19" s="130"/>
      <c r="K19" s="14"/>
      <c r="L19" s="14"/>
      <c r="M19" s="14"/>
      <c r="N19" s="14"/>
      <c r="O19" s="14"/>
      <c r="P19" s="14"/>
      <c r="Q19" s="14"/>
      <c r="R19" s="14"/>
      <c r="S19" s="14"/>
    </row>
    <row r="20" spans="2:19" s="15" customFormat="1" ht="19.5">
      <c r="B20" s="121"/>
      <c r="C20" s="124" t="s">
        <v>57</v>
      </c>
      <c r="D20" s="579" t="s">
        <v>58</v>
      </c>
      <c r="E20" s="575"/>
      <c r="F20" s="68"/>
      <c r="G20" s="68"/>
      <c r="H20" s="68"/>
      <c r="I20" s="125"/>
      <c r="J20" s="123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2:19" s="15" customFormat="1" ht="19.5">
      <c r="B21" s="121"/>
      <c r="C21" s="124"/>
      <c r="D21" s="572">
        <v>21</v>
      </c>
      <c r="E21" s="576" t="s">
        <v>59</v>
      </c>
      <c r="F21" s="68"/>
      <c r="G21" s="68"/>
      <c r="H21" s="68"/>
      <c r="I21" s="125"/>
      <c r="J21" s="123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2:19" s="15" customFormat="1" ht="19.5">
      <c r="B22" s="121"/>
      <c r="C22" s="124"/>
      <c r="D22" s="572"/>
      <c r="E22" s="578">
        <v>211</v>
      </c>
      <c r="F22" s="13" t="s">
        <v>54</v>
      </c>
      <c r="G22" s="68"/>
      <c r="H22" s="68"/>
      <c r="I22" s="125">
        <f>ROUND('TR-0401'!AA43,2)</f>
        <v>691247.79</v>
      </c>
      <c r="J22" s="123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2:19" s="15" customFormat="1" ht="19.5">
      <c r="B23" s="121"/>
      <c r="C23" s="124"/>
      <c r="D23" s="572">
        <v>22</v>
      </c>
      <c r="E23" s="576" t="s">
        <v>60</v>
      </c>
      <c r="F23" s="68"/>
      <c r="G23" s="68"/>
      <c r="H23" s="68"/>
      <c r="I23" s="125"/>
      <c r="J23" s="123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2:19" s="15" customFormat="1" ht="19.5">
      <c r="B24" s="121"/>
      <c r="C24" s="124"/>
      <c r="D24" s="572"/>
      <c r="E24" s="578">
        <v>221</v>
      </c>
      <c r="F24" s="13" t="s">
        <v>54</v>
      </c>
      <c r="G24" s="68"/>
      <c r="H24" s="68"/>
      <c r="I24" s="125">
        <f>'SA-0401 (2)'!T45</f>
        <v>26935.42</v>
      </c>
      <c r="J24" s="123"/>
      <c r="K24" s="120"/>
      <c r="L24" s="120"/>
      <c r="M24" s="120"/>
      <c r="N24" s="120"/>
      <c r="O24" s="120"/>
      <c r="P24" s="120"/>
      <c r="Q24" s="120"/>
      <c r="R24" s="120"/>
      <c r="S24" s="120"/>
    </row>
    <row r="25" spans="2:19" ht="12.75" customHeight="1">
      <c r="B25" s="126"/>
      <c r="C25" s="127"/>
      <c r="D25" s="572"/>
      <c r="E25" s="577"/>
      <c r="F25" s="128"/>
      <c r="G25" s="128"/>
      <c r="H25" s="128"/>
      <c r="I25" s="129"/>
      <c r="J25" s="130"/>
      <c r="K25" s="14"/>
      <c r="L25" s="14"/>
      <c r="M25" s="14"/>
      <c r="N25" s="14"/>
      <c r="O25" s="14"/>
      <c r="P25" s="14"/>
      <c r="Q25" s="14"/>
      <c r="R25" s="14"/>
      <c r="S25" s="14"/>
    </row>
    <row r="26" spans="2:19" s="15" customFormat="1" ht="19.5">
      <c r="B26" s="121"/>
      <c r="C26" s="124" t="s">
        <v>61</v>
      </c>
      <c r="D26" s="579" t="s">
        <v>62</v>
      </c>
      <c r="E26" s="575"/>
      <c r="F26" s="68"/>
      <c r="G26" s="68"/>
      <c r="H26" s="68"/>
      <c r="I26" s="125"/>
      <c r="J26" s="123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2:19" s="15" customFormat="1" ht="19.5">
      <c r="B27" s="121"/>
      <c r="C27" s="124"/>
      <c r="D27" s="572">
        <v>31</v>
      </c>
      <c r="E27" s="576" t="s">
        <v>54</v>
      </c>
      <c r="F27" s="68"/>
      <c r="G27" s="68"/>
      <c r="H27" s="68"/>
      <c r="I27" s="125">
        <f>'RE-0401'!U42</f>
        <v>3396.45</v>
      </c>
      <c r="J27" s="123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2:19" s="15" customFormat="1" ht="12.75" customHeight="1">
      <c r="B28" s="121"/>
      <c r="C28" s="124"/>
      <c r="D28" s="572"/>
      <c r="E28" s="576"/>
      <c r="F28" s="68"/>
      <c r="G28" s="68"/>
      <c r="H28" s="68"/>
      <c r="I28" s="125"/>
      <c r="J28" s="123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2:19" s="15" customFormat="1" ht="19.5">
      <c r="B29" s="121"/>
      <c r="C29" s="124" t="s">
        <v>63</v>
      </c>
      <c r="D29" s="579" t="s">
        <v>64</v>
      </c>
      <c r="E29" s="575"/>
      <c r="F29" s="68"/>
      <c r="G29" s="68"/>
      <c r="H29" s="68"/>
      <c r="I29" s="125"/>
      <c r="J29" s="123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2:19" s="15" customFormat="1" ht="19.5">
      <c r="B30" s="121"/>
      <c r="C30" s="124"/>
      <c r="D30" s="572">
        <v>41</v>
      </c>
      <c r="E30" s="576" t="s">
        <v>55</v>
      </c>
      <c r="F30" s="68"/>
      <c r="G30" s="68"/>
      <c r="H30" s="68"/>
      <c r="I30" s="125">
        <f>'SU (YACYLEC)'!K57</f>
        <v>0</v>
      </c>
      <c r="J30" s="123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2:19" s="15" customFormat="1" ht="19.5">
      <c r="B31" s="121"/>
      <c r="C31" s="124"/>
      <c r="D31" s="572">
        <v>42</v>
      </c>
      <c r="E31" s="576" t="s">
        <v>56</v>
      </c>
      <c r="F31" s="68"/>
      <c r="G31" s="68"/>
      <c r="H31" s="68"/>
      <c r="I31" s="125">
        <f>'SU (LITSA)'!K62</f>
        <v>7.984093039999999</v>
      </c>
      <c r="J31" s="123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2:19" s="15" customFormat="1" ht="19.5">
      <c r="B32" s="121"/>
      <c r="C32" s="124"/>
      <c r="D32" s="572">
        <v>43</v>
      </c>
      <c r="E32" s="576" t="s">
        <v>65</v>
      </c>
      <c r="F32" s="68"/>
      <c r="G32" s="68"/>
      <c r="H32" s="68"/>
      <c r="I32" s="125">
        <f>'SU (TIBA)'!J66</f>
        <v>1908.9780700000006</v>
      </c>
      <c r="J32" s="123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2:19" s="15" customFormat="1" ht="19.5">
      <c r="B33" s="121"/>
      <c r="C33" s="124"/>
      <c r="D33" s="572">
        <v>44</v>
      </c>
      <c r="E33" s="576" t="s">
        <v>190</v>
      </c>
      <c r="F33" s="68"/>
      <c r="G33" s="68"/>
      <c r="H33" s="68"/>
      <c r="I33" s="125">
        <f>'SU (ENECOR)'!J59</f>
        <v>1124.1824000000004</v>
      </c>
      <c r="J33" s="123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2:19" s="15" customFormat="1" ht="20.25" thickBot="1">
      <c r="B34" s="121"/>
      <c r="C34" s="122"/>
      <c r="D34" s="572"/>
      <c r="E34" s="575"/>
      <c r="F34" s="68"/>
      <c r="G34" s="68"/>
      <c r="H34" s="68"/>
      <c r="I34" s="120"/>
      <c r="J34" s="123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2:19" s="15" customFormat="1" ht="20.25" thickBot="1" thickTop="1">
      <c r="B35" s="121"/>
      <c r="C35" s="124"/>
      <c r="D35" s="124"/>
      <c r="F35" s="131" t="s">
        <v>66</v>
      </c>
      <c r="G35" s="132">
        <f>SUM(I16:I33)</f>
        <v>737872.65456304</v>
      </c>
      <c r="H35" s="268"/>
      <c r="J35" s="123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2:19" s="15" customFormat="1" ht="9.75" customHeight="1" thickTop="1">
      <c r="B36" s="121"/>
      <c r="C36" s="124"/>
      <c r="D36" s="124"/>
      <c r="F36" s="611"/>
      <c r="G36" s="268"/>
      <c r="H36" s="268"/>
      <c r="J36" s="123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2:19" s="15" customFormat="1" ht="18.75">
      <c r="B37" s="121"/>
      <c r="C37" s="773" t="s">
        <v>207</v>
      </c>
      <c r="D37" s="124"/>
      <c r="F37" s="611"/>
      <c r="G37" s="268"/>
      <c r="H37" s="268"/>
      <c r="J37" s="123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2:19" s="108" customFormat="1" ht="10.5" customHeight="1" thickBot="1">
      <c r="B38" s="133"/>
      <c r="C38" s="134"/>
      <c r="D38" s="134"/>
      <c r="E38" s="135"/>
      <c r="F38" s="135"/>
      <c r="G38" s="135"/>
      <c r="H38" s="135"/>
      <c r="I38" s="135"/>
      <c r="J38" s="136"/>
      <c r="K38" s="110"/>
      <c r="L38" s="110"/>
      <c r="M38" s="137"/>
      <c r="N38" s="138"/>
      <c r="O38" s="138"/>
      <c r="P38" s="139"/>
      <c r="Q38" s="140"/>
      <c r="R38" s="110"/>
      <c r="S38" s="110"/>
    </row>
    <row r="39" spans="4:19" ht="13.5" thickTop="1">
      <c r="D39" s="14"/>
      <c r="F39" s="14"/>
      <c r="G39" s="14"/>
      <c r="H39" s="14"/>
      <c r="I39" s="14"/>
      <c r="J39" s="14"/>
      <c r="K39" s="14"/>
      <c r="L39" s="14"/>
      <c r="M39" s="65"/>
      <c r="N39" s="141"/>
      <c r="O39" s="141"/>
      <c r="P39" s="14"/>
      <c r="Q39" s="2"/>
      <c r="R39" s="14"/>
      <c r="S39" s="14"/>
    </row>
    <row r="40" spans="4:19" ht="12.75">
      <c r="D40" s="14"/>
      <c r="F40" s="14"/>
      <c r="G40" s="14"/>
      <c r="H40" s="14"/>
      <c r="I40" s="14"/>
      <c r="J40" s="14"/>
      <c r="K40" s="14"/>
      <c r="L40" s="14"/>
      <c r="M40" s="14"/>
      <c r="N40" s="142"/>
      <c r="O40" s="142"/>
      <c r="P40" s="143"/>
      <c r="Q40" s="2"/>
      <c r="R40" s="14"/>
      <c r="S40" s="14"/>
    </row>
    <row r="41" spans="4:19" ht="12.7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2"/>
      <c r="O41" s="142"/>
      <c r="P41" s="143"/>
      <c r="Q41" s="2"/>
      <c r="R41" s="14"/>
      <c r="S41" s="14"/>
    </row>
    <row r="42" spans="4:19" ht="12.75">
      <c r="D42" s="14"/>
      <c r="E42" s="14"/>
      <c r="L42" s="14"/>
      <c r="M42" s="14"/>
      <c r="N42" s="14"/>
      <c r="O42" s="14"/>
      <c r="P42" s="14"/>
      <c r="Q42" s="14"/>
      <c r="R42" s="14"/>
      <c r="S42" s="14"/>
    </row>
    <row r="43" spans="4:19" ht="12.75">
      <c r="D43" s="14"/>
      <c r="E43" s="14"/>
      <c r="P43" s="14"/>
      <c r="Q43" s="14"/>
      <c r="R43" s="14"/>
      <c r="S43" s="14"/>
    </row>
    <row r="44" spans="4:19" ht="12.75">
      <c r="D44" s="14"/>
      <c r="E44" s="14"/>
      <c r="G44" s="1206"/>
      <c r="P44" s="14"/>
      <c r="Q44" s="14"/>
      <c r="R44" s="14"/>
      <c r="S44" s="14"/>
    </row>
    <row r="45" spans="4:19" ht="12.75">
      <c r="D45" s="14"/>
      <c r="E45" s="14"/>
      <c r="P45" s="14"/>
      <c r="Q45" s="14"/>
      <c r="R45" s="14"/>
      <c r="S45" s="14"/>
    </row>
    <row r="46" spans="4:19" ht="12.75">
      <c r="D46" s="14"/>
      <c r="E46" s="14"/>
      <c r="P46" s="14"/>
      <c r="Q46" s="14"/>
      <c r="R46" s="14"/>
      <c r="S46" s="14"/>
    </row>
    <row r="47" spans="4:19" ht="12.75">
      <c r="D47" s="14"/>
      <c r="E47" s="14"/>
      <c r="P47" s="14"/>
      <c r="Q47" s="14"/>
      <c r="R47" s="14"/>
      <c r="S47" s="14"/>
    </row>
    <row r="48" spans="16:19" ht="12.75">
      <c r="P48" s="14"/>
      <c r="Q48" s="14"/>
      <c r="R48" s="14"/>
      <c r="S48" s="14"/>
    </row>
    <row r="49" spans="16:19" ht="12.75">
      <c r="P49" s="14"/>
      <c r="Q49" s="14"/>
      <c r="R49" s="14"/>
      <c r="S49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68"/>
  <sheetViews>
    <sheetView zoomScale="75" zoomScaleNormal="75" workbookViewId="0" topLeftCell="D1">
      <selection activeCell="C26" sqref="C26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9"/>
      <c r="AD1" s="640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44" customFormat="1" ht="30.75">
      <c r="A3" s="641"/>
      <c r="B3" s="642" t="str">
        <f>+'tot-0401'!B2</f>
        <v>ANEXO I-1a a la Resolución ENRE N° 686/2007.-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AB3" s="643"/>
      <c r="AC3" s="643"/>
      <c r="AD3" s="643"/>
    </row>
    <row r="4" spans="1:2" s="101" customFormat="1" ht="11.25">
      <c r="A4" s="717" t="s">
        <v>50</v>
      </c>
      <c r="B4" s="729"/>
    </row>
    <row r="5" spans="1:2" s="101" customFormat="1" ht="12" thickBot="1">
      <c r="A5" s="717" t="s">
        <v>51</v>
      </c>
      <c r="B5" s="717"/>
    </row>
    <row r="6" spans="1:23" ht="16.5" customHeight="1" thickTop="1">
      <c r="A6" s="16"/>
      <c r="B6" s="145"/>
      <c r="C6" s="146"/>
      <c r="D6" s="146"/>
      <c r="E6" s="147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8"/>
    </row>
    <row r="7" spans="1:23" ht="20.25">
      <c r="A7" s="16"/>
      <c r="B7" s="126"/>
      <c r="C7" s="14"/>
      <c r="D7" s="7" t="s">
        <v>123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5"/>
      <c r="Q7" s="295"/>
      <c r="R7" s="14"/>
      <c r="S7" s="14"/>
      <c r="T7" s="14"/>
      <c r="U7" s="14"/>
      <c r="V7" s="14"/>
      <c r="W7" s="149"/>
    </row>
    <row r="8" spans="1:23" ht="16.5" customHeight="1">
      <c r="A8" s="16"/>
      <c r="B8" s="12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9"/>
    </row>
    <row r="9" spans="2:23" s="15" customFormat="1" ht="20.25">
      <c r="B9" s="121"/>
      <c r="C9" s="120"/>
      <c r="D9" s="7" t="s">
        <v>124</v>
      </c>
      <c r="E9" s="120"/>
      <c r="F9" s="120"/>
      <c r="G9" s="120"/>
      <c r="H9" s="120"/>
      <c r="N9" s="120"/>
      <c r="O9" s="120"/>
      <c r="P9" s="364"/>
      <c r="Q9" s="364"/>
      <c r="R9" s="120"/>
      <c r="S9" s="120"/>
      <c r="T9" s="120"/>
      <c r="U9" s="120"/>
      <c r="V9" s="120"/>
      <c r="W9" s="365"/>
    </row>
    <row r="10" spans="1:23" ht="16.5" customHeight="1">
      <c r="A10" s="16"/>
      <c r="B10" s="12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9"/>
    </row>
    <row r="11" spans="2:23" s="15" customFormat="1" ht="20.25">
      <c r="B11" s="121"/>
      <c r="C11" s="120"/>
      <c r="D11" s="7" t="s">
        <v>173</v>
      </c>
      <c r="E11" s="120"/>
      <c r="F11" s="120"/>
      <c r="G11" s="120"/>
      <c r="H11" s="120"/>
      <c r="N11" s="120"/>
      <c r="O11" s="120"/>
      <c r="P11" s="364"/>
      <c r="Q11" s="364"/>
      <c r="R11" s="120"/>
      <c r="S11" s="120"/>
      <c r="T11" s="120"/>
      <c r="U11" s="120"/>
      <c r="V11" s="120"/>
      <c r="W11" s="365"/>
    </row>
    <row r="12" spans="1:23" ht="16.5" customHeight="1">
      <c r="A12" s="16"/>
      <c r="B12" s="126"/>
      <c r="C12" s="14"/>
      <c r="D12" s="14"/>
      <c r="E12" s="16"/>
      <c r="F12" s="16"/>
      <c r="G12" s="16"/>
      <c r="H12" s="16"/>
      <c r="I12" s="150"/>
      <c r="J12" s="150"/>
      <c r="K12" s="150"/>
      <c r="L12" s="150"/>
      <c r="M12" s="150"/>
      <c r="N12" s="150"/>
      <c r="O12" s="150"/>
      <c r="P12" s="150"/>
      <c r="Q12" s="150"/>
      <c r="R12" s="14"/>
      <c r="S12" s="14"/>
      <c r="T12" s="14"/>
      <c r="U12" s="14"/>
      <c r="V12" s="14"/>
      <c r="W12" s="149"/>
    </row>
    <row r="13" spans="2:23" s="15" customFormat="1" ht="19.5">
      <c r="B13" s="114" t="str">
        <f>+'tot-0401'!B14</f>
        <v>Desde el 01 al 31 de enero de 2004</v>
      </c>
      <c r="C13" s="115"/>
      <c r="D13" s="117"/>
      <c r="E13" s="117"/>
      <c r="F13" s="117"/>
      <c r="G13" s="117"/>
      <c r="H13" s="117"/>
      <c r="I13" s="118"/>
      <c r="J13" s="4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367"/>
      <c r="V13" s="367"/>
      <c r="W13" s="119"/>
    </row>
    <row r="14" spans="1:23" ht="16.5" customHeight="1">
      <c r="A14" s="16"/>
      <c r="B14" s="126"/>
      <c r="C14" s="14"/>
      <c r="D14" s="14"/>
      <c r="E14" s="2"/>
      <c r="F14" s="2"/>
      <c r="G14" s="14"/>
      <c r="H14" s="14"/>
      <c r="I14" s="14"/>
      <c r="J14" s="296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9"/>
    </row>
    <row r="15" spans="1:23" ht="16.5" customHeight="1">
      <c r="A15" s="16"/>
      <c r="B15" s="126"/>
      <c r="C15" s="14"/>
      <c r="D15" s="14"/>
      <c r="E15" s="2"/>
      <c r="F15" s="2"/>
      <c r="G15" s="14"/>
      <c r="H15" s="14"/>
      <c r="I15" s="297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9"/>
    </row>
    <row r="16" spans="1:23" ht="16.5" customHeight="1">
      <c r="A16" s="16"/>
      <c r="B16" s="126"/>
      <c r="C16" s="14"/>
      <c r="D16" s="14"/>
      <c r="E16" s="2"/>
      <c r="F16" s="2"/>
      <c r="G16" s="14"/>
      <c r="H16" s="14"/>
      <c r="I16" s="297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9"/>
    </row>
    <row r="17" spans="1:23" ht="16.5" customHeight="1" thickBot="1">
      <c r="A17" s="16"/>
      <c r="B17" s="126"/>
      <c r="C17" s="611" t="s">
        <v>125</v>
      </c>
      <c r="D17" s="13" t="s">
        <v>126</v>
      </c>
      <c r="E17" s="2"/>
      <c r="F17" s="2"/>
      <c r="G17" s="14"/>
      <c r="H17" s="14"/>
      <c r="I17" s="14"/>
      <c r="J17" s="296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9"/>
    </row>
    <row r="18" spans="2:23" s="108" customFormat="1" ht="16.5" customHeight="1" thickBot="1">
      <c r="B18" s="316"/>
      <c r="C18" s="110"/>
      <c r="D18" s="580"/>
      <c r="E18" s="581"/>
      <c r="F18" s="310"/>
      <c r="G18" s="110"/>
      <c r="H18" s="110"/>
      <c r="I18" s="110"/>
      <c r="J18" s="601"/>
      <c r="K18" s="110"/>
      <c r="L18" s="110"/>
      <c r="M18" s="110"/>
      <c r="N18" s="730" t="s">
        <v>76</v>
      </c>
      <c r="P18" s="110"/>
      <c r="Q18" s="110"/>
      <c r="R18" s="110"/>
      <c r="S18" s="110"/>
      <c r="T18" s="110"/>
      <c r="U18" s="110"/>
      <c r="V18" s="110"/>
      <c r="W18" s="602"/>
    </row>
    <row r="19" spans="2:23" s="108" customFormat="1" ht="16.5" customHeight="1">
      <c r="B19" s="316"/>
      <c r="C19" s="110"/>
      <c r="E19" s="584" t="s">
        <v>129</v>
      </c>
      <c r="F19" s="585">
        <v>0.025</v>
      </c>
      <c r="G19" s="633"/>
      <c r="H19" s="110"/>
      <c r="I19" s="762"/>
      <c r="J19" s="763"/>
      <c r="K19" s="724" t="s">
        <v>193</v>
      </c>
      <c r="L19" s="725"/>
      <c r="M19" s="771">
        <v>30.733</v>
      </c>
      <c r="N19" s="772">
        <v>200</v>
      </c>
      <c r="R19" s="110"/>
      <c r="S19" s="110"/>
      <c r="T19" s="110"/>
      <c r="U19" s="110"/>
      <c r="V19" s="110"/>
      <c r="W19" s="602"/>
    </row>
    <row r="20" spans="2:23" s="108" customFormat="1" ht="16.5" customHeight="1">
      <c r="B20" s="316"/>
      <c r="C20" s="110"/>
      <c r="E20" s="580" t="s">
        <v>132</v>
      </c>
      <c r="F20" s="110">
        <f>MID(B13,16,2)*24</f>
        <v>744</v>
      </c>
      <c r="G20" s="110" t="s">
        <v>133</v>
      </c>
      <c r="H20" s="110"/>
      <c r="I20" s="110"/>
      <c r="J20" s="110"/>
      <c r="K20" s="719" t="s">
        <v>115</v>
      </c>
      <c r="L20" s="718"/>
      <c r="M20" s="720">
        <v>27.658</v>
      </c>
      <c r="N20" s="731">
        <v>100</v>
      </c>
      <c r="O20" s="110"/>
      <c r="P20" s="603"/>
      <c r="Q20" s="110"/>
      <c r="R20" s="110"/>
      <c r="S20" s="110"/>
      <c r="T20" s="110"/>
      <c r="U20" s="110"/>
      <c r="V20" s="110"/>
      <c r="W20" s="602"/>
    </row>
    <row r="21" spans="2:23" s="108" customFormat="1" ht="16.5" customHeight="1" thickBot="1">
      <c r="B21" s="316"/>
      <c r="C21" s="110"/>
      <c r="E21" s="580" t="s">
        <v>174</v>
      </c>
      <c r="F21" s="110">
        <v>0.154</v>
      </c>
      <c r="G21" s="108" t="s">
        <v>131</v>
      </c>
      <c r="H21" s="110"/>
      <c r="I21" s="110"/>
      <c r="J21" s="110"/>
      <c r="K21" s="721" t="s">
        <v>194</v>
      </c>
      <c r="L21" s="722"/>
      <c r="M21" s="723">
        <v>24.587</v>
      </c>
      <c r="N21" s="732">
        <v>40</v>
      </c>
      <c r="O21" s="110"/>
      <c r="P21" s="603"/>
      <c r="Q21" s="110"/>
      <c r="R21" s="110"/>
      <c r="S21" s="110"/>
      <c r="T21" s="110"/>
      <c r="U21" s="110"/>
      <c r="V21" s="110"/>
      <c r="W21" s="602"/>
    </row>
    <row r="22" spans="2:23" s="108" customFormat="1" ht="16.5" customHeight="1">
      <c r="B22" s="316"/>
      <c r="C22" s="110"/>
      <c r="D22" s="110"/>
      <c r="E22" s="312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602"/>
    </row>
    <row r="23" spans="1:23" ht="16.5" customHeight="1">
      <c r="A23" s="16"/>
      <c r="B23" s="126"/>
      <c r="C23" s="611" t="s">
        <v>135</v>
      </c>
      <c r="D23" s="109" t="s">
        <v>136</v>
      </c>
      <c r="I23" s="14"/>
      <c r="J23" s="108"/>
      <c r="O23" s="14"/>
      <c r="P23" s="14"/>
      <c r="Q23" s="14"/>
      <c r="R23" s="14"/>
      <c r="S23" s="14"/>
      <c r="T23" s="14"/>
      <c r="V23" s="14"/>
      <c r="W23" s="149"/>
    </row>
    <row r="24" spans="1:23" ht="10.5" customHeight="1" thickBot="1">
      <c r="A24" s="16"/>
      <c r="B24" s="126"/>
      <c r="C24" s="2"/>
      <c r="D24" s="109"/>
      <c r="I24" s="14"/>
      <c r="J24" s="108"/>
      <c r="O24" s="14"/>
      <c r="P24" s="14"/>
      <c r="Q24" s="14"/>
      <c r="R24" s="14"/>
      <c r="S24" s="14"/>
      <c r="T24" s="14"/>
      <c r="V24" s="14"/>
      <c r="W24" s="149"/>
    </row>
    <row r="25" spans="2:23" s="108" customFormat="1" ht="16.5" customHeight="1" thickBot="1" thickTop="1">
      <c r="B25" s="316"/>
      <c r="C25" s="310"/>
      <c r="D25"/>
      <c r="E25"/>
      <c r="F25"/>
      <c r="G25"/>
      <c r="H25"/>
      <c r="I25" s="645" t="s">
        <v>137</v>
      </c>
      <c r="J25" s="733">
        <f>+J59*F19</f>
        <v>15871.2498</v>
      </c>
      <c r="L25"/>
      <c r="S25"/>
      <c r="T25"/>
      <c r="U25"/>
      <c r="W25" s="602"/>
    </row>
    <row r="26" spans="2:23" s="108" customFormat="1" ht="11.25" customHeight="1" thickTop="1">
      <c r="B26" s="316"/>
      <c r="C26" s="310"/>
      <c r="D26" s="110"/>
      <c r="E26" s="312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/>
      <c r="W26" s="602"/>
    </row>
    <row r="27" spans="1:23" ht="16.5" customHeight="1">
      <c r="A27" s="16"/>
      <c r="B27" s="126"/>
      <c r="C27" s="611" t="s">
        <v>138</v>
      </c>
      <c r="D27" s="109" t="s">
        <v>139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9"/>
    </row>
    <row r="28" spans="1:23" ht="13.5" customHeight="1" thickBot="1">
      <c r="A28" s="108"/>
      <c r="B28" s="126"/>
      <c r="C28" s="310"/>
      <c r="D28" s="310"/>
      <c r="E28" s="311"/>
      <c r="F28" s="312"/>
      <c r="G28" s="299"/>
      <c r="H28" s="299"/>
      <c r="I28" s="313"/>
      <c r="J28" s="313"/>
      <c r="K28" s="313"/>
      <c r="L28" s="313"/>
      <c r="M28" s="313"/>
      <c r="N28" s="313"/>
      <c r="O28" s="314"/>
      <c r="P28" s="313"/>
      <c r="Q28" s="313"/>
      <c r="R28" s="734"/>
      <c r="S28" s="735"/>
      <c r="T28" s="736"/>
      <c r="U28" s="736"/>
      <c r="V28" s="736"/>
      <c r="W28" s="154"/>
    </row>
    <row r="29" spans="1:26" s="16" customFormat="1" ht="33.75" customHeight="1" thickBot="1" thickTop="1">
      <c r="A29" s="64"/>
      <c r="B29" s="182"/>
      <c r="C29" s="205" t="s">
        <v>72</v>
      </c>
      <c r="D29" s="208" t="s">
        <v>105</v>
      </c>
      <c r="E29" s="206" t="s">
        <v>45</v>
      </c>
      <c r="F29" s="209" t="s">
        <v>106</v>
      </c>
      <c r="G29" s="210" t="s">
        <v>73</v>
      </c>
      <c r="H29" s="350" t="s">
        <v>77</v>
      </c>
      <c r="I29" s="206" t="s">
        <v>78</v>
      </c>
      <c r="J29" s="206" t="s">
        <v>79</v>
      </c>
      <c r="K29" s="208" t="s">
        <v>107</v>
      </c>
      <c r="L29" s="208" t="s">
        <v>81</v>
      </c>
      <c r="M29" s="173" t="s">
        <v>122</v>
      </c>
      <c r="N29" s="206" t="s">
        <v>85</v>
      </c>
      <c r="O29" s="685" t="s">
        <v>108</v>
      </c>
      <c r="P29" s="350" t="s">
        <v>142</v>
      </c>
      <c r="Q29" s="594" t="s">
        <v>86</v>
      </c>
      <c r="R29" s="586" t="s">
        <v>143</v>
      </c>
      <c r="S29" s="587"/>
      <c r="T29" s="597" t="s">
        <v>90</v>
      </c>
      <c r="U29" s="176" t="s">
        <v>92</v>
      </c>
      <c r="V29" s="210" t="s">
        <v>93</v>
      </c>
      <c r="W29" s="149"/>
      <c r="Y29"/>
      <c r="Z29"/>
    </row>
    <row r="30" spans="1:23" ht="16.5" customHeight="1" thickTop="1">
      <c r="A30" s="16"/>
      <c r="B30" s="126"/>
      <c r="C30" s="47"/>
      <c r="D30" s="47"/>
      <c r="E30" s="47"/>
      <c r="F30" s="47"/>
      <c r="G30" s="369"/>
      <c r="H30" s="567"/>
      <c r="I30" s="47"/>
      <c r="J30" s="47"/>
      <c r="K30" s="47"/>
      <c r="L30" s="47"/>
      <c r="M30" s="47"/>
      <c r="N30" s="370"/>
      <c r="O30" s="737"/>
      <c r="P30" s="598"/>
      <c r="Q30" s="599"/>
      <c r="R30" s="588"/>
      <c r="S30" s="589"/>
      <c r="T30" s="600"/>
      <c r="U30" s="370"/>
      <c r="V30" s="371"/>
      <c r="W30" s="149"/>
    </row>
    <row r="31" spans="1:23" ht="16.5" customHeight="1">
      <c r="A31" s="16"/>
      <c r="B31" s="126"/>
      <c r="C31" s="47" t="s">
        <v>218</v>
      </c>
      <c r="D31" s="48" t="s">
        <v>29</v>
      </c>
      <c r="E31" s="49" t="s">
        <v>30</v>
      </c>
      <c r="F31" s="50">
        <v>300</v>
      </c>
      <c r="G31" s="51" t="s">
        <v>12</v>
      </c>
      <c r="H31" s="568">
        <f>F31*$F$21</f>
        <v>46.2</v>
      </c>
      <c r="I31" s="54">
        <v>37998.44097222222</v>
      </c>
      <c r="J31" s="54">
        <v>37998.7625</v>
      </c>
      <c r="K31" s="55">
        <f>IF(D31="","",(J31-I31)*24)</f>
        <v>7.716666666674428</v>
      </c>
      <c r="L31" s="56">
        <f>IF(D31="","",(J31-I31)*24*60)</f>
        <v>463.00000000046566</v>
      </c>
      <c r="M31" s="832" t="s">
        <v>216</v>
      </c>
      <c r="N31" s="57" t="str">
        <f>IF(D31="","",IF(OR(M31="P",M31="RP"),"--","NO"))</f>
        <v>--</v>
      </c>
      <c r="O31" s="738" t="str">
        <f>IF(D31="","","NO")</f>
        <v>NO</v>
      </c>
      <c r="P31" s="535">
        <f>200*IF(O31="SI",1,0.1)*IF(M31="P",0.1,1)</f>
        <v>2</v>
      </c>
      <c r="Q31" s="595">
        <f>IF(M31="P",H31*P31*ROUND(L31/60,2),"--")</f>
        <v>713.328</v>
      </c>
      <c r="R31" s="590" t="str">
        <f>IF(AND(M31="F",N31="NO"),H31*P31,"--")</f>
        <v>--</v>
      </c>
      <c r="S31" s="591" t="str">
        <f>IF(M31="F",H31*P31*ROUND(L31/60,2),"--")</f>
        <v>--</v>
      </c>
      <c r="T31" s="514" t="str">
        <f>IF(M31="RF",H31*P31*ROUND(L31/60,2),"--")</f>
        <v>--</v>
      </c>
      <c r="U31" s="58" t="str">
        <f>IF(D31="","","SI")</f>
        <v>SI</v>
      </c>
      <c r="V31" s="212">
        <f>IF(D31="","",SUM(Q31:T31)*IF(U31="SI",1,2))</f>
        <v>713.328</v>
      </c>
      <c r="W31" s="154"/>
    </row>
    <row r="32" spans="1:23" ht="16.5" customHeight="1">
      <c r="A32" s="16"/>
      <c r="B32" s="126"/>
      <c r="C32" s="47" t="s">
        <v>219</v>
      </c>
      <c r="D32" s="48" t="s">
        <v>29</v>
      </c>
      <c r="E32" s="49" t="s">
        <v>30</v>
      </c>
      <c r="F32" s="50">
        <v>300</v>
      </c>
      <c r="G32" s="51" t="s">
        <v>12</v>
      </c>
      <c r="H32" s="568">
        <f>F32*$F$21</f>
        <v>46.2</v>
      </c>
      <c r="I32" s="53">
        <v>37999.35972222222</v>
      </c>
      <c r="J32" s="54">
        <v>37999.74930555555</v>
      </c>
      <c r="K32" s="55">
        <f>IF(D32="","",(J32-I32)*24)</f>
        <v>9.34999999991851</v>
      </c>
      <c r="L32" s="56">
        <f>IF(D32="","",(J32-I32)*24*60)</f>
        <v>560.9999999951106</v>
      </c>
      <c r="M32" s="832" t="s">
        <v>216</v>
      </c>
      <c r="N32" s="57" t="str">
        <f>IF(D32="","",IF(OR(M32="P",M32="RP"),"--","NO"))</f>
        <v>--</v>
      </c>
      <c r="O32" s="738" t="str">
        <f>IF(D32="","","NO")</f>
        <v>NO</v>
      </c>
      <c r="P32" s="535">
        <f>200*IF(O32="SI",1,0.1)*IF(M32="P",0.1,1)</f>
        <v>2</v>
      </c>
      <c r="Q32" s="595">
        <f>IF(M32="P",H32*P32*ROUND(L32/60,2),"--")</f>
        <v>863.94</v>
      </c>
      <c r="R32" s="590" t="str">
        <f>IF(AND(M32="F",N32="NO"),H32*P32,"--")</f>
        <v>--</v>
      </c>
      <c r="S32" s="591" t="str">
        <f>IF(M32="F",H32*P32*ROUND(L32/60,2),"--")</f>
        <v>--</v>
      </c>
      <c r="T32" s="514" t="str">
        <f>IF(M32="RF",H32*P32*ROUND(L32/60,2),"--")</f>
        <v>--</v>
      </c>
      <c r="U32" s="58" t="str">
        <f>IF(D32="","","SI")</f>
        <v>SI</v>
      </c>
      <c r="V32" s="212">
        <f>IF(D32="","",SUM(Q32:T32)*IF(U32="SI",1,2))</f>
        <v>863.94</v>
      </c>
      <c r="W32" s="154"/>
    </row>
    <row r="33" spans="1:23" ht="16.5" customHeight="1">
      <c r="A33" s="16"/>
      <c r="B33" s="126"/>
      <c r="C33" s="47" t="s">
        <v>220</v>
      </c>
      <c r="D33" s="48" t="s">
        <v>29</v>
      </c>
      <c r="E33" s="49" t="s">
        <v>30</v>
      </c>
      <c r="F33" s="50">
        <v>300</v>
      </c>
      <c r="G33" s="51" t="s">
        <v>12</v>
      </c>
      <c r="H33" s="568">
        <f>F33*$F$21</f>
        <v>46.2</v>
      </c>
      <c r="I33" s="53">
        <v>38000.64444444444</v>
      </c>
      <c r="J33" s="54">
        <v>38000.763194444444</v>
      </c>
      <c r="K33" s="55">
        <f>IF(D33="","",(J33-I33)*24)</f>
        <v>2.8500000000349246</v>
      </c>
      <c r="L33" s="56">
        <f>IF(D33="","",(J33-I33)*24*60)</f>
        <v>171.00000000209548</v>
      </c>
      <c r="M33" s="832" t="s">
        <v>216</v>
      </c>
      <c r="N33" s="57" t="str">
        <f>IF(D33="","",IF(OR(M33="P",M33="RP"),"--","NO"))</f>
        <v>--</v>
      </c>
      <c r="O33" s="738" t="str">
        <f>IF(D33="","","NO")</f>
        <v>NO</v>
      </c>
      <c r="P33" s="535">
        <f>200*IF(O33="SI",1,0.1)*IF(M33="P",0.1,1)</f>
        <v>2</v>
      </c>
      <c r="Q33" s="595">
        <f>IF(M33="P",H33*P33*ROUND(L33/60,2),"--")</f>
        <v>263.34000000000003</v>
      </c>
      <c r="R33" s="590" t="str">
        <f>IF(AND(M33="F",N33="NO"),H33*P33,"--")</f>
        <v>--</v>
      </c>
      <c r="S33" s="591" t="str">
        <f>IF(M33="F",H33*P33*ROUND(L33/60,2),"--")</f>
        <v>--</v>
      </c>
      <c r="T33" s="514" t="str">
        <f>IF(M33="RF",H33*P33*ROUND(L33/60,2),"--")</f>
        <v>--</v>
      </c>
      <c r="U33" s="58" t="str">
        <f>IF(D33="","","SI")</f>
        <v>SI</v>
      </c>
      <c r="V33" s="212">
        <f>IF(D33="","",SUM(Q33:T33)*IF(U33="SI",1,2))</f>
        <v>263.34000000000003</v>
      </c>
      <c r="W33" s="154"/>
    </row>
    <row r="34" spans="1:23" ht="16.5" customHeight="1">
      <c r="A34" s="16"/>
      <c r="B34" s="126"/>
      <c r="C34" s="47" t="s">
        <v>224</v>
      </c>
      <c r="D34" s="48" t="s">
        <v>29</v>
      </c>
      <c r="E34" s="49" t="s">
        <v>30</v>
      </c>
      <c r="F34" s="50">
        <v>300</v>
      </c>
      <c r="G34" s="51" t="s">
        <v>12</v>
      </c>
      <c r="H34" s="568">
        <f>F34*$F$21</f>
        <v>46.2</v>
      </c>
      <c r="I34" s="53">
        <v>38001.3625</v>
      </c>
      <c r="J34" s="54">
        <v>38001.509722222225</v>
      </c>
      <c r="K34" s="55">
        <f>IF(D34="","",(J34-I34)*24)</f>
        <v>3.5333333333255723</v>
      </c>
      <c r="L34" s="56">
        <f>IF(D34="","",(J34-I34)*24*60)</f>
        <v>211.99999999953434</v>
      </c>
      <c r="M34" s="832" t="s">
        <v>216</v>
      </c>
      <c r="N34" s="57" t="str">
        <f>IF(D34="","",IF(OR(M34="P",M34="RP"),"--","NO"))</f>
        <v>--</v>
      </c>
      <c r="O34" s="738" t="str">
        <f>IF(D34="","","NO")</f>
        <v>NO</v>
      </c>
      <c r="P34" s="535">
        <f>200*IF(O34="SI",1,0.1)*IF(M34="P",0.1,1)</f>
        <v>2</v>
      </c>
      <c r="Q34" s="595">
        <f>IF(M34="P",H34*P34*ROUND(L34/60,2),"--")</f>
        <v>326.172</v>
      </c>
      <c r="R34" s="590" t="str">
        <f>IF(AND(M34="F",N34="NO"),H34*P34,"--")</f>
        <v>--</v>
      </c>
      <c r="S34" s="591" t="str">
        <f>IF(M34="F",H34*P34*ROUND(L34/60,2),"--")</f>
        <v>--</v>
      </c>
      <c r="T34" s="514" t="str">
        <f>IF(M34="RF",H34*P34*ROUND(L34/60,2),"--")</f>
        <v>--</v>
      </c>
      <c r="U34" s="58" t="str">
        <f>IF(D34="","","SI")</f>
        <v>SI</v>
      </c>
      <c r="V34" s="212">
        <f>IF(D34="","",SUM(Q34:T34)*IF(U34="SI",1,2))</f>
        <v>326.172</v>
      </c>
      <c r="W34" s="154"/>
    </row>
    <row r="35" spans="1:23" ht="16.5" customHeight="1" thickBot="1">
      <c r="A35" s="108"/>
      <c r="B35" s="126"/>
      <c r="C35" s="59"/>
      <c r="D35" s="372"/>
      <c r="E35" s="373"/>
      <c r="F35" s="374"/>
      <c r="G35" s="375"/>
      <c r="H35" s="569"/>
      <c r="I35" s="376"/>
      <c r="J35" s="377"/>
      <c r="K35" s="378"/>
      <c r="L35" s="379"/>
      <c r="M35" s="60"/>
      <c r="N35" s="33"/>
      <c r="O35" s="739"/>
      <c r="P35" s="536"/>
      <c r="Q35" s="596"/>
      <c r="R35" s="592"/>
      <c r="S35" s="593"/>
      <c r="T35" s="540"/>
      <c r="U35" s="380"/>
      <c r="V35" s="381"/>
      <c r="W35" s="154"/>
    </row>
    <row r="36" spans="1:23" ht="16.5" customHeight="1" thickBot="1" thickTop="1">
      <c r="A36" s="108"/>
      <c r="B36" s="126"/>
      <c r="C36" s="183"/>
      <c r="D36" s="1"/>
      <c r="E36" s="1"/>
      <c r="F36" s="245"/>
      <c r="G36" s="382"/>
      <c r="H36" s="383"/>
      <c r="I36" s="384"/>
      <c r="J36" s="385"/>
      <c r="K36" s="386"/>
      <c r="L36" s="387"/>
      <c r="M36" s="383"/>
      <c r="N36" s="388"/>
      <c r="O36" s="39"/>
      <c r="P36" s="389"/>
      <c r="Q36" s="390"/>
      <c r="R36" s="391"/>
      <c r="S36" s="391"/>
      <c r="T36" s="391"/>
      <c r="U36" s="345"/>
      <c r="V36" s="392">
        <f>SUM(V30:V35)</f>
        <v>2166.78</v>
      </c>
      <c r="W36" s="154"/>
    </row>
    <row r="37" spans="1:23" ht="16.5" customHeight="1" thickBot="1" thickTop="1">
      <c r="A37" s="108"/>
      <c r="B37" s="126"/>
      <c r="C37" s="183"/>
      <c r="D37" s="1"/>
      <c r="E37" s="1"/>
      <c r="F37" s="245"/>
      <c r="G37" s="382"/>
      <c r="H37" s="383"/>
      <c r="I37" s="384"/>
      <c r="L37" s="387"/>
      <c r="M37" s="383"/>
      <c r="N37" s="708"/>
      <c r="O37" s="709"/>
      <c r="P37" s="389"/>
      <c r="Q37" s="390"/>
      <c r="R37" s="391"/>
      <c r="S37" s="391"/>
      <c r="T37" s="391"/>
      <c r="U37" s="345"/>
      <c r="V37" s="345"/>
      <c r="W37" s="154"/>
    </row>
    <row r="38" spans="2:23" s="16" customFormat="1" ht="33.75" customHeight="1" thickBot="1" thickTop="1">
      <c r="B38" s="126"/>
      <c r="C38" s="166" t="s">
        <v>72</v>
      </c>
      <c r="D38" s="174" t="s">
        <v>105</v>
      </c>
      <c r="E38" s="1216" t="s">
        <v>45</v>
      </c>
      <c r="F38" s="1218"/>
      <c r="G38" s="176" t="s">
        <v>73</v>
      </c>
      <c r="H38" s="350" t="s">
        <v>77</v>
      </c>
      <c r="I38" s="168" t="s">
        <v>78</v>
      </c>
      <c r="J38" s="170" t="s">
        <v>79</v>
      </c>
      <c r="K38" s="237" t="s">
        <v>80</v>
      </c>
      <c r="L38" s="237" t="s">
        <v>81</v>
      </c>
      <c r="M38" s="173" t="s">
        <v>82</v>
      </c>
      <c r="N38" s="1216" t="s">
        <v>85</v>
      </c>
      <c r="O38" s="1217"/>
      <c r="P38" s="499" t="s">
        <v>76</v>
      </c>
      <c r="Q38" s="487" t="s">
        <v>98</v>
      </c>
      <c r="R38" s="506" t="s">
        <v>117</v>
      </c>
      <c r="S38" s="507"/>
      <c r="T38" s="516" t="s">
        <v>90</v>
      </c>
      <c r="U38" s="176" t="s">
        <v>92</v>
      </c>
      <c r="V38" s="210" t="s">
        <v>93</v>
      </c>
      <c r="W38" s="130"/>
    </row>
    <row r="39" spans="2:23" s="16" customFormat="1" ht="16.5" customHeight="1" thickTop="1">
      <c r="B39" s="126"/>
      <c r="C39" s="20"/>
      <c r="D39" s="70"/>
      <c r="E39" s="1219"/>
      <c r="F39" s="1220"/>
      <c r="G39" s="70"/>
      <c r="H39" s="360"/>
      <c r="I39" s="70"/>
      <c r="J39" s="70"/>
      <c r="K39" s="70"/>
      <c r="L39" s="70"/>
      <c r="M39" s="70"/>
      <c r="N39" s="70"/>
      <c r="O39" s="740"/>
      <c r="P39" s="498"/>
      <c r="Q39" s="502"/>
      <c r="R39" s="510"/>
      <c r="S39" s="511"/>
      <c r="T39" s="514"/>
      <c r="U39" s="70"/>
      <c r="V39" s="238"/>
      <c r="W39" s="130"/>
    </row>
    <row r="40" spans="2:23" s="16" customFormat="1" ht="16.5" customHeight="1">
      <c r="B40" s="126"/>
      <c r="C40" s="20" t="s">
        <v>226</v>
      </c>
      <c r="D40" s="70" t="s">
        <v>29</v>
      </c>
      <c r="E40" s="1212" t="s">
        <v>44</v>
      </c>
      <c r="F40" s="1213"/>
      <c r="G40" s="868">
        <v>132</v>
      </c>
      <c r="H40" s="351">
        <f>IF(G40=500,$M$19,IF(G40=220,$M$20,$M$21))</f>
        <v>24.587</v>
      </c>
      <c r="I40" s="839">
        <v>38005.36041666667</v>
      </c>
      <c r="J40" s="840">
        <v>38005.6375</v>
      </c>
      <c r="K40" s="73">
        <f>IF(D40="","",(J40-I40)*24)</f>
        <v>6.64999999984866</v>
      </c>
      <c r="L40" s="31">
        <f>IF(D40="","",ROUND((J40-I40)*24*60,0))</f>
        <v>399</v>
      </c>
      <c r="M40" s="28" t="s">
        <v>216</v>
      </c>
      <c r="N40" s="1214" t="str">
        <f>IF(D40="","",IF(OR(M40="P",M40="RP"),"--","NO"))</f>
        <v>--</v>
      </c>
      <c r="O40" s="1215"/>
      <c r="P40" s="500">
        <f>IF(G40=500,$N$19,IF(G40=220,$N$20,$N$21))</f>
        <v>40</v>
      </c>
      <c r="Q40" s="503">
        <f>IF(M40="P",H40*P40*ROUND(L40/60,2)*0.1,"--")</f>
        <v>654.0142000000001</v>
      </c>
      <c r="R40" s="510" t="str">
        <f>IF(AND(M40="F",N40="NO"),H40*P40,"--")</f>
        <v>--</v>
      </c>
      <c r="S40" s="511" t="str">
        <f>IF(M40="F",H40*P40*ROUND(L40/60,2),"--")</f>
        <v>--</v>
      </c>
      <c r="T40" s="514" t="str">
        <f>IF(M40="RF",H40*P40*ROUND(L40/60,2),"--")</f>
        <v>--</v>
      </c>
      <c r="U40" s="75" t="str">
        <f>IF(D40="","","SI")</f>
        <v>SI</v>
      </c>
      <c r="V40" s="76">
        <f>IF(D40="","",SUM(Q40:T40)*IF(U40="SI",1,2))</f>
        <v>654.0142000000001</v>
      </c>
      <c r="W40" s="130"/>
    </row>
    <row r="41" spans="2:23" s="16" customFormat="1" ht="16.5" customHeight="1">
      <c r="B41" s="126"/>
      <c r="C41" s="20" t="s">
        <v>227</v>
      </c>
      <c r="D41" s="70" t="s">
        <v>29</v>
      </c>
      <c r="E41" s="1212" t="s">
        <v>44</v>
      </c>
      <c r="F41" s="1213" t="s">
        <v>44</v>
      </c>
      <c r="G41" s="868">
        <v>132</v>
      </c>
      <c r="H41" s="351">
        <f>IF(G41=500,$M$19,IF(G41=220,$M$20,$M$21))</f>
        <v>24.587</v>
      </c>
      <c r="I41" s="839">
        <v>38007.30902777778</v>
      </c>
      <c r="J41" s="840">
        <v>38007.816666666666</v>
      </c>
      <c r="K41" s="73">
        <f>IF(D41="","",(J41-I41)*24)</f>
        <v>12.18333333323244</v>
      </c>
      <c r="L41" s="31">
        <f>IF(D41="","",ROUND((J41-I41)*24*60,0))</f>
        <v>731</v>
      </c>
      <c r="M41" s="28" t="s">
        <v>216</v>
      </c>
      <c r="N41" s="1214" t="str">
        <f>IF(D41="","",IF(OR(M41="P",M41="RP"),"--","NO"))</f>
        <v>--</v>
      </c>
      <c r="O41" s="1215"/>
      <c r="P41" s="500">
        <f>IF(G41=500,$N$19,IF(G41=220,$N$20,$N$21))</f>
        <v>40</v>
      </c>
      <c r="Q41" s="503">
        <f>IF(M41="P",H41*P41*ROUND(L41/60,2)*0.1,"--")</f>
        <v>1197.87864</v>
      </c>
      <c r="R41" s="510" t="str">
        <f>IF(AND(M41="F",N41="NO"),H41*P41,"--")</f>
        <v>--</v>
      </c>
      <c r="S41" s="511" t="str">
        <f>IF(M41="F",H41*P41*ROUND(L41/60,2),"--")</f>
        <v>--</v>
      </c>
      <c r="T41" s="514" t="str">
        <f>IF(M41="RF",H41*P41*ROUND(L41/60,2),"--")</f>
        <v>--</v>
      </c>
      <c r="U41" s="75" t="str">
        <f>IF(D41="","","SI")</f>
        <v>SI</v>
      </c>
      <c r="V41" s="76">
        <f>IF(D41="","",SUM(Q41:T41)*IF(U41="SI",1,2))</f>
        <v>1197.87864</v>
      </c>
      <c r="W41" s="130"/>
    </row>
    <row r="42" spans="2:23" s="16" customFormat="1" ht="16.5" customHeight="1">
      <c r="B42" s="126"/>
      <c r="C42" s="20" t="s">
        <v>228</v>
      </c>
      <c r="D42" s="70" t="s">
        <v>29</v>
      </c>
      <c r="E42" s="1212" t="s">
        <v>44</v>
      </c>
      <c r="F42" s="1213" t="s">
        <v>44</v>
      </c>
      <c r="G42" s="868">
        <v>132</v>
      </c>
      <c r="H42" s="351">
        <f>IF(G42=500,$M$19,IF(G42=220,$M$20,$M$21))</f>
        <v>24.587</v>
      </c>
      <c r="I42" s="839">
        <v>38008.316666666666</v>
      </c>
      <c r="J42" s="840">
        <v>38008.947916666664</v>
      </c>
      <c r="K42" s="73">
        <f>IF(D42="","",(J42-I42)*24)</f>
        <v>15.149999999965075</v>
      </c>
      <c r="L42" s="31">
        <f>IF(D42="","",ROUND((J42-I42)*24*60,0))</f>
        <v>909</v>
      </c>
      <c r="M42" s="28" t="s">
        <v>216</v>
      </c>
      <c r="N42" s="1214" t="str">
        <f>IF(D42="","",IF(OR(M42="P",M42="RP"),"--","NO"))</f>
        <v>--</v>
      </c>
      <c r="O42" s="1215"/>
      <c r="P42" s="500">
        <f>IF(G42=500,$N$19,IF(G42=220,$N$20,$N$21))</f>
        <v>40</v>
      </c>
      <c r="Q42" s="503">
        <f>IF(M42="P",H42*P42*ROUND(L42/60,2)*0.1,"--")</f>
        <v>1489.9722000000002</v>
      </c>
      <c r="R42" s="510" t="str">
        <f>IF(AND(M42="F",N42="NO"),H42*P42,"--")</f>
        <v>--</v>
      </c>
      <c r="S42" s="511" t="str">
        <f>IF(M42="F",H42*P42*ROUND(L42/60,2),"--")</f>
        <v>--</v>
      </c>
      <c r="T42" s="514" t="str">
        <f>IF(M42="RF",H42*P42*ROUND(L42/60,2),"--")</f>
        <v>--</v>
      </c>
      <c r="U42" s="75" t="str">
        <f>IF(D42="","","SI")</f>
        <v>SI</v>
      </c>
      <c r="V42" s="76">
        <f>IF(D42="","",SUM(Q42:T42)*IF(U42="SI",1,2))</f>
        <v>1489.9722000000002</v>
      </c>
      <c r="W42" s="130"/>
    </row>
    <row r="43" spans="2:23" s="16" customFormat="1" ht="16.5" customHeight="1">
      <c r="B43" s="126"/>
      <c r="C43" s="20" t="s">
        <v>229</v>
      </c>
      <c r="D43" s="70" t="s">
        <v>29</v>
      </c>
      <c r="E43" s="1212" t="s">
        <v>44</v>
      </c>
      <c r="F43" s="1213" t="s">
        <v>44</v>
      </c>
      <c r="G43" s="868">
        <v>132</v>
      </c>
      <c r="H43" s="351">
        <f>IF(G43=500,$M$19,IF(G43=220,$M$20,$M$21))</f>
        <v>24.587</v>
      </c>
      <c r="I43" s="839">
        <v>38009.299305555556</v>
      </c>
      <c r="J43" s="840">
        <v>38009.72986111111</v>
      </c>
      <c r="K43" s="73">
        <f>IF(D43="","",(J43-I43)*24)</f>
        <v>10.33333333331393</v>
      </c>
      <c r="L43" s="31">
        <f>IF(D43="","",ROUND((J43-I43)*24*60,0))</f>
        <v>620</v>
      </c>
      <c r="M43" s="28" t="s">
        <v>216</v>
      </c>
      <c r="N43" s="1214" t="str">
        <f>IF(D43="","",IF(OR(M43="P",M43="RP"),"--","NO"))</f>
        <v>--</v>
      </c>
      <c r="O43" s="1215"/>
      <c r="P43" s="500">
        <f>IF(G43=500,$N$19,IF(G43=220,$N$20,$N$21))</f>
        <v>40</v>
      </c>
      <c r="Q43" s="503">
        <f>IF(M43="P",H43*P43*ROUND(L43/60,2)*0.1,"--")</f>
        <v>1015.9348400000001</v>
      </c>
      <c r="R43" s="510" t="str">
        <f>IF(AND(M43="F",N43="NO"),H43*P43,"--")</f>
        <v>--</v>
      </c>
      <c r="S43" s="511" t="str">
        <f>IF(M43="F",H43*P43*ROUND(L43/60,2),"--")</f>
        <v>--</v>
      </c>
      <c r="T43" s="514" t="str">
        <f>IF(M43="RF",H43*P43*ROUND(L43/60,2),"--")</f>
        <v>--</v>
      </c>
      <c r="U43" s="75" t="str">
        <f>IF(D43="","","SI")</f>
        <v>SI</v>
      </c>
      <c r="V43" s="76">
        <f>IF(D43="","",SUM(Q43:T43)*IF(U43="SI",1,2))</f>
        <v>1015.9348400000001</v>
      </c>
      <c r="W43" s="130"/>
    </row>
    <row r="44" spans="2:23" s="16" customFormat="1" ht="16.5" customHeight="1">
      <c r="B44" s="126"/>
      <c r="C44" s="20" t="s">
        <v>230</v>
      </c>
      <c r="D44" s="70" t="s">
        <v>29</v>
      </c>
      <c r="E44" s="1212" t="s">
        <v>43</v>
      </c>
      <c r="F44" s="1213" t="s">
        <v>43</v>
      </c>
      <c r="G44" s="868">
        <v>132</v>
      </c>
      <c r="H44" s="351">
        <f>IF(G44=500,$M$19,IF(G44=220,$M$20,$M$21))</f>
        <v>24.587</v>
      </c>
      <c r="I44" s="839">
        <v>38009.69652777778</v>
      </c>
      <c r="J44" s="840">
        <v>38009.70208333333</v>
      </c>
      <c r="K44" s="73">
        <f>IF(D44="","",(J44-I44)*24)</f>
        <v>0.1333333332440816</v>
      </c>
      <c r="L44" s="31">
        <f>IF(D44="","",ROUND((J44-I44)*24*60,0))</f>
        <v>8</v>
      </c>
      <c r="M44" s="28" t="s">
        <v>206</v>
      </c>
      <c r="N44" s="1214" t="str">
        <f>IF(D44="","",IF(OR(M44="P",M44="RP"),"--","NO"))</f>
        <v>NO</v>
      </c>
      <c r="O44" s="1215"/>
      <c r="P44" s="500">
        <f>IF(G44=500,$N$19,IF(G44=220,$N$20,$N$21))</f>
        <v>40</v>
      </c>
      <c r="Q44" s="503" t="str">
        <f>IF(M44="P",H44*P44*ROUND(L44/60,2)*0.1,"--")</f>
        <v>--</v>
      </c>
      <c r="R44" s="510">
        <f>IF(AND(M44="F",N44="NO"),H44*P44,"--")</f>
        <v>983.48</v>
      </c>
      <c r="S44" s="511">
        <f>IF(M44="F",H44*P44*ROUND(L44/60,2),"--")</f>
        <v>127.8524</v>
      </c>
      <c r="T44" s="514" t="str">
        <f>IF(M44="RF",H44*P44*ROUND(L44/60,2),"--")</f>
        <v>--</v>
      </c>
      <c r="U44" s="75" t="str">
        <f>IF(D44="","","SI")</f>
        <v>SI</v>
      </c>
      <c r="V44" s="76">
        <f>IF(D44="","",SUM(Q44:T44)*IF(U44="SI",1,2))</f>
        <v>1111.3324</v>
      </c>
      <c r="W44" s="130"/>
    </row>
    <row r="45" spans="2:28" s="16" customFormat="1" ht="16.5" customHeight="1" thickBot="1">
      <c r="B45" s="126"/>
      <c r="C45" s="741"/>
      <c r="D45" s="742"/>
      <c r="E45" s="742"/>
      <c r="F45" s="743"/>
      <c r="G45" s="744"/>
      <c r="H45" s="745"/>
      <c r="I45" s="746"/>
      <c r="J45" s="747"/>
      <c r="K45" s="748"/>
      <c r="L45" s="749"/>
      <c r="M45" s="750"/>
      <c r="N45" s="751"/>
      <c r="O45" s="750"/>
      <c r="P45" s="752"/>
      <c r="Q45" s="753"/>
      <c r="R45" s="754"/>
      <c r="S45" s="755"/>
      <c r="T45" s="756"/>
      <c r="U45" s="757"/>
      <c r="V45" s="758"/>
      <c r="W45" s="130"/>
      <c r="X45"/>
      <c r="Y45"/>
      <c r="Z45"/>
      <c r="AA45"/>
      <c r="AB45"/>
    </row>
    <row r="46" spans="1:23" ht="17.25" thickBot="1" thickTop="1">
      <c r="A46" s="108"/>
      <c r="B46" s="316"/>
      <c r="C46" s="310"/>
      <c r="D46" s="317"/>
      <c r="E46" s="318"/>
      <c r="F46" s="319"/>
      <c r="G46" s="320"/>
      <c r="H46" s="320"/>
      <c r="I46" s="318"/>
      <c r="J46" s="298"/>
      <c r="K46" s="298"/>
      <c r="L46" s="318"/>
      <c r="M46" s="318"/>
      <c r="N46" s="318"/>
      <c r="O46" s="321"/>
      <c r="P46" s="318"/>
      <c r="Q46" s="318"/>
      <c r="R46" s="322"/>
      <c r="S46" s="323"/>
      <c r="T46" s="323"/>
      <c r="U46" s="324"/>
      <c r="V46" s="392">
        <f>SUM(V40:V45)</f>
        <v>5469.132280000001</v>
      </c>
      <c r="W46" s="327"/>
    </row>
    <row r="47" spans="1:23" ht="17.25" thickBot="1" thickTop="1">
      <c r="A47" s="108"/>
      <c r="B47" s="316"/>
      <c r="C47" s="310"/>
      <c r="D47" s="317"/>
      <c r="E47" s="318"/>
      <c r="F47" s="319"/>
      <c r="G47" s="320"/>
      <c r="H47" s="320"/>
      <c r="I47" s="645" t="s">
        <v>144</v>
      </c>
      <c r="J47" s="733">
        <f>+V46+V36</f>
        <v>7635.9122800000005</v>
      </c>
      <c r="L47" s="318"/>
      <c r="M47" s="318"/>
      <c r="N47" s="318"/>
      <c r="O47" s="321"/>
      <c r="P47" s="318"/>
      <c r="Q47" s="318"/>
      <c r="R47" s="322"/>
      <c r="S47" s="323"/>
      <c r="T47" s="323"/>
      <c r="U47" s="324"/>
      <c r="W47" s="327"/>
    </row>
    <row r="48" spans="1:23" ht="13.5" customHeight="1" thickTop="1">
      <c r="A48" s="108"/>
      <c r="B48" s="316"/>
      <c r="C48" s="310"/>
      <c r="D48" s="317"/>
      <c r="E48" s="318"/>
      <c r="F48" s="319"/>
      <c r="G48" s="320"/>
      <c r="H48" s="320"/>
      <c r="I48" s="318"/>
      <c r="J48" s="298"/>
      <c r="K48" s="298"/>
      <c r="L48" s="318"/>
      <c r="M48" s="318"/>
      <c r="N48" s="318"/>
      <c r="O48" s="321"/>
      <c r="P48" s="318"/>
      <c r="Q48" s="318"/>
      <c r="R48" s="322"/>
      <c r="S48" s="323"/>
      <c r="T48" s="323"/>
      <c r="U48" s="324"/>
      <c r="W48" s="327"/>
    </row>
    <row r="49" spans="1:23" ht="16.5" customHeight="1">
      <c r="A49" s="108"/>
      <c r="B49" s="316"/>
      <c r="C49" s="328" t="s">
        <v>145</v>
      </c>
      <c r="D49" s="329" t="s">
        <v>146</v>
      </c>
      <c r="E49" s="318"/>
      <c r="F49" s="319"/>
      <c r="G49" s="320"/>
      <c r="H49" s="320"/>
      <c r="I49" s="318"/>
      <c r="J49" s="298"/>
      <c r="K49" s="298"/>
      <c r="L49" s="318"/>
      <c r="M49" s="318"/>
      <c r="N49" s="318"/>
      <c r="O49" s="321"/>
      <c r="P49" s="318"/>
      <c r="Q49" s="318"/>
      <c r="R49" s="322"/>
      <c r="S49" s="323"/>
      <c r="T49" s="323"/>
      <c r="U49" s="324"/>
      <c r="W49" s="327"/>
    </row>
    <row r="50" spans="1:23" ht="16.5" customHeight="1">
      <c r="A50" s="108"/>
      <c r="B50" s="316"/>
      <c r="C50" s="328"/>
      <c r="D50" s="317"/>
      <c r="E50" s="318"/>
      <c r="F50" s="319"/>
      <c r="G50" s="320"/>
      <c r="H50" s="320"/>
      <c r="I50" s="318"/>
      <c r="J50" s="298"/>
      <c r="K50" s="298"/>
      <c r="L50" s="318"/>
      <c r="M50" s="318"/>
      <c r="N50" s="318"/>
      <c r="O50" s="321"/>
      <c r="P50" s="318"/>
      <c r="Q50" s="318"/>
      <c r="R50" s="318"/>
      <c r="S50" s="322"/>
      <c r="T50" s="323"/>
      <c r="W50" s="327"/>
    </row>
    <row r="51" spans="2:23" s="108" customFormat="1" ht="16.5" customHeight="1">
      <c r="B51" s="316"/>
      <c r="C51" s="310"/>
      <c r="D51" s="338" t="s">
        <v>154</v>
      </c>
      <c r="E51" s="313" t="s">
        <v>155</v>
      </c>
      <c r="F51" s="313" t="s">
        <v>148</v>
      </c>
      <c r="G51" s="614" t="s">
        <v>156</v>
      </c>
      <c r="H51"/>
      <c r="I51" s="636"/>
      <c r="J51" s="334" t="s">
        <v>159</v>
      </c>
      <c r="K51" s="334"/>
      <c r="L51" s="313" t="s">
        <v>148</v>
      </c>
      <c r="M51" t="s">
        <v>175</v>
      </c>
      <c r="O51" s="614" t="s">
        <v>176</v>
      </c>
      <c r="P51"/>
      <c r="Q51" s="332"/>
      <c r="R51" s="332"/>
      <c r="S51" s="110"/>
      <c r="T51"/>
      <c r="U51"/>
      <c r="V51"/>
      <c r="W51" s="327"/>
    </row>
    <row r="52" spans="2:23" s="108" customFormat="1" ht="16.5" customHeight="1">
      <c r="B52" s="316"/>
      <c r="C52" s="310"/>
      <c r="D52" s="637" t="s">
        <v>177</v>
      </c>
      <c r="E52" s="637">
        <v>300</v>
      </c>
      <c r="F52" s="726">
        <v>500</v>
      </c>
      <c r="G52" s="1211">
        <f>+E52*$F$20*$F$21</f>
        <v>34372.8</v>
      </c>
      <c r="H52" s="1211"/>
      <c r="I52" s="1211"/>
      <c r="J52" s="727" t="s">
        <v>178</v>
      </c>
      <c r="K52" s="727"/>
      <c r="L52" s="637">
        <v>500</v>
      </c>
      <c r="M52" s="637">
        <v>2</v>
      </c>
      <c r="O52" s="1211">
        <f>+M52*$F$20*$M$19</f>
        <v>45730.704</v>
      </c>
      <c r="P52" s="1211"/>
      <c r="Q52" s="1211"/>
      <c r="R52" s="1211"/>
      <c r="S52" s="1211"/>
      <c r="T52" s="1211"/>
      <c r="U52" s="1211"/>
      <c r="V52"/>
      <c r="W52" s="327"/>
    </row>
    <row r="53" spans="2:23" s="108" customFormat="1" ht="16.5" customHeight="1">
      <c r="B53" s="316"/>
      <c r="C53" s="310"/>
      <c r="D53" s="637" t="s">
        <v>179</v>
      </c>
      <c r="E53" s="639">
        <v>150</v>
      </c>
      <c r="F53" s="726">
        <v>500</v>
      </c>
      <c r="G53" s="1211">
        <f>+E53*$F$20*$F$21</f>
        <v>17186.4</v>
      </c>
      <c r="H53" s="1211"/>
      <c r="I53" s="1211"/>
      <c r="J53" s="727" t="s">
        <v>178</v>
      </c>
      <c r="K53" s="727"/>
      <c r="L53" s="637">
        <v>132</v>
      </c>
      <c r="M53" s="637">
        <v>7</v>
      </c>
      <c r="O53" s="1211">
        <f>+M53*$F$20*$M$19</f>
        <v>160057.464</v>
      </c>
      <c r="P53" s="1211"/>
      <c r="Q53" s="1211"/>
      <c r="R53" s="1211"/>
      <c r="S53" s="1211"/>
      <c r="T53" s="1211"/>
      <c r="U53" s="1211"/>
      <c r="V53"/>
      <c r="W53" s="327"/>
    </row>
    <row r="54" spans="2:23" s="108" customFormat="1" ht="16.5" customHeight="1">
      <c r="B54" s="316"/>
      <c r="C54" s="310"/>
      <c r="D54" s="638" t="s">
        <v>180</v>
      </c>
      <c r="E54" s="639">
        <v>300</v>
      </c>
      <c r="F54" s="726">
        <v>500</v>
      </c>
      <c r="G54" s="1211">
        <f>+E54*$F$20*$F$21</f>
        <v>34372.8</v>
      </c>
      <c r="H54" s="1211"/>
      <c r="I54" s="1211"/>
      <c r="J54" s="727" t="s">
        <v>181</v>
      </c>
      <c r="K54" s="727"/>
      <c r="L54" s="637">
        <v>132</v>
      </c>
      <c r="M54" s="637">
        <v>7</v>
      </c>
      <c r="O54" s="1211">
        <f>+M54*$F$20*$M$19</f>
        <v>160057.464</v>
      </c>
      <c r="P54" s="1211"/>
      <c r="Q54" s="1211"/>
      <c r="R54" s="1211"/>
      <c r="S54" s="1211"/>
      <c r="T54" s="1211"/>
      <c r="U54" s="1211"/>
      <c r="V54"/>
      <c r="W54" s="327"/>
    </row>
    <row r="55" spans="1:23" ht="16.5" customHeight="1">
      <c r="A55" s="108"/>
      <c r="B55" s="316"/>
      <c r="C55" s="310"/>
      <c r="D55" s="638" t="s">
        <v>182</v>
      </c>
      <c r="E55" s="639">
        <v>300</v>
      </c>
      <c r="F55" s="726">
        <v>500</v>
      </c>
      <c r="G55" s="1211">
        <f>+E55*$F$20*$F$21</f>
        <v>34372.8</v>
      </c>
      <c r="H55" s="1211"/>
      <c r="I55" s="1211"/>
      <c r="J55" s="727" t="s">
        <v>183</v>
      </c>
      <c r="K55" s="727"/>
      <c r="L55" s="637">
        <v>132</v>
      </c>
      <c r="M55" s="637">
        <v>5</v>
      </c>
      <c r="O55" s="1210">
        <f>+M55*$F$20*$M$19</f>
        <v>114326.76</v>
      </c>
      <c r="P55" s="1210"/>
      <c r="Q55" s="1210"/>
      <c r="R55" s="1210"/>
      <c r="S55" s="1210"/>
      <c r="T55" s="1210"/>
      <c r="U55" s="1210"/>
      <c r="W55" s="327"/>
    </row>
    <row r="56" spans="1:23" ht="16.5" customHeight="1">
      <c r="A56" s="108"/>
      <c r="B56" s="316"/>
      <c r="C56" s="310"/>
      <c r="D56" s="638" t="s">
        <v>184</v>
      </c>
      <c r="E56" s="639">
        <v>300</v>
      </c>
      <c r="F56" s="726">
        <v>500</v>
      </c>
      <c r="G56" s="1210">
        <f>+E56*$F$20*$F$21</f>
        <v>34372.8</v>
      </c>
      <c r="H56" s="1210"/>
      <c r="I56" s="1210"/>
      <c r="M56" s="637"/>
      <c r="O56" s="1211">
        <f>SUM(O52:P55)</f>
        <v>480172.392</v>
      </c>
      <c r="P56" s="1211"/>
      <c r="Q56" s="1211"/>
      <c r="R56" s="1211"/>
      <c r="S56" s="1211"/>
      <c r="T56" s="1211"/>
      <c r="U56" s="1211"/>
      <c r="W56" s="327"/>
    </row>
    <row r="57" spans="1:23" ht="16.5" customHeight="1">
      <c r="A57" s="108"/>
      <c r="B57" s="316"/>
      <c r="C57" s="310"/>
      <c r="D57" s="638"/>
      <c r="E57" s="639"/>
      <c r="F57" s="726"/>
      <c r="G57" s="1211">
        <f>SUM(G52:G56)</f>
        <v>154677.6</v>
      </c>
      <c r="H57" s="1211"/>
      <c r="I57" s="1211"/>
      <c r="M57" s="637"/>
      <c r="N57" s="636"/>
      <c r="O57" s="636"/>
      <c r="P57" s="325"/>
      <c r="Q57" s="325"/>
      <c r="R57" s="325"/>
      <c r="S57" s="325"/>
      <c r="W57" s="327"/>
    </row>
    <row r="58" spans="1:23" ht="16.5" customHeight="1" thickBot="1">
      <c r="A58" s="108"/>
      <c r="B58" s="316"/>
      <c r="C58" s="310"/>
      <c r="D58" s="338"/>
      <c r="E58" s="566"/>
      <c r="F58" s="566"/>
      <c r="G58" s="313"/>
      <c r="I58" s="330"/>
      <c r="J58" s="614"/>
      <c r="L58" s="613"/>
      <c r="M58" s="330"/>
      <c r="N58" s="331"/>
      <c r="O58" s="332"/>
      <c r="P58" s="332"/>
      <c r="Q58" s="332"/>
      <c r="R58" s="332"/>
      <c r="S58" s="332"/>
      <c r="W58" s="327"/>
    </row>
    <row r="59" spans="1:23" ht="16.5" customHeight="1" thickBot="1" thickTop="1">
      <c r="A59" s="108"/>
      <c r="B59" s="316"/>
      <c r="C59" s="310"/>
      <c r="D59" s="313"/>
      <c r="E59" s="728"/>
      <c r="F59" s="728"/>
      <c r="G59" s="393"/>
      <c r="H59" s="4"/>
      <c r="I59" s="645" t="s">
        <v>185</v>
      </c>
      <c r="J59" s="733">
        <f>+G57+O56</f>
        <v>634849.992</v>
      </c>
      <c r="L59" s="609"/>
      <c r="M59" s="4"/>
      <c r="N59" s="612"/>
      <c r="O59" s="325"/>
      <c r="P59" s="325"/>
      <c r="Q59" s="325"/>
      <c r="R59" s="325"/>
      <c r="S59" s="325"/>
      <c r="W59" s="327"/>
    </row>
    <row r="60" spans="1:23" ht="16.5" customHeight="1" thickTop="1">
      <c r="A60" s="108"/>
      <c r="B60" s="316"/>
      <c r="C60" s="310"/>
      <c r="D60" s="298"/>
      <c r="E60" s="300"/>
      <c r="F60" s="313"/>
      <c r="G60" s="313"/>
      <c r="H60" s="314"/>
      <c r="J60" s="313"/>
      <c r="L60" s="335"/>
      <c r="M60" s="331"/>
      <c r="N60" s="331"/>
      <c r="O60" s="332"/>
      <c r="P60" s="332"/>
      <c r="Q60" s="332"/>
      <c r="R60" s="332"/>
      <c r="S60" s="332"/>
      <c r="W60" s="327"/>
    </row>
    <row r="61" spans="2:23" ht="16.5" customHeight="1">
      <c r="B61" s="316"/>
      <c r="C61" s="328" t="s">
        <v>164</v>
      </c>
      <c r="D61" s="336" t="s">
        <v>165</v>
      </c>
      <c r="E61" s="313"/>
      <c r="F61" s="337"/>
      <c r="G61" s="299"/>
      <c r="H61" s="298"/>
      <c r="I61" s="298"/>
      <c r="J61" s="298"/>
      <c r="K61" s="313"/>
      <c r="L61" s="313"/>
      <c r="M61" s="298"/>
      <c r="N61" s="313"/>
      <c r="O61" s="298"/>
      <c r="P61" s="298"/>
      <c r="Q61" s="298"/>
      <c r="R61" s="298"/>
      <c r="S61" s="298"/>
      <c r="T61" s="298"/>
      <c r="U61" s="298"/>
      <c r="W61" s="327"/>
    </row>
    <row r="62" spans="2:23" s="108" customFormat="1" ht="16.5" customHeight="1">
      <c r="B62" s="316"/>
      <c r="C62" s="310"/>
      <c r="D62" s="338" t="s">
        <v>166</v>
      </c>
      <c r="E62" s="339">
        <f>10*J47*J25/J59</f>
        <v>1908.9780700000006</v>
      </c>
      <c r="G62" s="299"/>
      <c r="L62" s="313"/>
      <c r="N62" s="313"/>
      <c r="O62" s="314"/>
      <c r="V62"/>
      <c r="W62" s="327"/>
    </row>
    <row r="63" spans="2:23" s="108" customFormat="1" ht="12.75" customHeight="1">
      <c r="B63" s="316"/>
      <c r="C63" s="310"/>
      <c r="E63" s="606"/>
      <c r="F63" s="312"/>
      <c r="G63" s="299"/>
      <c r="J63" s="299"/>
      <c r="K63" s="341"/>
      <c r="L63" s="313"/>
      <c r="M63" s="313"/>
      <c r="N63" s="313"/>
      <c r="O63" s="314"/>
      <c r="P63" s="313"/>
      <c r="Q63" s="313"/>
      <c r="R63" s="604"/>
      <c r="S63" s="604"/>
      <c r="T63" s="604"/>
      <c r="U63" s="605"/>
      <c r="V63"/>
      <c r="W63" s="327"/>
    </row>
    <row r="64" spans="2:23" ht="16.5" customHeight="1">
      <c r="B64" s="316"/>
      <c r="C64" s="310"/>
      <c r="D64" s="342" t="s">
        <v>195</v>
      </c>
      <c r="E64" s="340"/>
      <c r="F64" s="312"/>
      <c r="G64" s="299"/>
      <c r="H64" s="298"/>
      <c r="I64" s="298"/>
      <c r="N64" s="313"/>
      <c r="O64" s="314"/>
      <c r="P64" s="313"/>
      <c r="Q64" s="313"/>
      <c r="R64" s="330"/>
      <c r="S64" s="330"/>
      <c r="T64" s="330"/>
      <c r="U64" s="331"/>
      <c r="W64" s="327"/>
    </row>
    <row r="65" spans="2:23" ht="13.5" customHeight="1" thickBot="1">
      <c r="B65" s="316"/>
      <c r="C65" s="310"/>
      <c r="D65" s="342"/>
      <c r="E65" s="340"/>
      <c r="F65" s="312"/>
      <c r="G65" s="299"/>
      <c r="H65" s="298"/>
      <c r="I65" s="298"/>
      <c r="N65" s="313"/>
      <c r="O65" s="314"/>
      <c r="P65" s="313"/>
      <c r="Q65" s="313"/>
      <c r="R65" s="330"/>
      <c r="S65" s="330"/>
      <c r="T65" s="330"/>
      <c r="U65" s="331"/>
      <c r="W65" s="327"/>
    </row>
    <row r="66" spans="2:23" s="621" customFormat="1" ht="21" thickBot="1" thickTop="1">
      <c r="B66" s="615"/>
      <c r="C66" s="616"/>
      <c r="D66" s="617"/>
      <c r="E66" s="618"/>
      <c r="F66" s="619"/>
      <c r="G66" s="620"/>
      <c r="I66" s="622" t="s">
        <v>168</v>
      </c>
      <c r="J66" s="623">
        <f>IF(E62&gt;3*J25,J25*3,E62)</f>
        <v>1908.9780700000006</v>
      </c>
      <c r="M66" s="624"/>
      <c r="N66" s="624"/>
      <c r="O66" s="625"/>
      <c r="P66" s="624"/>
      <c r="Q66" s="624"/>
      <c r="R66" s="626"/>
      <c r="S66" s="626"/>
      <c r="T66" s="626"/>
      <c r="U66" s="627"/>
      <c r="V66"/>
      <c r="W66" s="628"/>
    </row>
    <row r="67" spans="2:23" ht="16.5" customHeight="1" thickBot="1" thickTop="1">
      <c r="B67" s="133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346"/>
      <c r="W67" s="343"/>
    </row>
    <row r="68" spans="2:23" ht="16.5" customHeight="1" thickTop="1">
      <c r="B68" s="12"/>
      <c r="C68" s="713"/>
      <c r="W68" s="12"/>
    </row>
  </sheetData>
  <sheetProtection password="CC12"/>
  <mergeCells count="24">
    <mergeCell ref="E38:F38"/>
    <mergeCell ref="E39:F39"/>
    <mergeCell ref="E40:F40"/>
    <mergeCell ref="E41:F41"/>
    <mergeCell ref="N38:O38"/>
    <mergeCell ref="N40:O40"/>
    <mergeCell ref="N41:O41"/>
    <mergeCell ref="N42:O42"/>
    <mergeCell ref="O52:U52"/>
    <mergeCell ref="E42:F42"/>
    <mergeCell ref="E43:F43"/>
    <mergeCell ref="N43:O43"/>
    <mergeCell ref="E44:F44"/>
    <mergeCell ref="N44:O44"/>
    <mergeCell ref="O55:U55"/>
    <mergeCell ref="O56:U56"/>
    <mergeCell ref="O53:U53"/>
    <mergeCell ref="O54:U54"/>
    <mergeCell ref="G56:I56"/>
    <mergeCell ref="G57:I57"/>
    <mergeCell ref="G52:I52"/>
    <mergeCell ref="G53:I53"/>
    <mergeCell ref="G54:I54"/>
    <mergeCell ref="G55:I5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61"/>
  <sheetViews>
    <sheetView zoomScale="75" zoomScaleNormal="75" workbookViewId="0" topLeftCell="D1">
      <selection activeCell="C26" sqref="C26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9"/>
      <c r="AD1" s="640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44" customFormat="1" ht="30.75">
      <c r="A3" s="641"/>
      <c r="B3" s="642" t="str">
        <f>+'tot-0401'!B2</f>
        <v>ANEXO I-1a a la Resolución ENRE N° 686/2007.-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AB3" s="643"/>
      <c r="AC3" s="643"/>
      <c r="AD3" s="643"/>
    </row>
    <row r="4" spans="1:2" s="101" customFormat="1" ht="11.25">
      <c r="A4" s="717" t="s">
        <v>50</v>
      </c>
      <c r="B4" s="729"/>
    </row>
    <row r="5" spans="1:2" s="101" customFormat="1" ht="12" thickBot="1">
      <c r="A5" s="717" t="s">
        <v>51</v>
      </c>
      <c r="B5" s="717"/>
    </row>
    <row r="6" spans="1:23" ht="16.5" customHeight="1" thickTop="1">
      <c r="A6" s="16"/>
      <c r="B6" s="145"/>
      <c r="C6" s="146"/>
      <c r="D6" s="146"/>
      <c r="E6" s="147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8"/>
    </row>
    <row r="7" spans="1:23" ht="20.25">
      <c r="A7" s="16"/>
      <c r="B7" s="126"/>
      <c r="C7" s="14"/>
      <c r="D7" s="7" t="s">
        <v>123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5"/>
      <c r="Q7" s="295"/>
      <c r="R7" s="14"/>
      <c r="S7" s="14"/>
      <c r="T7" s="14"/>
      <c r="U7" s="14"/>
      <c r="V7" s="14"/>
      <c r="W7" s="149"/>
    </row>
    <row r="8" spans="1:23" ht="16.5" customHeight="1">
      <c r="A8" s="16"/>
      <c r="B8" s="12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9"/>
    </row>
    <row r="9" spans="2:23" s="15" customFormat="1" ht="20.25">
      <c r="B9" s="121"/>
      <c r="C9" s="120"/>
      <c r="D9" s="7" t="s">
        <v>124</v>
      </c>
      <c r="E9" s="120"/>
      <c r="F9" s="120"/>
      <c r="G9" s="120"/>
      <c r="H9" s="120"/>
      <c r="N9" s="120"/>
      <c r="O9" s="120"/>
      <c r="P9" s="364"/>
      <c r="Q9" s="364"/>
      <c r="R9" s="120"/>
      <c r="S9" s="120"/>
      <c r="T9" s="120"/>
      <c r="U9" s="120"/>
      <c r="V9" s="120"/>
      <c r="W9" s="365"/>
    </row>
    <row r="10" spans="1:23" ht="16.5" customHeight="1">
      <c r="A10" s="16"/>
      <c r="B10" s="12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9"/>
    </row>
    <row r="11" spans="2:23" s="15" customFormat="1" ht="20.25">
      <c r="B11" s="121"/>
      <c r="C11" s="120"/>
      <c r="D11" s="7" t="s">
        <v>198</v>
      </c>
      <c r="E11" s="120"/>
      <c r="F11" s="120"/>
      <c r="G11" s="120"/>
      <c r="H11" s="120"/>
      <c r="N11" s="120"/>
      <c r="O11" s="120"/>
      <c r="P11" s="364"/>
      <c r="Q11" s="364"/>
      <c r="R11" s="120"/>
      <c r="S11" s="120"/>
      <c r="T11" s="120"/>
      <c r="U11" s="120"/>
      <c r="V11" s="120"/>
      <c r="W11" s="365"/>
    </row>
    <row r="12" spans="1:23" ht="16.5" customHeight="1">
      <c r="A12" s="16"/>
      <c r="B12" s="126"/>
      <c r="C12" s="14"/>
      <c r="D12" s="14"/>
      <c r="E12" s="16"/>
      <c r="F12" s="16"/>
      <c r="G12" s="16"/>
      <c r="H12" s="16"/>
      <c r="I12" s="150"/>
      <c r="J12" s="150"/>
      <c r="K12" s="150"/>
      <c r="L12" s="150"/>
      <c r="M12" s="150"/>
      <c r="N12" s="150"/>
      <c r="O12" s="150"/>
      <c r="P12" s="150"/>
      <c r="Q12" s="150"/>
      <c r="R12" s="14"/>
      <c r="S12" s="14"/>
      <c r="T12" s="14"/>
      <c r="U12" s="14"/>
      <c r="V12" s="14"/>
      <c r="W12" s="149"/>
    </row>
    <row r="13" spans="2:23" s="15" customFormat="1" ht="19.5">
      <c r="B13" s="114" t="str">
        <f>+'tot-0401'!B14</f>
        <v>Desde el 01 al 31 de enero de 2004</v>
      </c>
      <c r="C13" s="115"/>
      <c r="D13" s="117"/>
      <c r="E13" s="117"/>
      <c r="F13" s="117"/>
      <c r="G13" s="117"/>
      <c r="H13" s="117"/>
      <c r="I13" s="118"/>
      <c r="J13" s="4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367"/>
      <c r="V13" s="367"/>
      <c r="W13" s="119"/>
    </row>
    <row r="14" spans="1:23" ht="16.5" customHeight="1">
      <c r="A14" s="16"/>
      <c r="B14" s="126"/>
      <c r="C14" s="14"/>
      <c r="D14" s="14"/>
      <c r="E14" s="2"/>
      <c r="F14" s="2"/>
      <c r="G14" s="14"/>
      <c r="H14" s="14"/>
      <c r="I14" s="14"/>
      <c r="J14" s="296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9"/>
    </row>
    <row r="15" spans="1:23" ht="16.5" customHeight="1">
      <c r="A15" s="16"/>
      <c r="B15" s="126"/>
      <c r="C15" s="14"/>
      <c r="D15" s="14"/>
      <c r="E15" s="2"/>
      <c r="F15" s="2"/>
      <c r="G15" s="14"/>
      <c r="H15" s="14"/>
      <c r="I15" s="297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9"/>
    </row>
    <row r="16" spans="1:23" ht="16.5" customHeight="1">
      <c r="A16" s="16"/>
      <c r="B16" s="126"/>
      <c r="C16" s="14"/>
      <c r="D16" s="14"/>
      <c r="E16" s="2"/>
      <c r="F16" s="2"/>
      <c r="G16" s="14"/>
      <c r="H16" s="14"/>
      <c r="I16" s="297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9"/>
    </row>
    <row r="17" spans="1:23" ht="16.5" customHeight="1" thickBot="1">
      <c r="A17" s="16"/>
      <c r="B17" s="126"/>
      <c r="C17" s="611" t="s">
        <v>125</v>
      </c>
      <c r="D17" s="13" t="s">
        <v>126</v>
      </c>
      <c r="E17" s="2"/>
      <c r="F17" s="2"/>
      <c r="G17" s="14"/>
      <c r="H17" s="14"/>
      <c r="I17" s="14"/>
      <c r="J17" s="296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9"/>
    </row>
    <row r="18" spans="2:23" s="108" customFormat="1" ht="16.5" customHeight="1" thickBot="1">
      <c r="B18" s="316"/>
      <c r="C18" s="110"/>
      <c r="D18" s="580"/>
      <c r="E18" s="581"/>
      <c r="F18" s="310"/>
      <c r="G18" s="110"/>
      <c r="H18" s="110"/>
      <c r="I18" s="110"/>
      <c r="J18" s="601"/>
      <c r="K18" s="110"/>
      <c r="L18" s="110"/>
      <c r="M18" s="110"/>
      <c r="N18" s="730" t="s">
        <v>76</v>
      </c>
      <c r="P18" s="110"/>
      <c r="Q18" s="110"/>
      <c r="R18" s="110"/>
      <c r="S18" s="110"/>
      <c r="T18" s="110"/>
      <c r="U18" s="110"/>
      <c r="V18" s="110"/>
      <c r="W18" s="602"/>
    </row>
    <row r="19" spans="2:23" s="108" customFormat="1" ht="16.5" customHeight="1">
      <c r="B19" s="316"/>
      <c r="C19" s="110"/>
      <c r="E19" s="584" t="s">
        <v>129</v>
      </c>
      <c r="F19" s="585">
        <v>0.04</v>
      </c>
      <c r="G19" s="633"/>
      <c r="H19" s="110"/>
      <c r="I19" s="762" t="s">
        <v>202</v>
      </c>
      <c r="J19" s="763"/>
      <c r="K19" s="724" t="s">
        <v>193</v>
      </c>
      <c r="L19" s="725"/>
      <c r="M19" s="771">
        <v>30.733</v>
      </c>
      <c r="N19" s="772">
        <v>200</v>
      </c>
      <c r="R19" s="110"/>
      <c r="S19" s="110"/>
      <c r="T19" s="110"/>
      <c r="U19" s="110"/>
      <c r="V19" s="110"/>
      <c r="W19" s="602"/>
    </row>
    <row r="20" spans="2:23" s="108" customFormat="1" ht="16.5" customHeight="1">
      <c r="B20" s="316"/>
      <c r="C20" s="110"/>
      <c r="E20" s="580" t="s">
        <v>132</v>
      </c>
      <c r="F20" s="110">
        <f>MID(B13,16,2)*24</f>
        <v>744</v>
      </c>
      <c r="G20" s="110" t="s">
        <v>133</v>
      </c>
      <c r="H20" s="110"/>
      <c r="I20" s="110"/>
      <c r="J20" s="110"/>
      <c r="K20" s="719" t="s">
        <v>115</v>
      </c>
      <c r="L20" s="718"/>
      <c r="M20" s="720">
        <v>27.658</v>
      </c>
      <c r="N20" s="731">
        <v>100</v>
      </c>
      <c r="O20" s="110"/>
      <c r="P20" s="603"/>
      <c r="Q20" s="110"/>
      <c r="R20" s="110"/>
      <c r="S20" s="110"/>
      <c r="T20" s="110"/>
      <c r="U20" s="110"/>
      <c r="V20" s="110"/>
      <c r="W20" s="602"/>
    </row>
    <row r="21" spans="2:23" s="108" customFormat="1" ht="16.5" customHeight="1" thickBot="1">
      <c r="B21" s="316"/>
      <c r="C21" s="110"/>
      <c r="E21" s="580" t="s">
        <v>174</v>
      </c>
      <c r="F21" s="110">
        <v>0.154</v>
      </c>
      <c r="G21" s="108" t="s">
        <v>131</v>
      </c>
      <c r="H21" s="110"/>
      <c r="I21" s="110"/>
      <c r="J21" s="110"/>
      <c r="K21" s="721" t="s">
        <v>194</v>
      </c>
      <c r="L21" s="722"/>
      <c r="M21" s="723">
        <v>24.587</v>
      </c>
      <c r="N21" s="732">
        <v>40</v>
      </c>
      <c r="O21" s="110"/>
      <c r="P21" s="603"/>
      <c r="Q21" s="110"/>
      <c r="R21" s="110"/>
      <c r="S21" s="110"/>
      <c r="T21" s="110"/>
      <c r="U21" s="110"/>
      <c r="V21" s="110"/>
      <c r="W21" s="602"/>
    </row>
    <row r="22" spans="2:23" s="108" customFormat="1" ht="16.5" customHeight="1">
      <c r="B22" s="316"/>
      <c r="C22" s="110"/>
      <c r="D22" s="110"/>
      <c r="E22" s="312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602"/>
    </row>
    <row r="23" spans="1:23" ht="16.5" customHeight="1">
      <c r="A23" s="16"/>
      <c r="B23" s="126"/>
      <c r="C23" s="611" t="s">
        <v>135</v>
      </c>
      <c r="D23" s="109" t="s">
        <v>136</v>
      </c>
      <c r="I23" s="14"/>
      <c r="J23" s="108"/>
      <c r="O23" s="14"/>
      <c r="P23" s="14"/>
      <c r="Q23" s="14"/>
      <c r="R23" s="14"/>
      <c r="S23" s="14"/>
      <c r="T23" s="14"/>
      <c r="V23" s="14"/>
      <c r="W23" s="149"/>
    </row>
    <row r="24" spans="1:23" ht="10.5" customHeight="1" thickBot="1">
      <c r="A24" s="16"/>
      <c r="B24" s="126"/>
      <c r="C24" s="2"/>
      <c r="D24" s="109"/>
      <c r="I24" s="14"/>
      <c r="J24" s="108"/>
      <c r="O24" s="14"/>
      <c r="P24" s="14"/>
      <c r="Q24" s="14"/>
      <c r="R24" s="14"/>
      <c r="S24" s="14"/>
      <c r="T24" s="14"/>
      <c r="V24" s="14"/>
      <c r="W24" s="149"/>
    </row>
    <row r="25" spans="2:23" s="108" customFormat="1" ht="16.5" customHeight="1" thickBot="1" thickTop="1">
      <c r="B25" s="316"/>
      <c r="C25" s="310"/>
      <c r="D25"/>
      <c r="E25"/>
      <c r="F25"/>
      <c r="G25"/>
      <c r="H25"/>
      <c r="I25" s="645" t="s">
        <v>137</v>
      </c>
      <c r="J25" s="733">
        <f>+J52*F19</f>
        <v>2838.33024</v>
      </c>
      <c r="L25"/>
      <c r="S25"/>
      <c r="T25"/>
      <c r="U25"/>
      <c r="W25" s="602"/>
    </row>
    <row r="26" spans="2:23" s="108" customFormat="1" ht="11.25" customHeight="1" thickTop="1">
      <c r="B26" s="316"/>
      <c r="C26" s="310"/>
      <c r="D26" s="110"/>
      <c r="E26" s="312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/>
      <c r="W26" s="602"/>
    </row>
    <row r="27" spans="1:23" ht="16.5" customHeight="1">
      <c r="A27" s="16"/>
      <c r="B27" s="126"/>
      <c r="C27" s="611" t="s">
        <v>138</v>
      </c>
      <c r="D27" s="109" t="s">
        <v>139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9"/>
    </row>
    <row r="28" spans="1:23" ht="13.5" customHeight="1" thickBot="1">
      <c r="A28" s="108"/>
      <c r="B28" s="126"/>
      <c r="C28" s="310"/>
      <c r="D28" s="310"/>
      <c r="E28" s="311"/>
      <c r="F28" s="312"/>
      <c r="G28" s="299"/>
      <c r="H28" s="299"/>
      <c r="I28" s="313"/>
      <c r="J28" s="313"/>
      <c r="K28" s="313"/>
      <c r="L28" s="313"/>
      <c r="M28" s="313"/>
      <c r="N28" s="313"/>
      <c r="O28" s="314"/>
      <c r="P28" s="313"/>
      <c r="Q28" s="313"/>
      <c r="R28" s="734"/>
      <c r="S28" s="735"/>
      <c r="T28" s="736"/>
      <c r="U28" s="736"/>
      <c r="V28" s="736"/>
      <c r="W28" s="154"/>
    </row>
    <row r="29" spans="1:26" s="16" customFormat="1" ht="33.75" customHeight="1" thickBot="1" thickTop="1">
      <c r="A29" s="64"/>
      <c r="B29" s="182"/>
      <c r="C29" s="205" t="s">
        <v>72</v>
      </c>
      <c r="D29" s="208" t="s">
        <v>105</v>
      </c>
      <c r="E29" s="206" t="s">
        <v>45</v>
      </c>
      <c r="F29" s="209" t="s">
        <v>106</v>
      </c>
      <c r="G29" s="210" t="s">
        <v>73</v>
      </c>
      <c r="H29" s="350" t="s">
        <v>77</v>
      </c>
      <c r="I29" s="206" t="s">
        <v>78</v>
      </c>
      <c r="J29" s="206" t="s">
        <v>79</v>
      </c>
      <c r="K29" s="208" t="s">
        <v>107</v>
      </c>
      <c r="L29" s="208" t="s">
        <v>81</v>
      </c>
      <c r="M29" s="173" t="s">
        <v>122</v>
      </c>
      <c r="N29" s="206" t="s">
        <v>85</v>
      </c>
      <c r="O29" s="685" t="s">
        <v>108</v>
      </c>
      <c r="P29" s="350" t="s">
        <v>142</v>
      </c>
      <c r="Q29" s="594" t="s">
        <v>86</v>
      </c>
      <c r="R29" s="586" t="s">
        <v>143</v>
      </c>
      <c r="S29" s="587"/>
      <c r="T29" s="597" t="s">
        <v>90</v>
      </c>
      <c r="U29" s="176" t="s">
        <v>92</v>
      </c>
      <c r="V29" s="210" t="s">
        <v>93</v>
      </c>
      <c r="W29" s="149"/>
      <c r="Y29"/>
      <c r="Z29"/>
    </row>
    <row r="30" spans="1:23" ht="16.5" customHeight="1" thickTop="1">
      <c r="A30" s="16"/>
      <c r="B30" s="126"/>
      <c r="C30" s="47"/>
      <c r="D30" s="47"/>
      <c r="E30" s="47"/>
      <c r="F30" s="47"/>
      <c r="G30" s="369"/>
      <c r="H30" s="567"/>
      <c r="I30" s="47"/>
      <c r="J30" s="47"/>
      <c r="K30" s="47"/>
      <c r="L30" s="47"/>
      <c r="M30" s="47"/>
      <c r="N30" s="370"/>
      <c r="O30" s="737"/>
      <c r="P30" s="598"/>
      <c r="Q30" s="599"/>
      <c r="R30" s="588"/>
      <c r="S30" s="589"/>
      <c r="T30" s="600"/>
      <c r="U30" s="370"/>
      <c r="V30" s="371"/>
      <c r="W30" s="149"/>
    </row>
    <row r="31" spans="1:23" ht="16.5" customHeight="1">
      <c r="A31" s="16"/>
      <c r="B31" s="126"/>
      <c r="C31" s="775" t="s">
        <v>225</v>
      </c>
      <c r="D31" s="868" t="s">
        <v>187</v>
      </c>
      <c r="E31" s="868" t="s">
        <v>16</v>
      </c>
      <c r="F31" s="868">
        <v>300</v>
      </c>
      <c r="G31" s="868" t="s">
        <v>28</v>
      </c>
      <c r="H31" s="568">
        <f>F31*$F$21</f>
        <v>46.2</v>
      </c>
      <c r="I31" s="830">
        <v>38000.31319444445</v>
      </c>
      <c r="J31" s="830">
        <v>38000.60486111111</v>
      </c>
      <c r="K31" s="55">
        <f>IF(D31="","",(J31-I31)*24)</f>
        <v>6.999999999941792</v>
      </c>
      <c r="L31" s="56">
        <f>IF(D31="","",(J31-I31)*24*60)</f>
        <v>419.99999999650754</v>
      </c>
      <c r="M31" s="52" t="s">
        <v>216</v>
      </c>
      <c r="N31" s="57" t="str">
        <f>IF(D31="","",IF(OR(M31="P",M31="RP"),"--","NO"))</f>
        <v>--</v>
      </c>
      <c r="O31" s="738" t="str">
        <f>IF(D31="","","NO")</f>
        <v>NO</v>
      </c>
      <c r="P31" s="535">
        <f>200*IF(O31="SI",1,0.1)*IF(M31="P",0.1,1)</f>
        <v>2</v>
      </c>
      <c r="Q31" s="595">
        <f>IF(M31="P",H31*P31*ROUND(L31/60,2),"--")</f>
        <v>646.8000000000001</v>
      </c>
      <c r="R31" s="590" t="str">
        <f>IF(AND(M31="F",N31="NO"),H31*P31,"--")</f>
        <v>--</v>
      </c>
      <c r="S31" s="591" t="str">
        <f>IF(M31="F",H31*P31*ROUND(L31/60,2),"--")</f>
        <v>--</v>
      </c>
      <c r="T31" s="514" t="str">
        <f>IF(M31="RF",H31*P31*ROUND(L31/60,2),"--")</f>
        <v>--</v>
      </c>
      <c r="U31" s="58" t="str">
        <f>IF(D31="","","SI")</f>
        <v>SI</v>
      </c>
      <c r="V31" s="212">
        <f>IF(D31="","",SUM(Q31:T31)*IF(U31="SI",1,2))</f>
        <v>646.8000000000001</v>
      </c>
      <c r="W31" s="154"/>
    </row>
    <row r="32" spans="1:23" ht="16.5" customHeight="1" thickBot="1">
      <c r="A32" s="108"/>
      <c r="B32" s="126"/>
      <c r="C32" s="59"/>
      <c r="D32" s="372"/>
      <c r="E32" s="373"/>
      <c r="F32" s="374"/>
      <c r="G32" s="375"/>
      <c r="H32" s="569"/>
      <c r="I32" s="376"/>
      <c r="J32" s="377"/>
      <c r="K32" s="378"/>
      <c r="L32" s="379"/>
      <c r="M32" s="60"/>
      <c r="N32" s="33"/>
      <c r="O32" s="739"/>
      <c r="P32" s="536"/>
      <c r="Q32" s="596"/>
      <c r="R32" s="592"/>
      <c r="S32" s="593"/>
      <c r="T32" s="540"/>
      <c r="U32" s="380"/>
      <c r="V32" s="381"/>
      <c r="W32" s="154"/>
    </row>
    <row r="33" spans="1:23" ht="16.5" customHeight="1" thickBot="1" thickTop="1">
      <c r="A33" s="108"/>
      <c r="B33" s="126"/>
      <c r="C33" s="183"/>
      <c r="D33" s="1"/>
      <c r="E33" s="1"/>
      <c r="F33" s="245"/>
      <c r="G33" s="382"/>
      <c r="H33" s="383"/>
      <c r="I33" s="384"/>
      <c r="J33" s="385"/>
      <c r="K33" s="386"/>
      <c r="L33" s="387"/>
      <c r="M33" s="383"/>
      <c r="N33" s="388"/>
      <c r="O33" s="39"/>
      <c r="P33" s="389"/>
      <c r="Q33" s="390"/>
      <c r="R33" s="391"/>
      <c r="S33" s="391"/>
      <c r="T33" s="391"/>
      <c r="U33" s="345"/>
      <c r="V33" s="392">
        <f>SUM(V30:V32)</f>
        <v>646.8000000000001</v>
      </c>
      <c r="W33" s="154"/>
    </row>
    <row r="34" spans="1:23" ht="16.5" customHeight="1" thickBot="1" thickTop="1">
      <c r="A34" s="108"/>
      <c r="B34" s="126"/>
      <c r="C34" s="183"/>
      <c r="D34" s="1"/>
      <c r="E34" s="1"/>
      <c r="F34" s="245"/>
      <c r="G34" s="382"/>
      <c r="H34" s="383"/>
      <c r="I34" s="384"/>
      <c r="L34" s="387"/>
      <c r="M34" s="383"/>
      <c r="N34" s="708"/>
      <c r="O34" s="709"/>
      <c r="P34" s="389"/>
      <c r="Q34" s="390"/>
      <c r="R34" s="391"/>
      <c r="S34" s="391"/>
      <c r="T34" s="391"/>
      <c r="U34" s="345"/>
      <c r="V34" s="345"/>
      <c r="W34" s="154"/>
    </row>
    <row r="35" spans="2:23" s="16" customFormat="1" ht="33.75" customHeight="1" thickBot="1" thickTop="1">
      <c r="B35" s="126"/>
      <c r="C35" s="166" t="s">
        <v>72</v>
      </c>
      <c r="D35" s="174" t="s">
        <v>105</v>
      </c>
      <c r="E35" s="1216" t="s">
        <v>45</v>
      </c>
      <c r="F35" s="1218"/>
      <c r="G35" s="176" t="s">
        <v>73</v>
      </c>
      <c r="H35" s="350" t="s">
        <v>77</v>
      </c>
      <c r="I35" s="168" t="s">
        <v>78</v>
      </c>
      <c r="J35" s="170" t="s">
        <v>79</v>
      </c>
      <c r="K35" s="237" t="s">
        <v>80</v>
      </c>
      <c r="L35" s="237" t="s">
        <v>81</v>
      </c>
      <c r="M35" s="173" t="s">
        <v>82</v>
      </c>
      <c r="N35" s="1216" t="s">
        <v>85</v>
      </c>
      <c r="O35" s="1217"/>
      <c r="P35" s="499" t="s">
        <v>76</v>
      </c>
      <c r="Q35" s="487" t="s">
        <v>98</v>
      </c>
      <c r="R35" s="506" t="s">
        <v>117</v>
      </c>
      <c r="S35" s="507"/>
      <c r="T35" s="516" t="s">
        <v>90</v>
      </c>
      <c r="U35" s="176" t="s">
        <v>92</v>
      </c>
      <c r="V35" s="210" t="s">
        <v>93</v>
      </c>
      <c r="W35" s="130"/>
    </row>
    <row r="36" spans="2:23" s="16" customFormat="1" ht="16.5" customHeight="1" thickTop="1">
      <c r="B36" s="126"/>
      <c r="C36" s="20"/>
      <c r="D36" s="70"/>
      <c r="E36" s="1219"/>
      <c r="F36" s="1220"/>
      <c r="G36" s="70"/>
      <c r="H36" s="360"/>
      <c r="I36" s="70"/>
      <c r="J36" s="70"/>
      <c r="K36" s="70"/>
      <c r="L36" s="70"/>
      <c r="M36" s="70"/>
      <c r="N36" s="70"/>
      <c r="O36" s="740"/>
      <c r="P36" s="498"/>
      <c r="Q36" s="502"/>
      <c r="R36" s="510"/>
      <c r="S36" s="511"/>
      <c r="T36" s="514"/>
      <c r="U36" s="70"/>
      <c r="V36" s="238"/>
      <c r="W36" s="130"/>
    </row>
    <row r="37" spans="2:23" s="16" customFormat="1" ht="16.5" customHeight="1">
      <c r="B37" s="126"/>
      <c r="C37" s="774" t="s">
        <v>231</v>
      </c>
      <c r="D37" s="868" t="s">
        <v>187</v>
      </c>
      <c r="E37" s="1212" t="s">
        <v>188</v>
      </c>
      <c r="F37" s="1213"/>
      <c r="G37" s="868">
        <v>132</v>
      </c>
      <c r="H37" s="351">
        <f>IF(G37=500,$M$19,IF(G37=220,$M$20,$M$21))</f>
        <v>24.587</v>
      </c>
      <c r="I37" s="71">
        <v>38000.31527777778</v>
      </c>
      <c r="J37" s="72">
        <v>38000.606944444444</v>
      </c>
      <c r="K37" s="73">
        <f>IF(D37="","",(J37-I37)*24)</f>
        <v>6.999999999941792</v>
      </c>
      <c r="L37" s="31">
        <f>IF(D37="","",ROUND((J37-I37)*24*60,0))</f>
        <v>420</v>
      </c>
      <c r="M37" s="794" t="s">
        <v>216</v>
      </c>
      <c r="N37" s="1214" t="str">
        <f>IF(D37="","",IF(OR(M37="P",M37="RP"),"--","NO"))</f>
        <v>--</v>
      </c>
      <c r="O37" s="1215"/>
      <c r="P37" s="500">
        <f>IF(G37=500,$N$19,IF(G37=220,$N$20,$N$21))</f>
        <v>40</v>
      </c>
      <c r="Q37" s="503">
        <f>IF(M37="P",H37*P37*ROUND(L37/60,2)*0.1,"--")</f>
        <v>688.4360000000001</v>
      </c>
      <c r="R37" s="510" t="str">
        <f>IF(AND(M37="F",N37="NO"),H37*P37,"--")</f>
        <v>--</v>
      </c>
      <c r="S37" s="511" t="str">
        <f>IF(M37="F",H37*P37*ROUND(L37/60,2),"--")</f>
        <v>--</v>
      </c>
      <c r="T37" s="514" t="str">
        <f>IF(M37="RF",H37*P37*ROUND(L37/60,2),"--")</f>
        <v>--</v>
      </c>
      <c r="U37" s="75" t="str">
        <f>IF(D37="","","SI")</f>
        <v>SI</v>
      </c>
      <c r="V37" s="76">
        <f>IF(D37="","",SUM(Q37:T37)*IF(U37="SI",1,2))</f>
        <v>688.4360000000001</v>
      </c>
      <c r="W37" s="130"/>
    </row>
    <row r="38" spans="2:23" s="16" customFormat="1" ht="16.5" customHeight="1">
      <c r="B38" s="126"/>
      <c r="C38" s="774" t="s">
        <v>232</v>
      </c>
      <c r="D38" s="868" t="s">
        <v>187</v>
      </c>
      <c r="E38" s="1212" t="s">
        <v>189</v>
      </c>
      <c r="F38" s="1213" t="s">
        <v>189</v>
      </c>
      <c r="G38" s="868">
        <v>132</v>
      </c>
      <c r="H38" s="351">
        <f>IF(G38=500,$M$19,IF(G38=220,$M$20,$M$21))</f>
        <v>24.587</v>
      </c>
      <c r="I38" s="71">
        <v>38000.31597222222</v>
      </c>
      <c r="J38" s="72">
        <v>38000.60763888889</v>
      </c>
      <c r="K38" s="73">
        <f>IF(D38="","",(J38-I38)*24)</f>
        <v>7.000000000116415</v>
      </c>
      <c r="L38" s="31">
        <f>IF(D38="","",ROUND((J38-I38)*24*60,0))</f>
        <v>420</v>
      </c>
      <c r="M38" s="794" t="s">
        <v>216</v>
      </c>
      <c r="N38" s="1214" t="str">
        <f>IF(D38="","",IF(OR(M38="P",M38="RP"),"--","NO"))</f>
        <v>--</v>
      </c>
      <c r="O38" s="1215"/>
      <c r="P38" s="500">
        <f>IF(G38=500,$N$19,IF(G38=220,$N$20,$N$21))</f>
        <v>40</v>
      </c>
      <c r="Q38" s="503">
        <f>IF(M38="P",H38*P38*ROUND(L38/60,2)*0.1,"--")</f>
        <v>688.4360000000001</v>
      </c>
      <c r="R38" s="510" t="str">
        <f>IF(AND(M38="F",N38="NO"),H38*P38,"--")</f>
        <v>--</v>
      </c>
      <c r="S38" s="511" t="str">
        <f>IF(M38="F",H38*P38*ROUND(L38/60,2),"--")</f>
        <v>--</v>
      </c>
      <c r="T38" s="514" t="str">
        <f>IF(M38="RF",H38*P38*ROUND(L38/60,2),"--")</f>
        <v>--</v>
      </c>
      <c r="U38" s="75" t="str">
        <f>IF(D38="","","SI")</f>
        <v>SI</v>
      </c>
      <c r="V38" s="76">
        <f>IF(D38="","",SUM(Q38:T38)*IF(U38="SI",1,2))</f>
        <v>688.4360000000001</v>
      </c>
      <c r="W38" s="130"/>
    </row>
    <row r="39" spans="2:23" s="16" customFormat="1" ht="16.5" customHeight="1">
      <c r="B39" s="126"/>
      <c r="C39" s="774" t="s">
        <v>233</v>
      </c>
      <c r="D39" s="868" t="s">
        <v>187</v>
      </c>
      <c r="E39" s="1212" t="s">
        <v>188</v>
      </c>
      <c r="F39" s="1213" t="s">
        <v>188</v>
      </c>
      <c r="G39" s="868">
        <v>132</v>
      </c>
      <c r="H39" s="351">
        <f>IF(G39=500,$M$19,IF(G39=220,$M$20,$M$21))</f>
        <v>24.587</v>
      </c>
      <c r="I39" s="71">
        <v>38008.34375</v>
      </c>
      <c r="J39" s="72">
        <v>38008.510416666664</v>
      </c>
      <c r="K39" s="73">
        <f>IF(D39="","",(J39-I39)*24)</f>
        <v>3.9999999999417923</v>
      </c>
      <c r="L39" s="31">
        <f>IF(D39="","",ROUND((J39-I39)*24*60,0))</f>
        <v>240</v>
      </c>
      <c r="M39" s="794" t="s">
        <v>216</v>
      </c>
      <c r="N39" s="1214" t="str">
        <f>IF(D39="","",IF(OR(M39="P",M39="RP"),"--","NO"))</f>
        <v>--</v>
      </c>
      <c r="O39" s="1215"/>
      <c r="P39" s="500">
        <f>IF(G39=500,$N$19,IF(G39=220,$N$20,$N$21))</f>
        <v>40</v>
      </c>
      <c r="Q39" s="503">
        <f>IF(M39="P",H39*P39*ROUND(L39/60,2)*0.1,"--")</f>
        <v>393.39200000000005</v>
      </c>
      <c r="R39" s="510" t="str">
        <f>IF(AND(M39="F",N39="NO"),H39*P39,"--")</f>
        <v>--</v>
      </c>
      <c r="S39" s="511" t="str">
        <f>IF(M39="F",H39*P39*ROUND(L39/60,2),"--")</f>
        <v>--</v>
      </c>
      <c r="T39" s="514" t="str">
        <f>IF(M39="RF",H39*P39*ROUND(L39/60,2),"--")</f>
        <v>--</v>
      </c>
      <c r="U39" s="75" t="str">
        <f>IF(D39="","","SI")</f>
        <v>SI</v>
      </c>
      <c r="V39" s="76">
        <f>IF(D39="","",SUM(Q39:T39)*IF(U39="SI",1,2))</f>
        <v>393.39200000000005</v>
      </c>
      <c r="W39" s="130"/>
    </row>
    <row r="40" spans="2:23" s="16" customFormat="1" ht="16.5" customHeight="1">
      <c r="B40" s="126"/>
      <c r="C40" s="774" t="s">
        <v>234</v>
      </c>
      <c r="D40" s="868" t="s">
        <v>187</v>
      </c>
      <c r="E40" s="1212" t="s">
        <v>189</v>
      </c>
      <c r="F40" s="1213" t="s">
        <v>189</v>
      </c>
      <c r="G40" s="868">
        <v>132</v>
      </c>
      <c r="H40" s="351">
        <f>IF(G40=500,$M$19,IF(G40=220,$M$20,$M$21))</f>
        <v>24.587</v>
      </c>
      <c r="I40" s="71">
        <v>38008.34375</v>
      </c>
      <c r="J40" s="72">
        <v>38008.510416666664</v>
      </c>
      <c r="K40" s="73">
        <f>IF(D40="","",(J40-I40)*24)</f>
        <v>3.9999999999417923</v>
      </c>
      <c r="L40" s="31">
        <f>IF(D40="","",ROUND((J40-I40)*24*60,0))</f>
        <v>240</v>
      </c>
      <c r="M40" s="794" t="s">
        <v>216</v>
      </c>
      <c r="N40" s="1214" t="str">
        <f>IF(D40="","",IF(OR(M40="P",M40="RP"),"--","NO"))</f>
        <v>--</v>
      </c>
      <c r="O40" s="1215"/>
      <c r="P40" s="500">
        <f>IF(G40=500,$N$19,IF(G40=220,$N$20,$N$21))</f>
        <v>40</v>
      </c>
      <c r="Q40" s="503">
        <f>IF(M40="P",H40*P40*ROUND(L40/60,2)*0.1,"--")</f>
        <v>393.39200000000005</v>
      </c>
      <c r="R40" s="510" t="str">
        <f>IF(AND(M40="F",N40="NO"),H40*P40,"--")</f>
        <v>--</v>
      </c>
      <c r="S40" s="511" t="str">
        <f>IF(M40="F",H40*P40*ROUND(L40/60,2),"--")</f>
        <v>--</v>
      </c>
      <c r="T40" s="514" t="str">
        <f>IF(M40="RF",H40*P40*ROUND(L40/60,2),"--")</f>
        <v>--</v>
      </c>
      <c r="U40" s="75" t="str">
        <f>IF(D40="","","SI")</f>
        <v>SI</v>
      </c>
      <c r="V40" s="76">
        <f>IF(D40="","",SUM(Q40:T40)*IF(U40="SI",1,2))</f>
        <v>393.39200000000005</v>
      </c>
      <c r="W40" s="130"/>
    </row>
    <row r="41" spans="2:28" s="16" customFormat="1" ht="16.5" customHeight="1" thickBot="1">
      <c r="B41" s="126"/>
      <c r="C41" s="741"/>
      <c r="D41" s="742"/>
      <c r="E41" s="742"/>
      <c r="F41" s="743"/>
      <c r="G41" s="744"/>
      <c r="H41" s="745"/>
      <c r="I41" s="746"/>
      <c r="J41" s="747"/>
      <c r="K41" s="748"/>
      <c r="L41" s="749"/>
      <c r="M41" s="750"/>
      <c r="N41" s="751"/>
      <c r="O41" s="750"/>
      <c r="P41" s="752"/>
      <c r="Q41" s="753"/>
      <c r="R41" s="754"/>
      <c r="S41" s="755"/>
      <c r="T41" s="756"/>
      <c r="U41" s="757"/>
      <c r="V41" s="758"/>
      <c r="W41" s="130"/>
      <c r="X41"/>
      <c r="Y41"/>
      <c r="Z41"/>
      <c r="AA41"/>
      <c r="AB41"/>
    </row>
    <row r="42" spans="1:23" ht="17.25" thickBot="1" thickTop="1">
      <c r="A42" s="108"/>
      <c r="B42" s="316"/>
      <c r="C42" s="310"/>
      <c r="D42" s="317"/>
      <c r="E42" s="318"/>
      <c r="F42" s="319"/>
      <c r="G42" s="320"/>
      <c r="H42" s="320"/>
      <c r="I42" s="318"/>
      <c r="J42" s="298"/>
      <c r="K42" s="298"/>
      <c r="L42" s="318"/>
      <c r="M42" s="318"/>
      <c r="N42" s="318"/>
      <c r="O42" s="321"/>
      <c r="P42" s="318"/>
      <c r="Q42" s="318"/>
      <c r="R42" s="322"/>
      <c r="S42" s="323"/>
      <c r="T42" s="323"/>
      <c r="U42" s="324"/>
      <c r="V42" s="392">
        <f>SUM(V37:V41)</f>
        <v>2163.6560000000004</v>
      </c>
      <c r="W42" s="327"/>
    </row>
    <row r="43" spans="1:23" ht="17.25" thickBot="1" thickTop="1">
      <c r="A43" s="108"/>
      <c r="B43" s="316"/>
      <c r="C43" s="310"/>
      <c r="D43" s="317"/>
      <c r="E43" s="318"/>
      <c r="F43" s="319"/>
      <c r="G43" s="320"/>
      <c r="H43" s="320"/>
      <c r="I43" s="645" t="s">
        <v>144</v>
      </c>
      <c r="J43" s="733">
        <f>+V42+V33</f>
        <v>2810.4560000000006</v>
      </c>
      <c r="L43" s="318"/>
      <c r="M43" s="318"/>
      <c r="N43" s="318"/>
      <c r="O43" s="321"/>
      <c r="P43" s="318"/>
      <c r="Q43" s="318"/>
      <c r="R43" s="322"/>
      <c r="S43" s="323"/>
      <c r="T43" s="323"/>
      <c r="U43" s="324"/>
      <c r="W43" s="327"/>
    </row>
    <row r="44" spans="1:23" ht="13.5" customHeight="1" thickTop="1">
      <c r="A44" s="108"/>
      <c r="B44" s="316"/>
      <c r="C44" s="310"/>
      <c r="D44" s="317"/>
      <c r="E44" s="318"/>
      <c r="F44" s="319"/>
      <c r="G44" s="320"/>
      <c r="H44" s="320"/>
      <c r="I44" s="318"/>
      <c r="J44" s="298"/>
      <c r="K44" s="298"/>
      <c r="L44" s="318"/>
      <c r="M44" s="318"/>
      <c r="N44" s="318"/>
      <c r="O44" s="321"/>
      <c r="P44" s="318"/>
      <c r="Q44" s="318"/>
      <c r="R44" s="322"/>
      <c r="S44" s="323"/>
      <c r="T44" s="323"/>
      <c r="U44" s="324"/>
      <c r="W44" s="327"/>
    </row>
    <row r="45" spans="1:23" ht="16.5" customHeight="1">
      <c r="A45" s="108"/>
      <c r="B45" s="316"/>
      <c r="C45" s="328" t="s">
        <v>145</v>
      </c>
      <c r="D45" s="329" t="s">
        <v>146</v>
      </c>
      <c r="E45" s="318"/>
      <c r="F45" s="319"/>
      <c r="G45" s="320"/>
      <c r="H45" s="320"/>
      <c r="I45" s="318"/>
      <c r="J45" s="298"/>
      <c r="K45" s="298"/>
      <c r="L45" s="318"/>
      <c r="M45" s="318"/>
      <c r="N45" s="318"/>
      <c r="O45" s="321"/>
      <c r="P45" s="318"/>
      <c r="Q45" s="318"/>
      <c r="R45" s="322"/>
      <c r="S45" s="323"/>
      <c r="T45" s="323"/>
      <c r="U45" s="324"/>
      <c r="W45" s="327"/>
    </row>
    <row r="46" spans="1:23" ht="16.5" customHeight="1">
      <c r="A46" s="108"/>
      <c r="B46" s="316"/>
      <c r="C46" s="328"/>
      <c r="D46" s="317"/>
      <c r="E46" s="318"/>
      <c r="F46" s="319"/>
      <c r="G46" s="320"/>
      <c r="H46" s="320"/>
      <c r="I46" s="318"/>
      <c r="J46" s="298"/>
      <c r="K46" s="298"/>
      <c r="L46" s="318"/>
      <c r="M46" s="318"/>
      <c r="N46" s="318"/>
      <c r="O46" s="321"/>
      <c r="P46" s="318"/>
      <c r="Q46" s="318"/>
      <c r="R46" s="318"/>
      <c r="S46" s="322"/>
      <c r="T46" s="323"/>
      <c r="W46" s="327"/>
    </row>
    <row r="47" spans="2:23" s="108" customFormat="1" ht="16.5" customHeight="1">
      <c r="B47" s="316"/>
      <c r="C47" s="310"/>
      <c r="D47" s="338" t="s">
        <v>154</v>
      </c>
      <c r="E47" s="313" t="s">
        <v>155</v>
      </c>
      <c r="F47" s="313" t="s">
        <v>148</v>
      </c>
      <c r="G47" s="614" t="s">
        <v>156</v>
      </c>
      <c r="H47"/>
      <c r="I47" s="636"/>
      <c r="J47" s="334" t="s">
        <v>159</v>
      </c>
      <c r="K47" s="334"/>
      <c r="L47" s="313" t="s">
        <v>148</v>
      </c>
      <c r="M47" t="s">
        <v>175</v>
      </c>
      <c r="O47" s="614" t="s">
        <v>176</v>
      </c>
      <c r="P47"/>
      <c r="Q47" s="332"/>
      <c r="R47" s="332"/>
      <c r="S47" s="110"/>
      <c r="T47"/>
      <c r="U47"/>
      <c r="V47"/>
      <c r="W47" s="327"/>
    </row>
    <row r="48" spans="2:23" s="108" customFormat="1" ht="16.5" customHeight="1">
      <c r="B48" s="316"/>
      <c r="C48" s="310"/>
      <c r="D48" s="637" t="s">
        <v>200</v>
      </c>
      <c r="E48" s="637">
        <v>300</v>
      </c>
      <c r="F48" s="761" t="s">
        <v>28</v>
      </c>
      <c r="G48" s="1210">
        <f>+E48*$F$20*$F$21</f>
        <v>34372.8</v>
      </c>
      <c r="H48" s="1210"/>
      <c r="I48" s="1210"/>
      <c r="J48" s="727" t="s">
        <v>201</v>
      </c>
      <c r="K48" s="727"/>
      <c r="L48" s="637">
        <v>132</v>
      </c>
      <c r="M48" s="637">
        <v>2</v>
      </c>
      <c r="O48" s="1210">
        <f>+M48*$F$20*$M$21</f>
        <v>36585.456</v>
      </c>
      <c r="P48" s="1210"/>
      <c r="Q48" s="1210"/>
      <c r="R48" s="1210"/>
      <c r="S48" s="1210"/>
      <c r="T48" s="1210"/>
      <c r="U48" s="1210"/>
      <c r="V48"/>
      <c r="W48" s="327"/>
    </row>
    <row r="49" spans="1:23" ht="16.5" customHeight="1">
      <c r="A49" s="108"/>
      <c r="B49" s="316"/>
      <c r="C49" s="310"/>
      <c r="D49" s="638"/>
      <c r="E49" s="639"/>
      <c r="F49" s="726"/>
      <c r="G49" s="1211">
        <f>+G48</f>
        <v>34372.8</v>
      </c>
      <c r="H49" s="1211"/>
      <c r="I49" s="1211"/>
      <c r="M49" s="637"/>
      <c r="O49" s="1211">
        <f>SUM(O48:P48)</f>
        <v>36585.456</v>
      </c>
      <c r="P49" s="1211"/>
      <c r="Q49" s="1211"/>
      <c r="R49" s="1211"/>
      <c r="S49" s="1211"/>
      <c r="T49" s="1211"/>
      <c r="U49" s="1211"/>
      <c r="W49" s="327"/>
    </row>
    <row r="50" spans="1:23" ht="16.5" customHeight="1">
      <c r="A50" s="108"/>
      <c r="B50" s="316"/>
      <c r="C50" s="310"/>
      <c r="D50" s="638"/>
      <c r="E50" s="639"/>
      <c r="F50" s="726"/>
      <c r="M50" s="637"/>
      <c r="N50" s="636"/>
      <c r="O50" s="636"/>
      <c r="P50" s="325"/>
      <c r="Q50" s="325"/>
      <c r="R50" s="325"/>
      <c r="S50" s="325"/>
      <c r="W50" s="327"/>
    </row>
    <row r="51" spans="1:23" ht="16.5" customHeight="1" thickBot="1">
      <c r="A51" s="108"/>
      <c r="B51" s="316"/>
      <c r="C51" s="310"/>
      <c r="D51" s="338"/>
      <c r="E51" s="566"/>
      <c r="F51" s="566"/>
      <c r="G51" s="313"/>
      <c r="I51" s="330"/>
      <c r="J51" s="614"/>
      <c r="L51" s="613"/>
      <c r="M51" s="330"/>
      <c r="N51" s="331"/>
      <c r="O51" s="332"/>
      <c r="P51" s="332"/>
      <c r="Q51" s="332"/>
      <c r="R51" s="332"/>
      <c r="S51" s="332"/>
      <c r="W51" s="327"/>
    </row>
    <row r="52" spans="1:23" ht="16.5" customHeight="1" thickBot="1" thickTop="1">
      <c r="A52" s="108"/>
      <c r="B52" s="316"/>
      <c r="C52" s="310"/>
      <c r="D52" s="313"/>
      <c r="E52" s="728"/>
      <c r="F52" s="728"/>
      <c r="G52" s="393"/>
      <c r="H52" s="4"/>
      <c r="I52" s="645" t="s">
        <v>185</v>
      </c>
      <c r="J52" s="733">
        <f>+G49+O49</f>
        <v>70958.256</v>
      </c>
      <c r="L52" s="609"/>
      <c r="M52" s="4"/>
      <c r="N52" s="612"/>
      <c r="O52" s="325"/>
      <c r="P52" s="325"/>
      <c r="Q52" s="325"/>
      <c r="R52" s="325"/>
      <c r="S52" s="325"/>
      <c r="W52" s="327"/>
    </row>
    <row r="53" spans="1:23" ht="16.5" customHeight="1" thickTop="1">
      <c r="A53" s="108"/>
      <c r="B53" s="316"/>
      <c r="C53" s="310"/>
      <c r="D53" s="298"/>
      <c r="E53" s="300"/>
      <c r="F53" s="313"/>
      <c r="G53" s="313"/>
      <c r="H53" s="314"/>
      <c r="J53" s="313"/>
      <c r="L53" s="335"/>
      <c r="M53" s="331"/>
      <c r="N53" s="331"/>
      <c r="O53" s="332"/>
      <c r="P53" s="332"/>
      <c r="Q53" s="332"/>
      <c r="R53" s="332"/>
      <c r="S53" s="332"/>
      <c r="W53" s="327"/>
    </row>
    <row r="54" spans="2:23" ht="16.5" customHeight="1">
      <c r="B54" s="316"/>
      <c r="C54" s="328" t="s">
        <v>164</v>
      </c>
      <c r="D54" s="336" t="s">
        <v>165</v>
      </c>
      <c r="E54" s="313"/>
      <c r="F54" s="337"/>
      <c r="G54" s="299"/>
      <c r="H54" s="298"/>
      <c r="I54" s="298"/>
      <c r="J54" s="298"/>
      <c r="K54" s="313"/>
      <c r="L54" s="313"/>
      <c r="M54" s="298"/>
      <c r="N54" s="313"/>
      <c r="O54" s="298"/>
      <c r="P54" s="298"/>
      <c r="Q54" s="298"/>
      <c r="R54" s="298"/>
      <c r="S54" s="298"/>
      <c r="T54" s="298"/>
      <c r="U54" s="298"/>
      <c r="W54" s="327"/>
    </row>
    <row r="55" spans="2:23" s="108" customFormat="1" ht="16.5" customHeight="1">
      <c r="B55" s="316"/>
      <c r="C55" s="310"/>
      <c r="D55" s="338" t="s">
        <v>166</v>
      </c>
      <c r="E55" s="339">
        <f>10*J43*J25/J52</f>
        <v>1124.1824000000004</v>
      </c>
      <c r="G55" s="299"/>
      <c r="L55" s="313"/>
      <c r="N55" s="313"/>
      <c r="O55" s="314"/>
      <c r="V55"/>
      <c r="W55" s="327"/>
    </row>
    <row r="56" spans="2:23" s="108" customFormat="1" ht="12.75" customHeight="1">
      <c r="B56" s="316"/>
      <c r="C56" s="310"/>
      <c r="E56" s="606"/>
      <c r="F56" s="312"/>
      <c r="G56" s="299"/>
      <c r="J56" s="299"/>
      <c r="K56" s="341"/>
      <c r="L56" s="313"/>
      <c r="M56" s="313"/>
      <c r="N56" s="313"/>
      <c r="O56" s="314"/>
      <c r="P56" s="313"/>
      <c r="Q56" s="313"/>
      <c r="R56" s="604"/>
      <c r="S56" s="604"/>
      <c r="T56" s="604"/>
      <c r="U56" s="605"/>
      <c r="V56"/>
      <c r="W56" s="327"/>
    </row>
    <row r="57" spans="2:23" ht="16.5" customHeight="1">
      <c r="B57" s="316"/>
      <c r="C57" s="310"/>
      <c r="D57" s="342" t="s">
        <v>199</v>
      </c>
      <c r="E57" s="340"/>
      <c r="F57" s="312"/>
      <c r="G57" s="299"/>
      <c r="H57" s="298"/>
      <c r="I57" s="298"/>
      <c r="N57" s="313"/>
      <c r="O57" s="314"/>
      <c r="P57" s="313"/>
      <c r="Q57" s="313"/>
      <c r="R57" s="330"/>
      <c r="S57" s="330"/>
      <c r="T57" s="330"/>
      <c r="U57" s="331"/>
      <c r="W57" s="327"/>
    </row>
    <row r="58" spans="2:23" ht="13.5" customHeight="1" thickBot="1">
      <c r="B58" s="316"/>
      <c r="C58" s="310"/>
      <c r="D58" s="342"/>
      <c r="E58" s="340"/>
      <c r="F58" s="312"/>
      <c r="G58" s="299"/>
      <c r="H58" s="298"/>
      <c r="I58" s="298"/>
      <c r="N58" s="313"/>
      <c r="O58" s="314"/>
      <c r="P58" s="313"/>
      <c r="Q58" s="313"/>
      <c r="R58" s="330"/>
      <c r="S58" s="330"/>
      <c r="T58" s="330"/>
      <c r="U58" s="331"/>
      <c r="W58" s="327"/>
    </row>
    <row r="59" spans="2:23" s="621" customFormat="1" ht="21" thickBot="1" thickTop="1">
      <c r="B59" s="615"/>
      <c r="C59" s="616"/>
      <c r="D59" s="617"/>
      <c r="E59" s="618"/>
      <c r="F59" s="619"/>
      <c r="G59" s="620"/>
      <c r="I59" s="622" t="s">
        <v>168</v>
      </c>
      <c r="J59" s="623">
        <f>IF(E55&gt;3*J25,J25*3,E55)</f>
        <v>1124.1824000000004</v>
      </c>
      <c r="M59" s="624"/>
      <c r="N59" s="624"/>
      <c r="O59" s="625"/>
      <c r="P59" s="624"/>
      <c r="Q59" s="624"/>
      <c r="R59" s="626"/>
      <c r="S59" s="626"/>
      <c r="T59" s="626"/>
      <c r="U59" s="627"/>
      <c r="V59"/>
      <c r="W59" s="628"/>
    </row>
    <row r="60" spans="2:23" ht="16.5" customHeight="1" thickBot="1" thickTop="1">
      <c r="B60" s="133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346"/>
      <c r="W60" s="343"/>
    </row>
    <row r="61" spans="2:23" ht="16.5" customHeight="1" thickTop="1">
      <c r="B61" s="12"/>
      <c r="C61" s="713"/>
      <c r="W61" s="12"/>
    </row>
  </sheetData>
  <sheetProtection password="CC12"/>
  <mergeCells count="15">
    <mergeCell ref="E35:F35"/>
    <mergeCell ref="E36:F36"/>
    <mergeCell ref="E37:F37"/>
    <mergeCell ref="O49:U49"/>
    <mergeCell ref="G49:I49"/>
    <mergeCell ref="G48:I48"/>
    <mergeCell ref="O48:U48"/>
    <mergeCell ref="N35:O35"/>
    <mergeCell ref="N37:O37"/>
    <mergeCell ref="E40:F40"/>
    <mergeCell ref="N40:O40"/>
    <mergeCell ref="N38:O38"/>
    <mergeCell ref="N39:O39"/>
    <mergeCell ref="E38:F38"/>
    <mergeCell ref="E39:F3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GL114"/>
  <sheetViews>
    <sheetView zoomScale="75" zoomScaleNormal="75" workbookViewId="0" topLeftCell="A1">
      <selection activeCell="J98" sqref="J98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10.421875" style="16" customWidth="1"/>
    <col min="4" max="4" width="44.00390625" style="16" customWidth="1"/>
    <col min="5" max="6" width="14.28125" style="16" customWidth="1"/>
    <col min="7" max="7" width="7.7109375" style="16" hidden="1" customWidth="1"/>
    <col min="8" max="12" width="8.7109375" style="16" customWidth="1"/>
    <col min="13" max="13" width="9.00390625" style="16" customWidth="1"/>
    <col min="14" max="20" width="8.7109375" style="16" customWidth="1"/>
    <col min="21" max="21" width="10.7109375" style="16" customWidth="1"/>
    <col min="22" max="16384" width="11.421875" style="16" customWidth="1"/>
  </cols>
  <sheetData>
    <row r="1" spans="21:22" ht="45" customHeight="1">
      <c r="U1" s="869"/>
      <c r="V1" s="871"/>
    </row>
    <row r="2" spans="2:22" s="94" customFormat="1" ht="26.25">
      <c r="B2" s="258" t="str">
        <f>'tot-0401'!B2</f>
        <v>ANEXO I-1a a la Resolución ENRE N° 686/2007.-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872"/>
    </row>
    <row r="3" spans="1:22" s="101" customFormat="1" ht="11.25">
      <c r="A3" s="99" t="s">
        <v>50</v>
      </c>
      <c r="B3" s="178"/>
      <c r="U3" s="873"/>
      <c r="V3" s="873"/>
    </row>
    <row r="4" spans="1:22" s="101" customFormat="1" ht="11.25">
      <c r="A4" s="99" t="s">
        <v>51</v>
      </c>
      <c r="B4" s="178"/>
      <c r="U4" s="178"/>
      <c r="V4" s="873"/>
    </row>
    <row r="5" spans="21:22" ht="24" customHeight="1">
      <c r="U5" s="98"/>
      <c r="V5" s="871"/>
    </row>
    <row r="6" spans="2:178" s="874" customFormat="1" ht="23.25">
      <c r="B6" s="394" t="s">
        <v>235</v>
      </c>
      <c r="C6" s="394"/>
      <c r="D6" s="875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876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/>
      <c r="BI6" s="394"/>
      <c r="BJ6" s="394"/>
      <c r="BK6" s="394"/>
      <c r="BL6" s="394"/>
      <c r="BM6" s="394"/>
      <c r="BN6" s="394"/>
      <c r="BO6" s="394"/>
      <c r="BP6" s="394"/>
      <c r="BQ6" s="394"/>
      <c r="BR6" s="394"/>
      <c r="BS6" s="394"/>
      <c r="BT6" s="394"/>
      <c r="BU6" s="394"/>
      <c r="BV6" s="394"/>
      <c r="BW6" s="394"/>
      <c r="BX6" s="394"/>
      <c r="BY6" s="394"/>
      <c r="BZ6" s="394"/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394"/>
      <c r="CL6" s="394"/>
      <c r="CM6" s="394"/>
      <c r="CN6" s="394"/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4"/>
      <c r="CZ6" s="394"/>
      <c r="DA6" s="394"/>
      <c r="DB6" s="394"/>
      <c r="DC6" s="394"/>
      <c r="DD6" s="394"/>
      <c r="DE6" s="394"/>
      <c r="DF6" s="394"/>
      <c r="DG6" s="394"/>
      <c r="DH6" s="394"/>
      <c r="DI6" s="394"/>
      <c r="DJ6" s="394"/>
      <c r="DK6" s="394"/>
      <c r="DL6" s="394"/>
      <c r="DM6" s="394"/>
      <c r="DN6" s="394"/>
      <c r="DO6" s="394"/>
      <c r="DP6" s="394"/>
      <c r="DQ6" s="394"/>
      <c r="DR6" s="394"/>
      <c r="DS6" s="394"/>
      <c r="DT6" s="394"/>
      <c r="DU6" s="394"/>
      <c r="DV6" s="394"/>
      <c r="DW6" s="394"/>
      <c r="DX6" s="394"/>
      <c r="DY6" s="394"/>
      <c r="DZ6" s="394"/>
      <c r="EA6" s="394"/>
      <c r="EB6" s="394"/>
      <c r="EC6" s="394"/>
      <c r="ED6" s="394"/>
      <c r="EE6" s="394"/>
      <c r="EF6" s="394"/>
      <c r="EG6" s="394"/>
      <c r="EH6" s="394"/>
      <c r="EI6" s="394"/>
      <c r="EJ6" s="394"/>
      <c r="EK6" s="394"/>
      <c r="EL6" s="394"/>
      <c r="EM6" s="394"/>
      <c r="EN6" s="394"/>
      <c r="EO6" s="394"/>
      <c r="EP6" s="394"/>
      <c r="EQ6" s="394"/>
      <c r="ER6" s="394"/>
      <c r="ES6" s="394"/>
      <c r="ET6" s="394"/>
      <c r="EU6" s="394"/>
      <c r="EV6" s="394"/>
      <c r="EW6" s="394"/>
      <c r="EX6" s="394"/>
      <c r="EY6" s="394"/>
      <c r="EZ6" s="394"/>
      <c r="FA6" s="394"/>
      <c r="FB6" s="394"/>
      <c r="FC6" s="394"/>
      <c r="FD6" s="394"/>
      <c r="FE6" s="394"/>
      <c r="FF6" s="394"/>
      <c r="FG6" s="394"/>
      <c r="FH6" s="394"/>
      <c r="FI6" s="394"/>
      <c r="FJ6" s="394"/>
      <c r="FK6" s="394"/>
      <c r="FL6" s="394"/>
      <c r="FM6" s="394"/>
      <c r="FN6" s="394"/>
      <c r="FO6" s="394"/>
      <c r="FP6" s="394"/>
      <c r="FQ6" s="394"/>
      <c r="FR6" s="394"/>
      <c r="FS6" s="394"/>
      <c r="FT6" s="394"/>
      <c r="FU6" s="394"/>
      <c r="FV6" s="394"/>
    </row>
    <row r="7" spans="2:178" s="108" customFormat="1" ht="14.25" customHeight="1"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877"/>
      <c r="V7" s="877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4"/>
      <c r="FB7" s="334"/>
      <c r="FC7" s="334"/>
      <c r="FD7" s="334"/>
      <c r="FE7" s="334"/>
      <c r="FF7" s="334"/>
      <c r="FG7" s="334"/>
      <c r="FH7" s="334"/>
      <c r="FI7" s="334"/>
      <c r="FJ7" s="334"/>
      <c r="FK7" s="334"/>
      <c r="FL7" s="334"/>
      <c r="FM7" s="334"/>
      <c r="FN7" s="334"/>
      <c r="FO7" s="334"/>
      <c r="FP7" s="334"/>
      <c r="FQ7" s="334"/>
      <c r="FR7" s="334"/>
      <c r="FS7" s="334"/>
      <c r="FT7" s="334"/>
      <c r="FU7" s="334"/>
      <c r="FV7" s="334"/>
    </row>
    <row r="8" spans="2:178" s="878" customFormat="1" ht="23.25">
      <c r="B8" s="394" t="s">
        <v>1</v>
      </c>
      <c r="C8" s="875"/>
      <c r="D8" s="875"/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75"/>
      <c r="R8" s="875"/>
      <c r="S8" s="875"/>
      <c r="T8" s="875"/>
      <c r="U8" s="875"/>
      <c r="V8" s="879"/>
      <c r="W8" s="875"/>
      <c r="X8" s="875"/>
      <c r="Y8" s="875"/>
      <c r="Z8" s="875"/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875"/>
      <c r="AL8" s="875"/>
      <c r="AM8" s="875"/>
      <c r="AN8" s="875"/>
      <c r="AO8" s="875"/>
      <c r="AP8" s="875"/>
      <c r="AQ8" s="875"/>
      <c r="AR8" s="875"/>
      <c r="AS8" s="875"/>
      <c r="AT8" s="875"/>
      <c r="AU8" s="875"/>
      <c r="AV8" s="875"/>
      <c r="AW8" s="875"/>
      <c r="AX8" s="875"/>
      <c r="AY8" s="875"/>
      <c r="AZ8" s="875"/>
      <c r="BA8" s="875"/>
      <c r="BB8" s="875"/>
      <c r="BC8" s="875"/>
      <c r="BD8" s="875"/>
      <c r="BE8" s="875"/>
      <c r="BF8" s="875"/>
      <c r="BG8" s="875"/>
      <c r="BH8" s="875"/>
      <c r="BI8" s="875"/>
      <c r="BJ8" s="875"/>
      <c r="BK8" s="875"/>
      <c r="BL8" s="875"/>
      <c r="BM8" s="875"/>
      <c r="BN8" s="875"/>
      <c r="BO8" s="875"/>
      <c r="BP8" s="875"/>
      <c r="BQ8" s="875"/>
      <c r="BR8" s="875"/>
      <c r="BS8" s="875"/>
      <c r="BT8" s="875"/>
      <c r="BU8" s="875"/>
      <c r="BV8" s="875"/>
      <c r="BW8" s="875"/>
      <c r="BX8" s="875"/>
      <c r="BY8" s="875"/>
      <c r="BZ8" s="875"/>
      <c r="CA8" s="875"/>
      <c r="CB8" s="875"/>
      <c r="CC8" s="875"/>
      <c r="CD8" s="875"/>
      <c r="CE8" s="875"/>
      <c r="CF8" s="875"/>
      <c r="CG8" s="875"/>
      <c r="CH8" s="875"/>
      <c r="CI8" s="875"/>
      <c r="CJ8" s="875"/>
      <c r="CK8" s="875"/>
      <c r="CL8" s="875"/>
      <c r="CM8" s="875"/>
      <c r="CN8" s="875"/>
      <c r="CO8" s="875"/>
      <c r="CP8" s="875"/>
      <c r="CQ8" s="875"/>
      <c r="CR8" s="875"/>
      <c r="CS8" s="875"/>
      <c r="CT8" s="875"/>
      <c r="CU8" s="875"/>
      <c r="CV8" s="875"/>
      <c r="CW8" s="875"/>
      <c r="CX8" s="875"/>
      <c r="CY8" s="875"/>
      <c r="CZ8" s="875"/>
      <c r="DA8" s="875"/>
      <c r="DB8" s="875"/>
      <c r="DC8" s="875"/>
      <c r="DD8" s="875"/>
      <c r="DE8" s="875"/>
      <c r="DF8" s="875"/>
      <c r="DG8" s="875"/>
      <c r="DH8" s="875"/>
      <c r="DI8" s="875"/>
      <c r="DJ8" s="875"/>
      <c r="DK8" s="875"/>
      <c r="DL8" s="875"/>
      <c r="DM8" s="875"/>
      <c r="DN8" s="875"/>
      <c r="DO8" s="875"/>
      <c r="DP8" s="875"/>
      <c r="DQ8" s="875"/>
      <c r="DR8" s="875"/>
      <c r="DS8" s="875"/>
      <c r="DT8" s="875"/>
      <c r="DU8" s="875"/>
      <c r="DV8" s="875"/>
      <c r="DW8" s="875"/>
      <c r="DX8" s="875"/>
      <c r="DY8" s="875"/>
      <c r="DZ8" s="875"/>
      <c r="EA8" s="875"/>
      <c r="EB8" s="875"/>
      <c r="EC8" s="875"/>
      <c r="ED8" s="875"/>
      <c r="EE8" s="875"/>
      <c r="EF8" s="875"/>
      <c r="EG8" s="875"/>
      <c r="EH8" s="875"/>
      <c r="EI8" s="875"/>
      <c r="EJ8" s="875"/>
      <c r="EK8" s="875"/>
      <c r="EL8" s="875"/>
      <c r="EM8" s="875"/>
      <c r="EN8" s="875"/>
      <c r="EO8" s="875"/>
      <c r="EP8" s="875"/>
      <c r="EQ8" s="875"/>
      <c r="ER8" s="875"/>
      <c r="ES8" s="875"/>
      <c r="ET8" s="875"/>
      <c r="EU8" s="875"/>
      <c r="EV8" s="875"/>
      <c r="EW8" s="875"/>
      <c r="EX8" s="875"/>
      <c r="EY8" s="875"/>
      <c r="EZ8" s="875"/>
      <c r="FA8" s="875"/>
      <c r="FB8" s="875"/>
      <c r="FC8" s="875"/>
      <c r="FD8" s="875"/>
      <c r="FE8" s="875"/>
      <c r="FF8" s="875"/>
      <c r="FG8" s="875"/>
      <c r="FH8" s="875"/>
      <c r="FI8" s="875"/>
      <c r="FJ8" s="875"/>
      <c r="FK8" s="875"/>
      <c r="FL8" s="875"/>
      <c r="FM8" s="875"/>
      <c r="FN8" s="875"/>
      <c r="FO8" s="875"/>
      <c r="FP8" s="875"/>
      <c r="FQ8" s="875"/>
      <c r="FR8" s="875"/>
      <c r="FS8" s="875"/>
      <c r="FT8" s="875"/>
      <c r="FU8" s="875"/>
      <c r="FV8" s="875"/>
    </row>
    <row r="9" spans="2:178" s="108" customFormat="1" ht="15.75"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877"/>
      <c r="V9" s="877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4"/>
      <c r="FK9" s="334"/>
      <c r="FL9" s="334"/>
      <c r="FM9" s="334"/>
      <c r="FN9" s="334"/>
      <c r="FO9" s="334"/>
      <c r="FP9" s="334"/>
      <c r="FQ9" s="334"/>
      <c r="FR9" s="334"/>
      <c r="FS9" s="334"/>
      <c r="FT9" s="334"/>
      <c r="FU9" s="334"/>
      <c r="FV9" s="334"/>
    </row>
    <row r="10" spans="2:178" s="878" customFormat="1" ht="23.25">
      <c r="B10" s="394" t="s">
        <v>236</v>
      </c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  <c r="P10" s="875"/>
      <c r="Q10" s="875"/>
      <c r="R10" s="875"/>
      <c r="S10" s="875"/>
      <c r="T10" s="875"/>
      <c r="U10" s="875"/>
      <c r="V10" s="879"/>
      <c r="W10" s="875"/>
      <c r="X10" s="875"/>
      <c r="Y10" s="875"/>
      <c r="Z10" s="875"/>
      <c r="AA10" s="875"/>
      <c r="AB10" s="875"/>
      <c r="AC10" s="875"/>
      <c r="AD10" s="875"/>
      <c r="AE10" s="875"/>
      <c r="AF10" s="875"/>
      <c r="AG10" s="875"/>
      <c r="AH10" s="875"/>
      <c r="AI10" s="875"/>
      <c r="AJ10" s="875"/>
      <c r="AK10" s="875"/>
      <c r="AL10" s="875"/>
      <c r="AM10" s="875"/>
      <c r="AN10" s="875"/>
      <c r="AO10" s="875"/>
      <c r="AP10" s="875"/>
      <c r="AQ10" s="875"/>
      <c r="AR10" s="875"/>
      <c r="AS10" s="875"/>
      <c r="AT10" s="875"/>
      <c r="AU10" s="875"/>
      <c r="AV10" s="875"/>
      <c r="AW10" s="875"/>
      <c r="AX10" s="875"/>
      <c r="AY10" s="875"/>
      <c r="AZ10" s="875"/>
      <c r="BA10" s="875"/>
      <c r="BB10" s="875"/>
      <c r="BC10" s="875"/>
      <c r="BD10" s="875"/>
      <c r="BE10" s="875"/>
      <c r="BF10" s="875"/>
      <c r="BG10" s="875"/>
      <c r="BH10" s="875"/>
      <c r="BI10" s="875"/>
      <c r="BJ10" s="875"/>
      <c r="BK10" s="875"/>
      <c r="BL10" s="875"/>
      <c r="BM10" s="875"/>
      <c r="BN10" s="875"/>
      <c r="BO10" s="875"/>
      <c r="BP10" s="875"/>
      <c r="BQ10" s="875"/>
      <c r="BR10" s="875"/>
      <c r="BS10" s="875"/>
      <c r="BT10" s="875"/>
      <c r="BU10" s="875"/>
      <c r="BV10" s="875"/>
      <c r="BW10" s="875"/>
      <c r="BX10" s="875"/>
      <c r="BY10" s="875"/>
      <c r="BZ10" s="875"/>
      <c r="CA10" s="875"/>
      <c r="CB10" s="875"/>
      <c r="CC10" s="875"/>
      <c r="CD10" s="875"/>
      <c r="CE10" s="875"/>
      <c r="CF10" s="875"/>
      <c r="CG10" s="875"/>
      <c r="CH10" s="875"/>
      <c r="CI10" s="875"/>
      <c r="CJ10" s="875"/>
      <c r="CK10" s="875"/>
      <c r="CL10" s="875"/>
      <c r="CM10" s="875"/>
      <c r="CN10" s="875"/>
      <c r="CO10" s="875"/>
      <c r="CP10" s="875"/>
      <c r="CQ10" s="875"/>
      <c r="CR10" s="875"/>
      <c r="CS10" s="875"/>
      <c r="CT10" s="875"/>
      <c r="CU10" s="875"/>
      <c r="CV10" s="875"/>
      <c r="CW10" s="875"/>
      <c r="CX10" s="875"/>
      <c r="CY10" s="875"/>
      <c r="CZ10" s="875"/>
      <c r="DA10" s="875"/>
      <c r="DB10" s="875"/>
      <c r="DC10" s="875"/>
      <c r="DD10" s="875"/>
      <c r="DE10" s="875"/>
      <c r="DF10" s="875"/>
      <c r="DG10" s="875"/>
      <c r="DH10" s="875"/>
      <c r="DI10" s="875"/>
      <c r="DJ10" s="875"/>
      <c r="DK10" s="875"/>
      <c r="DL10" s="875"/>
      <c r="DM10" s="875"/>
      <c r="DN10" s="875"/>
      <c r="DO10" s="875"/>
      <c r="DP10" s="875"/>
      <c r="DQ10" s="875"/>
      <c r="DR10" s="875"/>
      <c r="DS10" s="875"/>
      <c r="DT10" s="875"/>
      <c r="DU10" s="875"/>
      <c r="DV10" s="875"/>
      <c r="DW10" s="875"/>
      <c r="DX10" s="875"/>
      <c r="DY10" s="875"/>
      <c r="DZ10" s="875"/>
      <c r="EA10" s="875"/>
      <c r="EB10" s="875"/>
      <c r="EC10" s="875"/>
      <c r="ED10" s="875"/>
      <c r="EE10" s="875"/>
      <c r="EF10" s="875"/>
      <c r="EG10" s="875"/>
      <c r="EH10" s="875"/>
      <c r="EI10" s="875"/>
      <c r="EJ10" s="875"/>
      <c r="EK10" s="875"/>
      <c r="EL10" s="875"/>
      <c r="EM10" s="875"/>
      <c r="EN10" s="875"/>
      <c r="EO10" s="875"/>
      <c r="EP10" s="875"/>
      <c r="EQ10" s="875"/>
      <c r="ER10" s="875"/>
      <c r="ES10" s="875"/>
      <c r="ET10" s="875"/>
      <c r="EU10" s="875"/>
      <c r="EV10" s="875"/>
      <c r="EW10" s="875"/>
      <c r="EX10" s="875"/>
      <c r="EY10" s="875"/>
      <c r="EZ10" s="875"/>
      <c r="FA10" s="875"/>
      <c r="FB10" s="875"/>
      <c r="FC10" s="875"/>
      <c r="FD10" s="875"/>
      <c r="FE10" s="875"/>
      <c r="FF10" s="875"/>
      <c r="FG10" s="875"/>
      <c r="FH10" s="875"/>
      <c r="FI10" s="875"/>
      <c r="FJ10" s="875"/>
      <c r="FK10" s="875"/>
      <c r="FL10" s="875"/>
      <c r="FM10" s="875"/>
      <c r="FN10" s="875"/>
      <c r="FO10" s="875"/>
      <c r="FP10" s="875"/>
      <c r="FQ10" s="875"/>
      <c r="FR10" s="875"/>
      <c r="FS10" s="875"/>
      <c r="FT10" s="875"/>
      <c r="FU10" s="875"/>
      <c r="FV10" s="875"/>
    </row>
    <row r="11" spans="2:178" s="108" customFormat="1" ht="16.5" thickBot="1"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877"/>
      <c r="V11" s="877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4"/>
      <c r="DZ11" s="334"/>
      <c r="EA11" s="334"/>
      <c r="EB11" s="334"/>
      <c r="EC11" s="334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4"/>
      <c r="ET11" s="334"/>
      <c r="EU11" s="334"/>
      <c r="EV11" s="334"/>
      <c r="EW11" s="334"/>
      <c r="EX11" s="334"/>
      <c r="EY11" s="334"/>
      <c r="EZ11" s="334"/>
      <c r="FA11" s="334"/>
      <c r="FB11" s="334"/>
      <c r="FC11" s="334"/>
      <c r="FD11" s="334"/>
      <c r="FE11" s="334"/>
      <c r="FF11" s="334"/>
      <c r="FG11" s="334"/>
      <c r="FH11" s="334"/>
      <c r="FI11" s="334"/>
      <c r="FJ11" s="334"/>
      <c r="FK11" s="334"/>
      <c r="FL11" s="334"/>
      <c r="FM11" s="334"/>
      <c r="FN11" s="334"/>
      <c r="FO11" s="334"/>
      <c r="FP11" s="334"/>
      <c r="FQ11" s="334"/>
      <c r="FR11" s="334"/>
      <c r="FS11" s="334"/>
      <c r="FT11" s="334"/>
      <c r="FU11" s="334"/>
      <c r="FV11" s="334"/>
    </row>
    <row r="12" spans="2:178" s="108" customFormat="1" ht="16.5" thickTop="1">
      <c r="B12" s="880"/>
      <c r="C12" s="881"/>
      <c r="D12" s="881"/>
      <c r="E12" s="881"/>
      <c r="F12" s="881"/>
      <c r="G12" s="881"/>
      <c r="H12" s="881"/>
      <c r="I12" s="881"/>
      <c r="J12" s="881"/>
      <c r="K12" s="881"/>
      <c r="L12" s="881"/>
      <c r="M12" s="881"/>
      <c r="N12" s="881"/>
      <c r="O12" s="881"/>
      <c r="P12" s="881"/>
      <c r="Q12" s="881"/>
      <c r="R12" s="881"/>
      <c r="S12" s="881"/>
      <c r="T12" s="881"/>
      <c r="U12" s="882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  <c r="FL12" s="334"/>
      <c r="FM12" s="334"/>
      <c r="FN12" s="334"/>
      <c r="FO12" s="334"/>
      <c r="FP12" s="334"/>
      <c r="FQ12" s="334"/>
      <c r="FR12" s="334"/>
      <c r="FS12" s="334"/>
      <c r="FT12" s="334"/>
      <c r="FU12" s="334"/>
      <c r="FV12" s="334"/>
    </row>
    <row r="13" spans="2:178" s="108" customFormat="1" ht="19.5">
      <c r="B13" s="114" t="s">
        <v>244</v>
      </c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4"/>
      <c r="V13" s="877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4"/>
      <c r="ET13" s="334"/>
      <c r="EU13" s="334"/>
      <c r="EV13" s="334"/>
      <c r="EW13" s="334"/>
      <c r="EX13" s="334"/>
      <c r="EY13" s="334"/>
      <c r="EZ13" s="334"/>
      <c r="FA13" s="334"/>
      <c r="FB13" s="334"/>
      <c r="FC13" s="334"/>
      <c r="FD13" s="334"/>
      <c r="FE13" s="334"/>
      <c r="FF13" s="334"/>
      <c r="FG13" s="334"/>
      <c r="FH13" s="334"/>
      <c r="FI13" s="334"/>
      <c r="FJ13" s="334"/>
      <c r="FK13" s="334"/>
      <c r="FL13" s="334"/>
      <c r="FM13" s="334"/>
      <c r="FN13" s="334"/>
      <c r="FO13" s="334"/>
      <c r="FP13" s="334"/>
      <c r="FQ13" s="334"/>
      <c r="FR13" s="334"/>
      <c r="FS13" s="334"/>
      <c r="FT13" s="334"/>
      <c r="FU13" s="334"/>
      <c r="FV13" s="334"/>
    </row>
    <row r="14" spans="2:21" s="108" customFormat="1" ht="16.5" thickBot="1">
      <c r="B14" s="316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885"/>
    </row>
    <row r="15" spans="2:21" s="395" customFormat="1" ht="33.75" customHeight="1" thickBot="1" thickTop="1">
      <c r="B15" s="396"/>
      <c r="C15" s="166"/>
      <c r="D15" s="166" t="s">
        <v>53</v>
      </c>
      <c r="E15" s="176" t="s">
        <v>73</v>
      </c>
      <c r="F15" s="176" t="s">
        <v>74</v>
      </c>
      <c r="G15" s="886" t="s">
        <v>237</v>
      </c>
      <c r="H15" s="886">
        <f>IF('[1]BASE'!DM15=0,"",'[1]BASE'!DM15)</f>
        <v>37622</v>
      </c>
      <c r="I15" s="886">
        <f>IF('[1]BASE'!DN15=0,"",'[1]BASE'!DN15)</f>
        <v>37653</v>
      </c>
      <c r="J15" s="886">
        <f>IF('[1]BASE'!DO15=0,"",'[1]BASE'!DO15)</f>
        <v>37681</v>
      </c>
      <c r="K15" s="886">
        <f>IF('[1]BASE'!DP15=0,"",'[1]BASE'!DP15)</f>
        <v>37712</v>
      </c>
      <c r="L15" s="886">
        <f>IF('[1]BASE'!DQ15=0,"",'[1]BASE'!DQ15)</f>
        <v>37742</v>
      </c>
      <c r="M15" s="886">
        <f>IF('[1]BASE'!DR15=0,"",'[1]BASE'!DR15)</f>
        <v>37773</v>
      </c>
      <c r="N15" s="886">
        <f>IF('[1]BASE'!DS15=0,"",'[1]BASE'!DS15)</f>
        <v>37803</v>
      </c>
      <c r="O15" s="886">
        <f>IF('[1]BASE'!DT15=0,"",'[1]BASE'!DT15)</f>
        <v>37834</v>
      </c>
      <c r="P15" s="886">
        <f>IF('[1]BASE'!DU15=0,"",'[1]BASE'!DU15)</f>
        <v>37865</v>
      </c>
      <c r="Q15" s="886">
        <f>IF('[1]BASE'!DV15=0,"",'[1]BASE'!DV15)</f>
        <v>37895</v>
      </c>
      <c r="R15" s="886">
        <f>IF('[1]BASE'!DW15=0,"",'[1]BASE'!DW15)</f>
        <v>37926</v>
      </c>
      <c r="S15" s="886">
        <f>IF('[1]BASE'!DX15=0,"",'[1]BASE'!DX15)</f>
        <v>37956</v>
      </c>
      <c r="T15" s="886">
        <f>IF('[1]BASE'!DY15=0,"",'[1]BASE'!DY15)</f>
        <v>37987</v>
      </c>
      <c r="U15" s="397"/>
    </row>
    <row r="16" spans="2:21" s="887" customFormat="1" ht="19.5" customHeight="1" thickTop="1">
      <c r="B16" s="888"/>
      <c r="C16" s="889"/>
      <c r="D16" s="890"/>
      <c r="E16" s="890"/>
      <c r="F16" s="890"/>
      <c r="G16" s="890"/>
      <c r="H16" s="890"/>
      <c r="I16" s="890"/>
      <c r="J16" s="890"/>
      <c r="K16" s="890"/>
      <c r="L16" s="890"/>
      <c r="M16" s="890"/>
      <c r="N16" s="890"/>
      <c r="O16" s="890"/>
      <c r="P16" s="891"/>
      <c r="Q16" s="891"/>
      <c r="R16" s="891"/>
      <c r="S16" s="891"/>
      <c r="T16" s="892"/>
      <c r="U16" s="893"/>
    </row>
    <row r="17" spans="2:21" s="887" customFormat="1" ht="19.5" customHeight="1">
      <c r="B17" s="888"/>
      <c r="C17" s="894">
        <f>IF('[1]BASE'!C17=0,"",'[1]BASE'!C17)</f>
        <v>1</v>
      </c>
      <c r="D17" s="894" t="str">
        <f>IF('[1]BASE'!D17=0,"",'[1]BASE'!D17)</f>
        <v>ABASTO - OLAVARRIA 1</v>
      </c>
      <c r="E17" s="894">
        <f>IF('[1]BASE'!E17=0,"",'[1]BASE'!E17)</f>
        <v>500</v>
      </c>
      <c r="F17" s="894">
        <f>IF('[1]BASE'!F17=0,"",'[1]BASE'!F17)</f>
        <v>291</v>
      </c>
      <c r="G17" s="895" t="str">
        <f>IF('[1]BASE'!G17=0,"",'[1]BASE'!G17)</f>
        <v>B</v>
      </c>
      <c r="H17" s="894">
        <f>IF('[1]BASE'!DM17=0,"",'[1]BASE'!DM17)</f>
      </c>
      <c r="I17" s="894">
        <f>IF('[1]BASE'!DN17=0,"",'[1]BASE'!DN17)</f>
      </c>
      <c r="J17" s="894">
        <f>IF('[1]BASE'!DO17=0,"",'[1]BASE'!DO17)</f>
      </c>
      <c r="K17" s="894">
        <f>IF('[1]BASE'!DP17=0,"",'[1]BASE'!DP17)</f>
      </c>
      <c r="L17" s="894">
        <f>IF('[1]BASE'!DQ17=0,"",'[1]BASE'!DQ17)</f>
      </c>
      <c r="M17" s="894">
        <f>IF('[1]BASE'!DR17=0,"",'[1]BASE'!DR17)</f>
      </c>
      <c r="N17" s="894">
        <f>IF('[1]BASE'!DS17=0,"",'[1]BASE'!DS17)</f>
        <v>1</v>
      </c>
      <c r="O17" s="894">
        <f>IF('[1]BASE'!DT17=0,"",'[1]BASE'!DT17)</f>
      </c>
      <c r="P17" s="896">
        <f>IF('[1]BASE'!DU17=0,"",'[1]BASE'!DU17)</f>
      </c>
      <c r="Q17" s="896">
        <f>IF('[1]BASE'!DV17=0,"",'[1]BASE'!DV17)</f>
      </c>
      <c r="R17" s="896">
        <f>IF('[1]BASE'!DW17=0,"",'[1]BASE'!DW17)</f>
      </c>
      <c r="S17" s="896">
        <f>IF('[1]BASE'!DX17=0,"",'[1]BASE'!DX17)</f>
      </c>
      <c r="T17" s="897"/>
      <c r="U17" s="893"/>
    </row>
    <row r="18" spans="2:21" s="887" customFormat="1" ht="19.5" customHeight="1">
      <c r="B18" s="888"/>
      <c r="C18" s="898">
        <f>IF('[1]BASE'!C18=0,"",'[1]BASE'!C18)</f>
        <v>2</v>
      </c>
      <c r="D18" s="898" t="str">
        <f>IF('[1]BASE'!D18=0,"",'[1]BASE'!D18)</f>
        <v>ABASTO - OLAVARRIA 2</v>
      </c>
      <c r="E18" s="898">
        <f>IF('[1]BASE'!E18=0,"",'[1]BASE'!E18)</f>
        <v>500</v>
      </c>
      <c r="F18" s="898">
        <f>IF('[1]BASE'!F18=0,"",'[1]BASE'!F18)</f>
        <v>301.9</v>
      </c>
      <c r="G18" s="899">
        <f>IF('[1]BASE'!G18=0,"",'[1]BASE'!G18)</f>
      </c>
      <c r="H18" s="898">
        <f>IF('[1]BASE'!DM18=0,"",'[1]BASE'!DM18)</f>
      </c>
      <c r="I18" s="898">
        <f>IF('[1]BASE'!DN18=0,"",'[1]BASE'!DN18)</f>
      </c>
      <c r="J18" s="898">
        <f>IF('[1]BASE'!DO18=0,"",'[1]BASE'!DO18)</f>
        <v>1</v>
      </c>
      <c r="K18" s="898">
        <f>IF('[1]BASE'!DP18=0,"",'[1]BASE'!DP18)</f>
      </c>
      <c r="L18" s="898">
        <f>IF('[1]BASE'!DQ18=0,"",'[1]BASE'!DQ18)</f>
      </c>
      <c r="M18" s="898">
        <f>IF('[1]BASE'!DR18=0,"",'[1]BASE'!DR18)</f>
      </c>
      <c r="N18" s="898">
        <f>IF('[1]BASE'!DS18=0,"",'[1]BASE'!DS18)</f>
      </c>
      <c r="O18" s="898">
        <f>IF('[1]BASE'!DT18=0,"",'[1]BASE'!DT18)</f>
      </c>
      <c r="P18" s="896">
        <f>IF('[1]BASE'!DU18=0,"",'[1]BASE'!DU18)</f>
      </c>
      <c r="Q18" s="896">
        <f>IF('[1]BASE'!DV18=0,"",'[1]BASE'!DV18)</f>
      </c>
      <c r="R18" s="896">
        <f>IF('[1]BASE'!DW18=0,"",'[1]BASE'!DW18)</f>
      </c>
      <c r="S18" s="896">
        <f>IF('[1]BASE'!DX18=0,"",'[1]BASE'!DX18)</f>
      </c>
      <c r="T18" s="897"/>
      <c r="U18" s="893"/>
    </row>
    <row r="19" spans="2:21" s="887" customFormat="1" ht="19.5" customHeight="1">
      <c r="B19" s="888"/>
      <c r="C19" s="900">
        <f>IF('[1]BASE'!C19=0,"",'[1]BASE'!C19)</f>
        <v>3</v>
      </c>
      <c r="D19" s="900" t="str">
        <f>IF('[1]BASE'!D19=0,"",'[1]BASE'!D19)</f>
        <v>AGUA DEL CAJON - CHOCON OESTE</v>
      </c>
      <c r="E19" s="900">
        <f>IF('[1]BASE'!E19=0,"",'[1]BASE'!E19)</f>
        <v>500</v>
      </c>
      <c r="F19" s="900">
        <f>IF('[1]BASE'!F19=0,"",'[1]BASE'!F19)</f>
        <v>52</v>
      </c>
      <c r="G19" s="901">
        <f>IF('[1]BASE'!G19=0,"",'[1]BASE'!G19)</f>
      </c>
      <c r="H19" s="900">
        <f>IF('[1]BASE'!DM19=0,"",'[1]BASE'!DM19)</f>
      </c>
      <c r="I19" s="900">
        <f>IF('[1]BASE'!DN19=0,"",'[1]BASE'!DN19)</f>
      </c>
      <c r="J19" s="900">
        <f>IF('[1]BASE'!DO19=0,"",'[1]BASE'!DO19)</f>
      </c>
      <c r="K19" s="900">
        <f>IF('[1]BASE'!DP19=0,"",'[1]BASE'!DP19)</f>
      </c>
      <c r="L19" s="900">
        <f>IF('[1]BASE'!DQ19=0,"",'[1]BASE'!DQ19)</f>
      </c>
      <c r="M19" s="900">
        <f>IF('[1]BASE'!DR19=0,"",'[1]BASE'!DR19)</f>
      </c>
      <c r="N19" s="900">
        <f>IF('[1]BASE'!DS19=0,"",'[1]BASE'!DS19)</f>
      </c>
      <c r="O19" s="900">
        <f>IF('[1]BASE'!DT19=0,"",'[1]BASE'!DT19)</f>
      </c>
      <c r="P19" s="896">
        <f>IF('[1]BASE'!DU19=0,"",'[1]BASE'!DU19)</f>
      </c>
      <c r="Q19" s="896">
        <f>IF('[1]BASE'!DV19=0,"",'[1]BASE'!DV19)</f>
      </c>
      <c r="R19" s="896">
        <f>IF('[1]BASE'!DW19=0,"",'[1]BASE'!DW19)</f>
      </c>
      <c r="S19" s="896">
        <f>IF('[1]BASE'!DX19=0,"",'[1]BASE'!DX19)</f>
      </c>
      <c r="T19" s="897"/>
      <c r="U19" s="893"/>
    </row>
    <row r="20" spans="2:21" s="887" customFormat="1" ht="19.5" customHeight="1">
      <c r="B20" s="888"/>
      <c r="C20" s="898">
        <f>IF('[1]BASE'!C20=0,"",'[1]BASE'!C20)</f>
        <v>4</v>
      </c>
      <c r="D20" s="898" t="str">
        <f>IF('[1]BASE'!D20=0,"",'[1]BASE'!D20)</f>
        <v>ALICURA - E.T. P.del A. 1 (5LG1)</v>
      </c>
      <c r="E20" s="898">
        <f>IF('[1]BASE'!E20=0,"",'[1]BASE'!E20)</f>
        <v>500</v>
      </c>
      <c r="F20" s="898">
        <f>IF('[1]BASE'!F20=0,"",'[1]BASE'!F20)</f>
        <v>76</v>
      </c>
      <c r="G20" s="899" t="str">
        <f>IF('[1]BASE'!G20=0,"",'[1]BASE'!G20)</f>
        <v>C</v>
      </c>
      <c r="H20" s="898">
        <f>IF('[1]BASE'!DM20=0,"",'[1]BASE'!DM20)</f>
        <v>1</v>
      </c>
      <c r="I20" s="898">
        <f>IF('[1]BASE'!DN20=0,"",'[1]BASE'!DN20)</f>
      </c>
      <c r="J20" s="898">
        <f>IF('[1]BASE'!DO20=0,"",'[1]BASE'!DO20)</f>
        <v>1</v>
      </c>
      <c r="K20" s="898">
        <f>IF('[1]BASE'!DP20=0,"",'[1]BASE'!DP20)</f>
      </c>
      <c r="L20" s="898">
        <f>IF('[1]BASE'!DQ20=0,"",'[1]BASE'!DQ20)</f>
      </c>
      <c r="M20" s="898">
        <f>IF('[1]BASE'!DR20=0,"",'[1]BASE'!DR20)</f>
      </c>
      <c r="N20" s="898">
        <f>IF('[1]BASE'!DS20=0,"",'[1]BASE'!DS20)</f>
      </c>
      <c r="O20" s="898">
        <f>IF('[1]BASE'!DT20=0,"",'[1]BASE'!DT20)</f>
      </c>
      <c r="P20" s="896">
        <f>IF('[1]BASE'!DU20=0,"",'[1]BASE'!DU20)</f>
      </c>
      <c r="Q20" s="896">
        <f>IF('[1]BASE'!DV20=0,"",'[1]BASE'!DV20)</f>
      </c>
      <c r="R20" s="896">
        <f>IF('[1]BASE'!DW20=0,"",'[1]BASE'!DW20)</f>
      </c>
      <c r="S20" s="896">
        <f>IF('[1]BASE'!DX20=0,"",'[1]BASE'!DX20)</f>
      </c>
      <c r="T20" s="897"/>
      <c r="U20" s="893"/>
    </row>
    <row r="21" spans="2:21" s="887" customFormat="1" ht="19.5" customHeight="1">
      <c r="B21" s="888"/>
      <c r="C21" s="900">
        <f>IF('[1]BASE'!C21=0,"",'[1]BASE'!C21)</f>
        <v>5</v>
      </c>
      <c r="D21" s="900" t="str">
        <f>IF('[1]BASE'!D21=0,"",'[1]BASE'!D21)</f>
        <v>ALICURA - E.T. P.del A. 2 (5LG2)</v>
      </c>
      <c r="E21" s="900">
        <f>IF('[1]BASE'!E21=0,"",'[1]BASE'!E21)</f>
        <v>500</v>
      </c>
      <c r="F21" s="900">
        <f>IF('[1]BASE'!F21=0,"",'[1]BASE'!F21)</f>
        <v>76</v>
      </c>
      <c r="G21" s="901" t="str">
        <f>IF('[1]BASE'!G21=0,"",'[1]BASE'!G21)</f>
        <v>C</v>
      </c>
      <c r="H21" s="900">
        <f>IF('[1]BASE'!DM21=0,"",'[1]BASE'!DM21)</f>
      </c>
      <c r="I21" s="900">
        <f>IF('[1]BASE'!DN21=0,"",'[1]BASE'!DN21)</f>
      </c>
      <c r="J21" s="900">
        <f>IF('[1]BASE'!DO21=0,"",'[1]BASE'!DO21)</f>
      </c>
      <c r="K21" s="900">
        <f>IF('[1]BASE'!DP21=0,"",'[1]BASE'!DP21)</f>
      </c>
      <c r="L21" s="900">
        <f>IF('[1]BASE'!DQ21=0,"",'[1]BASE'!DQ21)</f>
      </c>
      <c r="M21" s="900">
        <f>IF('[1]BASE'!DR21=0,"",'[1]BASE'!DR21)</f>
        <v>1</v>
      </c>
      <c r="N21" s="900">
        <f>IF('[1]BASE'!DS21=0,"",'[1]BASE'!DS21)</f>
      </c>
      <c r="O21" s="900">
        <f>IF('[1]BASE'!DT21=0,"",'[1]BASE'!DT21)</f>
        <v>1</v>
      </c>
      <c r="P21" s="896">
        <f>IF('[1]BASE'!DU21=0,"",'[1]BASE'!DU21)</f>
      </c>
      <c r="Q21" s="896">
        <f>IF('[1]BASE'!DV21=0,"",'[1]BASE'!DV21)</f>
      </c>
      <c r="R21" s="896">
        <f>IF('[1]BASE'!DW21=0,"",'[1]BASE'!DW21)</f>
      </c>
      <c r="S21" s="896">
        <f>IF('[1]BASE'!DX21=0,"",'[1]BASE'!DX21)</f>
      </c>
      <c r="T21" s="897"/>
      <c r="U21" s="893"/>
    </row>
    <row r="22" spans="2:21" s="887" customFormat="1" ht="19.5" customHeight="1">
      <c r="B22" s="888"/>
      <c r="C22" s="898">
        <f>IF('[1]BASE'!C22=0,"",'[1]BASE'!C22)</f>
        <v>6</v>
      </c>
      <c r="D22" s="898" t="str">
        <f>IF('[1]BASE'!D22=0,"",'[1]BASE'!D22)</f>
        <v>ALMAFUERTE - EMBALSE </v>
      </c>
      <c r="E22" s="898">
        <f>IF('[1]BASE'!E22=0,"",'[1]BASE'!E22)</f>
        <v>500</v>
      </c>
      <c r="F22" s="898">
        <f>IF('[1]BASE'!F22=0,"",'[1]BASE'!F22)</f>
        <v>12</v>
      </c>
      <c r="G22" s="899" t="str">
        <f>IF('[1]BASE'!G22=0,"",'[1]BASE'!G22)</f>
        <v>A</v>
      </c>
      <c r="H22" s="898">
        <f>IF('[1]BASE'!DM22=0,"",'[1]BASE'!DM22)</f>
      </c>
      <c r="I22" s="898">
        <f>IF('[1]BASE'!DN22=0,"",'[1]BASE'!DN22)</f>
      </c>
      <c r="J22" s="898">
        <f>IF('[1]BASE'!DO22=0,"",'[1]BASE'!DO22)</f>
      </c>
      <c r="K22" s="898">
        <f>IF('[1]BASE'!DP22=0,"",'[1]BASE'!DP22)</f>
      </c>
      <c r="L22" s="898">
        <f>IF('[1]BASE'!DQ22=0,"",'[1]BASE'!DQ22)</f>
      </c>
      <c r="M22" s="898">
        <f>IF('[1]BASE'!DR22=0,"",'[1]BASE'!DR22)</f>
      </c>
      <c r="N22" s="898">
        <f>IF('[1]BASE'!DS22=0,"",'[1]BASE'!DS22)</f>
      </c>
      <c r="O22" s="898">
        <f>IF('[1]BASE'!DT22=0,"",'[1]BASE'!DT22)</f>
      </c>
      <c r="P22" s="896">
        <f>IF('[1]BASE'!DU22=0,"",'[1]BASE'!DU22)</f>
      </c>
      <c r="Q22" s="896">
        <f>IF('[1]BASE'!DV22=0,"",'[1]BASE'!DV22)</f>
      </c>
      <c r="R22" s="896">
        <f>IF('[1]BASE'!DW22=0,"",'[1]BASE'!DW22)</f>
      </c>
      <c r="S22" s="896">
        <f>IF('[1]BASE'!DX22=0,"",'[1]BASE'!DX22)</f>
      </c>
      <c r="T22" s="897"/>
      <c r="U22" s="893"/>
    </row>
    <row r="23" spans="2:21" s="887" customFormat="1" ht="19.5" customHeight="1">
      <c r="B23" s="888"/>
      <c r="C23" s="900">
        <f>IF('[1]BASE'!C23=0,"",'[1]BASE'!C23)</f>
        <v>7</v>
      </c>
      <c r="D23" s="900" t="str">
        <f>IF('[1]BASE'!D23=0,"",'[1]BASE'!D23)</f>
        <v> ALMAFUERTE - ROSARIO OESTE</v>
      </c>
      <c r="E23" s="900">
        <f>IF('[1]BASE'!E23=0,"",'[1]BASE'!E23)</f>
        <v>500</v>
      </c>
      <c r="F23" s="900">
        <f>IF('[1]BASE'!F23=0,"",'[1]BASE'!F23)</f>
        <v>345</v>
      </c>
      <c r="G23" s="901" t="str">
        <f>IF('[1]BASE'!G23=0,"",'[1]BASE'!G23)</f>
        <v>B</v>
      </c>
      <c r="H23" s="900">
        <f>IF('[1]BASE'!DM23=0,"",'[1]BASE'!DM23)</f>
      </c>
      <c r="I23" s="900">
        <f>IF('[1]BASE'!DN23=0,"",'[1]BASE'!DN23)</f>
      </c>
      <c r="J23" s="900">
        <f>IF('[1]BASE'!DO23=0,"",'[1]BASE'!DO23)</f>
      </c>
      <c r="K23" s="900">
        <f>IF('[1]BASE'!DP23=0,"",'[1]BASE'!DP23)</f>
      </c>
      <c r="L23" s="900">
        <f>IF('[1]BASE'!DQ23=0,"",'[1]BASE'!DQ23)</f>
      </c>
      <c r="M23" s="900">
        <f>IF('[1]BASE'!DR23=0,"",'[1]BASE'!DR23)</f>
      </c>
      <c r="N23" s="900">
        <f>IF('[1]BASE'!DS23=0,"",'[1]BASE'!DS23)</f>
      </c>
      <c r="O23" s="900">
        <f>IF('[1]BASE'!DT23=0,"",'[1]BASE'!DT23)</f>
      </c>
      <c r="P23" s="896">
        <f>IF('[1]BASE'!DU23=0,"",'[1]BASE'!DU23)</f>
      </c>
      <c r="Q23" s="896">
        <f>IF('[1]BASE'!DV23=0,"",'[1]BASE'!DV23)</f>
      </c>
      <c r="R23" s="896">
        <f>IF('[1]BASE'!DW23=0,"",'[1]BASE'!DW23)</f>
      </c>
      <c r="S23" s="896">
        <f>IF('[1]BASE'!DX23=0,"",'[1]BASE'!DX23)</f>
      </c>
      <c r="T23" s="897"/>
      <c r="U23" s="893"/>
    </row>
    <row r="24" spans="2:21" s="887" customFormat="1" ht="19.5" customHeight="1">
      <c r="B24" s="888"/>
      <c r="C24" s="898">
        <f>IF('[1]BASE'!C24=0,"",'[1]BASE'!C24)</f>
        <v>8</v>
      </c>
      <c r="D24" s="898" t="str">
        <f>IF('[1]BASE'!D24=0,"",'[1]BASE'!D24)</f>
        <v>BAHIA BLANCA - CHOELE CHOEL 1</v>
      </c>
      <c r="E24" s="898">
        <f>IF('[1]BASE'!E24=0,"",'[1]BASE'!E24)</f>
        <v>500</v>
      </c>
      <c r="F24" s="898">
        <f>IF('[1]BASE'!F24=0,"",'[1]BASE'!F24)</f>
        <v>346</v>
      </c>
      <c r="G24" s="899" t="str">
        <f>IF('[1]BASE'!G24=0,"",'[1]BASE'!G24)</f>
        <v>B</v>
      </c>
      <c r="H24" s="898">
        <f>IF('[1]BASE'!DM24=0,"",'[1]BASE'!DM24)</f>
      </c>
      <c r="I24" s="898">
        <f>IF('[1]BASE'!DN24=0,"",'[1]BASE'!DN24)</f>
      </c>
      <c r="J24" s="898">
        <f>IF('[1]BASE'!DO24=0,"",'[1]BASE'!DO24)</f>
        <v>1</v>
      </c>
      <c r="K24" s="898">
        <f>IF('[1]BASE'!DP24=0,"",'[1]BASE'!DP24)</f>
      </c>
      <c r="L24" s="898">
        <f>IF('[1]BASE'!DQ24=0,"",'[1]BASE'!DQ24)</f>
      </c>
      <c r="M24" s="898">
        <f>IF('[1]BASE'!DR24=0,"",'[1]BASE'!DR24)</f>
      </c>
      <c r="N24" s="898">
        <f>IF('[1]BASE'!DS24=0,"",'[1]BASE'!DS24)</f>
      </c>
      <c r="O24" s="898">
        <f>IF('[1]BASE'!DT24=0,"",'[1]BASE'!DT24)</f>
      </c>
      <c r="P24" s="896">
        <f>IF('[1]BASE'!DU24=0,"",'[1]BASE'!DU24)</f>
      </c>
      <c r="Q24" s="896">
        <f>IF('[1]BASE'!DV24=0,"",'[1]BASE'!DV24)</f>
      </c>
      <c r="R24" s="896">
        <f>IF('[1]BASE'!DW24=0,"",'[1]BASE'!DW24)</f>
      </c>
      <c r="S24" s="896">
        <f>IF('[1]BASE'!DX24=0,"",'[1]BASE'!DX24)</f>
      </c>
      <c r="T24" s="897"/>
      <c r="U24" s="893"/>
    </row>
    <row r="25" spans="2:21" s="887" customFormat="1" ht="19.5" customHeight="1">
      <c r="B25" s="888"/>
      <c r="C25" s="900">
        <f>IF('[1]BASE'!C25=0,"",'[1]BASE'!C25)</f>
        <v>9</v>
      </c>
      <c r="D25" s="900" t="str">
        <f>IF('[1]BASE'!D25=0,"",'[1]BASE'!D25)</f>
        <v>BAHIA BLANCA - CHOELE CHOEL 2</v>
      </c>
      <c r="E25" s="900">
        <f>IF('[1]BASE'!E25=0,"",'[1]BASE'!E25)</f>
        <v>500</v>
      </c>
      <c r="F25" s="900">
        <f>IF('[1]BASE'!F25=0,"",'[1]BASE'!F25)</f>
        <v>348.4</v>
      </c>
      <c r="G25" s="901">
        <f>IF('[1]BASE'!G25=0,"",'[1]BASE'!G25)</f>
      </c>
      <c r="H25" s="900">
        <f>IF('[1]BASE'!DM25=0,"",'[1]BASE'!DM25)</f>
        <v>2</v>
      </c>
      <c r="I25" s="900">
        <f>IF('[1]BASE'!DN25=0,"",'[1]BASE'!DN25)</f>
      </c>
      <c r="J25" s="900">
        <f>IF('[1]BASE'!DO25=0,"",'[1]BASE'!DO25)</f>
        <v>2</v>
      </c>
      <c r="K25" s="900">
        <f>IF('[1]BASE'!DP25=0,"",'[1]BASE'!DP25)</f>
      </c>
      <c r="L25" s="900">
        <f>IF('[1]BASE'!DQ25=0,"",'[1]BASE'!DQ25)</f>
      </c>
      <c r="M25" s="900">
        <f>IF('[1]BASE'!DR25=0,"",'[1]BASE'!DR25)</f>
        <v>1</v>
      </c>
      <c r="N25" s="900">
        <f>IF('[1]BASE'!DS25=0,"",'[1]BASE'!DS25)</f>
      </c>
      <c r="O25" s="900">
        <f>IF('[1]BASE'!DT25=0,"",'[1]BASE'!DT25)</f>
      </c>
      <c r="P25" s="896">
        <f>IF('[1]BASE'!DU25=0,"",'[1]BASE'!DU25)</f>
        <v>1</v>
      </c>
      <c r="Q25" s="896">
        <f>IF('[1]BASE'!DV25=0,"",'[1]BASE'!DV25)</f>
      </c>
      <c r="R25" s="896">
        <f>IF('[1]BASE'!DW25=0,"",'[1]BASE'!DW25)</f>
      </c>
      <c r="S25" s="896">
        <f>IF('[1]BASE'!DX25=0,"",'[1]BASE'!DX25)</f>
      </c>
      <c r="T25" s="897"/>
      <c r="U25" s="893"/>
    </row>
    <row r="26" spans="2:21" s="887" customFormat="1" ht="19.5" customHeight="1">
      <c r="B26" s="888"/>
      <c r="C26" s="898">
        <f>IF('[1]BASE'!C26=0,"",'[1]BASE'!C26)</f>
        <v>10</v>
      </c>
      <c r="D26" s="898" t="str">
        <f>IF('[1]BASE'!D26=0,"",'[1]BASE'!D26)</f>
        <v>CERR. de la CTA - P.BAND. (A3)</v>
      </c>
      <c r="E26" s="898">
        <f>IF('[1]BASE'!E26=0,"",'[1]BASE'!E26)</f>
        <v>500</v>
      </c>
      <c r="F26" s="898">
        <f>IF('[1]BASE'!F26=0,"",'[1]BASE'!F26)</f>
        <v>27</v>
      </c>
      <c r="G26" s="899" t="str">
        <f>IF('[1]BASE'!G26=0,"",'[1]BASE'!G26)</f>
        <v>C</v>
      </c>
      <c r="H26" s="898">
        <f>IF('[1]BASE'!DM26=0,"",'[1]BASE'!DM26)</f>
      </c>
      <c r="I26" s="898">
        <f>IF('[1]BASE'!DN26=0,"",'[1]BASE'!DN26)</f>
      </c>
      <c r="J26" s="898">
        <f>IF('[1]BASE'!DO26=0,"",'[1]BASE'!DO26)</f>
      </c>
      <c r="K26" s="898">
        <f>IF('[1]BASE'!DP26=0,"",'[1]BASE'!DP26)</f>
      </c>
      <c r="L26" s="898">
        <f>IF('[1]BASE'!DQ26=0,"",'[1]BASE'!DQ26)</f>
      </c>
      <c r="M26" s="898">
        <f>IF('[1]BASE'!DR26=0,"",'[1]BASE'!DR26)</f>
      </c>
      <c r="N26" s="898">
        <f>IF('[1]BASE'!DS26=0,"",'[1]BASE'!DS26)</f>
      </c>
      <c r="O26" s="898">
        <f>IF('[1]BASE'!DT26=0,"",'[1]BASE'!DT26)</f>
      </c>
      <c r="P26" s="896">
        <f>IF('[1]BASE'!DU26=0,"",'[1]BASE'!DU26)</f>
      </c>
      <c r="Q26" s="896">
        <f>IF('[1]BASE'!DV26=0,"",'[1]BASE'!DV26)</f>
      </c>
      <c r="R26" s="896">
        <f>IF('[1]BASE'!DW26=0,"",'[1]BASE'!DW26)</f>
      </c>
      <c r="S26" s="896">
        <f>IF('[1]BASE'!DX26=0,"",'[1]BASE'!DX26)</f>
      </c>
      <c r="T26" s="897"/>
      <c r="U26" s="893"/>
    </row>
    <row r="27" spans="2:21" s="887" customFormat="1" ht="19.5" customHeight="1">
      <c r="B27" s="888"/>
      <c r="C27" s="900">
        <f>IF('[1]BASE'!C27=0,"",'[1]BASE'!C27)</f>
        <v>11</v>
      </c>
      <c r="D27" s="900" t="str">
        <f>IF('[1]BASE'!D27=0,"",'[1]BASE'!D27)</f>
        <v>COLONIA ELIA - CAMPANA</v>
      </c>
      <c r="E27" s="900">
        <f>IF('[1]BASE'!E27=0,"",'[1]BASE'!E27)</f>
        <v>500</v>
      </c>
      <c r="F27" s="900">
        <f>IF('[1]BASE'!F27=0,"",'[1]BASE'!F27)</f>
        <v>194</v>
      </c>
      <c r="G27" s="901" t="str">
        <f>IF('[1]BASE'!G27=0,"",'[1]BASE'!G27)</f>
        <v>C</v>
      </c>
      <c r="H27" s="900">
        <f>IF('[1]BASE'!DM27=0,"",'[1]BASE'!DM27)</f>
      </c>
      <c r="I27" s="900">
        <f>IF('[1]BASE'!DN27=0,"",'[1]BASE'!DN27)</f>
      </c>
      <c r="J27" s="900">
        <f>IF('[1]BASE'!DO27=0,"",'[1]BASE'!DO27)</f>
      </c>
      <c r="K27" s="900">
        <f>IF('[1]BASE'!DP27=0,"",'[1]BASE'!DP27)</f>
      </c>
      <c r="L27" s="900">
        <f>IF('[1]BASE'!DQ27=0,"",'[1]BASE'!DQ27)</f>
      </c>
      <c r="M27" s="900">
        <f>IF('[1]BASE'!DR27=0,"",'[1]BASE'!DR27)</f>
      </c>
      <c r="N27" s="900">
        <f>IF('[1]BASE'!DS27=0,"",'[1]BASE'!DS27)</f>
      </c>
      <c r="O27" s="900">
        <f>IF('[1]BASE'!DT27=0,"",'[1]BASE'!DT27)</f>
      </c>
      <c r="P27" s="896">
        <f>IF('[1]BASE'!DU27=0,"",'[1]BASE'!DU27)</f>
      </c>
      <c r="Q27" s="896">
        <f>IF('[1]BASE'!DV27=0,"",'[1]BASE'!DV27)</f>
      </c>
      <c r="R27" s="896">
        <f>IF('[1]BASE'!DW27=0,"",'[1]BASE'!DW27)</f>
      </c>
      <c r="S27" s="896">
        <f>IF('[1]BASE'!DX27=0,"",'[1]BASE'!DX27)</f>
      </c>
      <c r="T27" s="897"/>
      <c r="U27" s="893"/>
    </row>
    <row r="28" spans="2:21" s="887" customFormat="1" ht="19.5" customHeight="1">
      <c r="B28" s="888"/>
      <c r="C28" s="898">
        <f>IF('[1]BASE'!C28=0,"",'[1]BASE'!C28)</f>
        <v>12</v>
      </c>
      <c r="D28" s="898" t="str">
        <f>IF('[1]BASE'!D28=0,"",'[1]BASE'!D28)</f>
        <v>CHO. W. - CHOELE CHOEL (5WH1)</v>
      </c>
      <c r="E28" s="898">
        <f>IF('[1]BASE'!E28=0,"",'[1]BASE'!E28)</f>
        <v>500</v>
      </c>
      <c r="F28" s="898">
        <f>IF('[1]BASE'!F28=0,"",'[1]BASE'!F28)</f>
        <v>269</v>
      </c>
      <c r="G28" s="899" t="str">
        <f>IF('[1]BASE'!G28=0,"",'[1]BASE'!G28)</f>
        <v>B</v>
      </c>
      <c r="H28" s="898">
        <f>IF('[1]BASE'!DM28=0,"",'[1]BASE'!DM28)</f>
      </c>
      <c r="I28" s="898">
        <f>IF('[1]BASE'!DN28=0,"",'[1]BASE'!DN28)</f>
      </c>
      <c r="J28" s="898">
        <f>IF('[1]BASE'!DO28=0,"",'[1]BASE'!DO28)</f>
      </c>
      <c r="K28" s="898">
        <f>IF('[1]BASE'!DP28=0,"",'[1]BASE'!DP28)</f>
      </c>
      <c r="L28" s="898">
        <f>IF('[1]BASE'!DQ28=0,"",'[1]BASE'!DQ28)</f>
      </c>
      <c r="M28" s="898">
        <f>IF('[1]BASE'!DR28=0,"",'[1]BASE'!DR28)</f>
      </c>
      <c r="N28" s="898">
        <f>IF('[1]BASE'!DS28=0,"",'[1]BASE'!DS28)</f>
      </c>
      <c r="O28" s="898">
        <f>IF('[1]BASE'!DT28=0,"",'[1]BASE'!DT28)</f>
      </c>
      <c r="P28" s="896">
        <f>IF('[1]BASE'!DU28=0,"",'[1]BASE'!DU28)</f>
      </c>
      <c r="Q28" s="896">
        <f>IF('[1]BASE'!DV28=0,"",'[1]BASE'!DV28)</f>
      </c>
      <c r="R28" s="896">
        <f>IF('[1]BASE'!DW28=0,"",'[1]BASE'!DW28)</f>
      </c>
      <c r="S28" s="896">
        <f>IF('[1]BASE'!DX28=0,"",'[1]BASE'!DX28)</f>
      </c>
      <c r="T28" s="897"/>
      <c r="U28" s="893"/>
    </row>
    <row r="29" spans="2:21" s="887" customFormat="1" ht="19.5" customHeight="1">
      <c r="B29" s="888"/>
      <c r="C29" s="900">
        <f>IF('[1]BASE'!C29=0,"",'[1]BASE'!C29)</f>
        <v>13</v>
      </c>
      <c r="D29" s="900" t="str">
        <f>IF('[1]BASE'!D29=0,"",'[1]BASE'!D29)</f>
        <v>CHO.W. - CHO. 1 (5WC1)</v>
      </c>
      <c r="E29" s="900">
        <f>IF('[1]BASE'!E29=0,"",'[1]BASE'!E29)</f>
        <v>500</v>
      </c>
      <c r="F29" s="900">
        <f>IF('[1]BASE'!F29=0,"",'[1]BASE'!F29)</f>
        <v>4.5</v>
      </c>
      <c r="G29" s="901" t="str">
        <f>IF('[1]BASE'!G29=0,"",'[1]BASE'!G29)</f>
        <v>C</v>
      </c>
      <c r="H29" s="900">
        <f>IF('[1]BASE'!DM29=0,"",'[1]BASE'!DM29)</f>
      </c>
      <c r="I29" s="900">
        <f>IF('[1]BASE'!DN29=0,"",'[1]BASE'!DN29)</f>
      </c>
      <c r="J29" s="900">
        <f>IF('[1]BASE'!DO29=0,"",'[1]BASE'!DO29)</f>
      </c>
      <c r="K29" s="900">
        <f>IF('[1]BASE'!DP29=0,"",'[1]BASE'!DP29)</f>
      </c>
      <c r="L29" s="900">
        <f>IF('[1]BASE'!DQ29=0,"",'[1]BASE'!DQ29)</f>
      </c>
      <c r="M29" s="900">
        <f>IF('[1]BASE'!DR29=0,"",'[1]BASE'!DR29)</f>
      </c>
      <c r="N29" s="900">
        <f>IF('[1]BASE'!DS29=0,"",'[1]BASE'!DS29)</f>
      </c>
      <c r="O29" s="900">
        <f>IF('[1]BASE'!DT29=0,"",'[1]BASE'!DT29)</f>
      </c>
      <c r="P29" s="896">
        <f>IF('[1]BASE'!DU29=0,"",'[1]BASE'!DU29)</f>
      </c>
      <c r="Q29" s="896">
        <f>IF('[1]BASE'!DV29=0,"",'[1]BASE'!DV29)</f>
      </c>
      <c r="R29" s="896">
        <f>IF('[1]BASE'!DW29=0,"",'[1]BASE'!DW29)</f>
      </c>
      <c r="S29" s="896">
        <f>IF('[1]BASE'!DX29=0,"",'[1]BASE'!DX29)</f>
      </c>
      <c r="T29" s="897"/>
      <c r="U29" s="893"/>
    </row>
    <row r="30" spans="2:21" s="887" customFormat="1" ht="19.5" customHeight="1">
      <c r="B30" s="888"/>
      <c r="C30" s="898">
        <f>IF('[1]BASE'!C30=0,"",'[1]BASE'!C30)</f>
        <v>14</v>
      </c>
      <c r="D30" s="898" t="str">
        <f>IF('[1]BASE'!D30=0,"",'[1]BASE'!D30)</f>
        <v>CHO.W. - CHO. 2 (5WC2)</v>
      </c>
      <c r="E30" s="898">
        <f>IF('[1]BASE'!E30=0,"",'[1]BASE'!E30)</f>
        <v>500</v>
      </c>
      <c r="F30" s="898">
        <f>IF('[1]BASE'!F30=0,"",'[1]BASE'!F30)</f>
        <v>4.5</v>
      </c>
      <c r="G30" s="899" t="str">
        <f>IF('[1]BASE'!G30=0,"",'[1]BASE'!G30)</f>
        <v>C</v>
      </c>
      <c r="H30" s="898">
        <f>IF('[1]BASE'!DM30=0,"",'[1]BASE'!DM30)</f>
      </c>
      <c r="I30" s="898">
        <f>IF('[1]BASE'!DN30=0,"",'[1]BASE'!DN30)</f>
      </c>
      <c r="J30" s="898">
        <f>IF('[1]BASE'!DO30=0,"",'[1]BASE'!DO30)</f>
      </c>
      <c r="K30" s="898">
        <f>IF('[1]BASE'!DP30=0,"",'[1]BASE'!DP30)</f>
      </c>
      <c r="L30" s="898">
        <f>IF('[1]BASE'!DQ30=0,"",'[1]BASE'!DQ30)</f>
      </c>
      <c r="M30" s="898">
        <f>IF('[1]BASE'!DR30=0,"",'[1]BASE'!DR30)</f>
      </c>
      <c r="N30" s="898">
        <f>IF('[1]BASE'!DS30=0,"",'[1]BASE'!DS30)</f>
      </c>
      <c r="O30" s="898">
        <f>IF('[1]BASE'!DT30=0,"",'[1]BASE'!DT30)</f>
      </c>
      <c r="P30" s="896">
        <f>IF('[1]BASE'!DU30=0,"",'[1]BASE'!DU30)</f>
      </c>
      <c r="Q30" s="896">
        <f>IF('[1]BASE'!DV30=0,"",'[1]BASE'!DV30)</f>
      </c>
      <c r="R30" s="896">
        <f>IF('[1]BASE'!DW30=0,"",'[1]BASE'!DW30)</f>
      </c>
      <c r="S30" s="896">
        <f>IF('[1]BASE'!DX30=0,"",'[1]BASE'!DX30)</f>
      </c>
      <c r="T30" s="897"/>
      <c r="U30" s="893"/>
    </row>
    <row r="31" spans="2:21" s="887" customFormat="1" ht="19.5" customHeight="1">
      <c r="B31" s="888"/>
      <c r="C31" s="900">
        <f>IF('[1]BASE'!C31=0,"",'[1]BASE'!C31)</f>
        <v>15</v>
      </c>
      <c r="D31" s="900" t="str">
        <f>IF('[1]BASE'!D31=0,"",'[1]BASE'!D31)</f>
        <v>CHOCON - C.H. CHOCON 1</v>
      </c>
      <c r="E31" s="900">
        <f>IF('[1]BASE'!E31=0,"",'[1]BASE'!E31)</f>
        <v>500</v>
      </c>
      <c r="F31" s="900">
        <f>IF('[1]BASE'!F31=0,"",'[1]BASE'!F31)</f>
        <v>3</v>
      </c>
      <c r="G31" s="901" t="str">
        <f>IF('[1]BASE'!G31=0,"",'[1]BASE'!G31)</f>
        <v>C</v>
      </c>
      <c r="H31" s="900">
        <f>IF('[1]BASE'!DM31=0,"",'[1]BASE'!DM31)</f>
      </c>
      <c r="I31" s="900">
        <f>IF('[1]BASE'!DN31=0,"",'[1]BASE'!DN31)</f>
      </c>
      <c r="J31" s="900">
        <f>IF('[1]BASE'!DO31=0,"",'[1]BASE'!DO31)</f>
      </c>
      <c r="K31" s="900">
        <f>IF('[1]BASE'!DP31=0,"",'[1]BASE'!DP31)</f>
      </c>
      <c r="L31" s="900">
        <f>IF('[1]BASE'!DQ31=0,"",'[1]BASE'!DQ31)</f>
      </c>
      <c r="M31" s="900">
        <f>IF('[1]BASE'!DR31=0,"",'[1]BASE'!DR31)</f>
      </c>
      <c r="N31" s="900">
        <f>IF('[1]BASE'!DS31=0,"",'[1]BASE'!DS31)</f>
      </c>
      <c r="O31" s="900">
        <f>IF('[1]BASE'!DT31=0,"",'[1]BASE'!DT31)</f>
      </c>
      <c r="P31" s="896">
        <f>IF('[1]BASE'!DU31=0,"",'[1]BASE'!DU31)</f>
      </c>
      <c r="Q31" s="896">
        <f>IF('[1]BASE'!DV31=0,"",'[1]BASE'!DV31)</f>
      </c>
      <c r="R31" s="896">
        <f>IF('[1]BASE'!DW31=0,"",'[1]BASE'!DW31)</f>
      </c>
      <c r="S31" s="896">
        <f>IF('[1]BASE'!DX31=0,"",'[1]BASE'!DX31)</f>
      </c>
      <c r="T31" s="897"/>
      <c r="U31" s="893"/>
    </row>
    <row r="32" spans="2:21" s="887" customFormat="1" ht="19.5" customHeight="1">
      <c r="B32" s="888"/>
      <c r="C32" s="898">
        <f>IF('[1]BASE'!C32=0,"",'[1]BASE'!C32)</f>
        <v>16</v>
      </c>
      <c r="D32" s="898" t="str">
        <f>IF('[1]BASE'!D32=0,"",'[1]BASE'!D32)</f>
        <v>CHOCON - C.H. CHOCON 2</v>
      </c>
      <c r="E32" s="898">
        <f>IF('[1]BASE'!E32=0,"",'[1]BASE'!E32)</f>
        <v>500</v>
      </c>
      <c r="F32" s="898">
        <f>IF('[1]BASE'!F32=0,"",'[1]BASE'!F32)</f>
        <v>3</v>
      </c>
      <c r="G32" s="899" t="str">
        <f>IF('[1]BASE'!G32=0,"",'[1]BASE'!G32)</f>
        <v>C</v>
      </c>
      <c r="H32" s="898">
        <f>IF('[1]BASE'!DM32=0,"",'[1]BASE'!DM32)</f>
      </c>
      <c r="I32" s="898">
        <f>IF('[1]BASE'!DN32=0,"",'[1]BASE'!DN32)</f>
      </c>
      <c r="J32" s="898">
        <f>IF('[1]BASE'!DO32=0,"",'[1]BASE'!DO32)</f>
      </c>
      <c r="K32" s="898">
        <f>IF('[1]BASE'!DP32=0,"",'[1]BASE'!DP32)</f>
      </c>
      <c r="L32" s="898">
        <f>IF('[1]BASE'!DQ32=0,"",'[1]BASE'!DQ32)</f>
      </c>
      <c r="M32" s="898">
        <f>IF('[1]BASE'!DR32=0,"",'[1]BASE'!DR32)</f>
      </c>
      <c r="N32" s="898">
        <f>IF('[1]BASE'!DS32=0,"",'[1]BASE'!DS32)</f>
        <v>1</v>
      </c>
      <c r="O32" s="898">
        <f>IF('[1]BASE'!DT32=0,"",'[1]BASE'!DT32)</f>
      </c>
      <c r="P32" s="896">
        <f>IF('[1]BASE'!DU32=0,"",'[1]BASE'!DU32)</f>
      </c>
      <c r="Q32" s="896">
        <f>IF('[1]BASE'!DV32=0,"",'[1]BASE'!DV32)</f>
      </c>
      <c r="R32" s="896">
        <f>IF('[1]BASE'!DW32=0,"",'[1]BASE'!DW32)</f>
      </c>
      <c r="S32" s="896">
        <f>IF('[1]BASE'!DX32=0,"",'[1]BASE'!DX32)</f>
      </c>
      <c r="T32" s="897"/>
      <c r="U32" s="893"/>
    </row>
    <row r="33" spans="2:21" s="887" customFormat="1" ht="19.5" customHeight="1">
      <c r="B33" s="888"/>
      <c r="C33" s="900">
        <f>IF('[1]BASE'!C33=0,"",'[1]BASE'!C33)</f>
        <v>17</v>
      </c>
      <c r="D33" s="900" t="str">
        <f>IF('[1]BASE'!D33=0,"",'[1]BASE'!D33)</f>
        <v>CHOCON - C.H. CHOCON 3</v>
      </c>
      <c r="E33" s="900">
        <f>IF('[1]BASE'!E33=0,"",'[1]BASE'!E33)</f>
        <v>500</v>
      </c>
      <c r="F33" s="900">
        <f>IF('[1]BASE'!F33=0,"",'[1]BASE'!F33)</f>
        <v>3</v>
      </c>
      <c r="G33" s="901" t="str">
        <f>IF('[1]BASE'!G33=0,"",'[1]BASE'!G33)</f>
        <v>C</v>
      </c>
      <c r="H33" s="900">
        <f>IF('[1]BASE'!DM33=0,"",'[1]BASE'!DM33)</f>
      </c>
      <c r="I33" s="900">
        <f>IF('[1]BASE'!DN33=0,"",'[1]BASE'!DN33)</f>
      </c>
      <c r="J33" s="900">
        <f>IF('[1]BASE'!DO33=0,"",'[1]BASE'!DO33)</f>
      </c>
      <c r="K33" s="900">
        <f>IF('[1]BASE'!DP33=0,"",'[1]BASE'!DP33)</f>
      </c>
      <c r="L33" s="900">
        <f>IF('[1]BASE'!DQ33=0,"",'[1]BASE'!DQ33)</f>
      </c>
      <c r="M33" s="900">
        <f>IF('[1]BASE'!DR33=0,"",'[1]BASE'!DR33)</f>
      </c>
      <c r="N33" s="900">
        <f>IF('[1]BASE'!DS33=0,"",'[1]BASE'!DS33)</f>
      </c>
      <c r="O33" s="900">
        <f>IF('[1]BASE'!DT33=0,"",'[1]BASE'!DT33)</f>
      </c>
      <c r="P33" s="896">
        <f>IF('[1]BASE'!DU33=0,"",'[1]BASE'!DU33)</f>
      </c>
      <c r="Q33" s="896">
        <f>IF('[1]BASE'!DV33=0,"",'[1]BASE'!DV33)</f>
      </c>
      <c r="R33" s="896">
        <f>IF('[1]BASE'!DW33=0,"",'[1]BASE'!DW33)</f>
      </c>
      <c r="S33" s="896">
        <f>IF('[1]BASE'!DX33=0,"",'[1]BASE'!DX33)</f>
      </c>
      <c r="T33" s="897"/>
      <c r="U33" s="893"/>
    </row>
    <row r="34" spans="2:21" s="887" customFormat="1" ht="19.5" customHeight="1">
      <c r="B34" s="888"/>
      <c r="C34" s="898">
        <f>IF('[1]BASE'!C34=0,"",'[1]BASE'!C34)</f>
        <v>18</v>
      </c>
      <c r="D34" s="898" t="str">
        <f>IF('[1]BASE'!D34=0,"",'[1]BASE'!D34)</f>
        <v>CHOCON - PUELCHES 1</v>
      </c>
      <c r="E34" s="898">
        <f>IF('[1]BASE'!E34=0,"",'[1]BASE'!E34)</f>
        <v>500</v>
      </c>
      <c r="F34" s="898">
        <f>IF('[1]BASE'!F34=0,"",'[1]BASE'!F34)</f>
        <v>304</v>
      </c>
      <c r="G34" s="899" t="str">
        <f>IF('[1]BASE'!G34=0,"",'[1]BASE'!G34)</f>
        <v>A</v>
      </c>
      <c r="H34" s="898">
        <f>IF('[1]BASE'!DM34=0,"",'[1]BASE'!DM34)</f>
      </c>
      <c r="I34" s="898">
        <f>IF('[1]BASE'!DN34=0,"",'[1]BASE'!DN34)</f>
      </c>
      <c r="J34" s="898">
        <f>IF('[1]BASE'!DO34=0,"",'[1]BASE'!DO34)</f>
      </c>
      <c r="K34" s="898">
        <f>IF('[1]BASE'!DP34=0,"",'[1]BASE'!DP34)</f>
      </c>
      <c r="L34" s="898">
        <f>IF('[1]BASE'!DQ34=0,"",'[1]BASE'!DQ34)</f>
      </c>
      <c r="M34" s="898">
        <f>IF('[1]BASE'!DR34=0,"",'[1]BASE'!DR34)</f>
      </c>
      <c r="N34" s="898">
        <f>IF('[1]BASE'!DS34=0,"",'[1]BASE'!DS34)</f>
        <v>1</v>
      </c>
      <c r="O34" s="898">
        <f>IF('[1]BASE'!DT34=0,"",'[1]BASE'!DT34)</f>
      </c>
      <c r="P34" s="896">
        <f>IF('[1]BASE'!DU34=0,"",'[1]BASE'!DU34)</f>
      </c>
      <c r="Q34" s="896">
        <f>IF('[1]BASE'!DV34=0,"",'[1]BASE'!DV34)</f>
      </c>
      <c r="R34" s="896">
        <f>IF('[1]BASE'!DW34=0,"",'[1]BASE'!DW34)</f>
      </c>
      <c r="S34" s="896">
        <f>IF('[1]BASE'!DX34=0,"",'[1]BASE'!DX34)</f>
      </c>
      <c r="T34" s="897"/>
      <c r="U34" s="893"/>
    </row>
    <row r="35" spans="2:21" s="887" customFormat="1" ht="19.5" customHeight="1">
      <c r="B35" s="888"/>
      <c r="C35" s="900">
        <f>IF('[1]BASE'!C35=0,"",'[1]BASE'!C35)</f>
        <v>19</v>
      </c>
      <c r="D35" s="900" t="str">
        <f>IF('[1]BASE'!D35=0,"",'[1]BASE'!D35)</f>
        <v>CHOCON - PUELCHES 2</v>
      </c>
      <c r="E35" s="900">
        <f>IF('[1]BASE'!E35=0,"",'[1]BASE'!E35)</f>
        <v>500</v>
      </c>
      <c r="F35" s="900">
        <f>IF('[1]BASE'!F35=0,"",'[1]BASE'!F35)</f>
        <v>304</v>
      </c>
      <c r="G35" s="901" t="str">
        <f>IF('[1]BASE'!G35=0,"",'[1]BASE'!G35)</f>
        <v>A</v>
      </c>
      <c r="H35" s="900">
        <f>IF('[1]BASE'!DM35=0,"",'[1]BASE'!DM35)</f>
      </c>
      <c r="I35" s="900">
        <f>IF('[1]BASE'!DN35=0,"",'[1]BASE'!DN35)</f>
      </c>
      <c r="J35" s="900">
        <f>IF('[1]BASE'!DO35=0,"",'[1]BASE'!DO35)</f>
      </c>
      <c r="K35" s="900">
        <f>IF('[1]BASE'!DP35=0,"",'[1]BASE'!DP35)</f>
      </c>
      <c r="L35" s="900">
        <f>IF('[1]BASE'!DQ35=0,"",'[1]BASE'!DQ35)</f>
      </c>
      <c r="M35" s="900">
        <f>IF('[1]BASE'!DR35=0,"",'[1]BASE'!DR35)</f>
      </c>
      <c r="N35" s="900">
        <f>IF('[1]BASE'!DS35=0,"",'[1]BASE'!DS35)</f>
      </c>
      <c r="O35" s="900">
        <f>IF('[1]BASE'!DT35=0,"",'[1]BASE'!DT35)</f>
      </c>
      <c r="P35" s="896">
        <f>IF('[1]BASE'!DU35=0,"",'[1]BASE'!DU35)</f>
      </c>
      <c r="Q35" s="896">
        <f>IF('[1]BASE'!DV35=0,"",'[1]BASE'!DV35)</f>
        <v>1</v>
      </c>
      <c r="R35" s="896">
        <f>IF('[1]BASE'!DW35=0,"",'[1]BASE'!DW35)</f>
      </c>
      <c r="S35" s="896">
        <f>IF('[1]BASE'!DX35=0,"",'[1]BASE'!DX35)</f>
      </c>
      <c r="T35" s="897"/>
      <c r="U35" s="893"/>
    </row>
    <row r="36" spans="2:21" s="887" customFormat="1" ht="19.5" customHeight="1">
      <c r="B36" s="888"/>
      <c r="C36" s="898">
        <f>IF('[1]BASE'!C36=0,"",'[1]BASE'!C36)</f>
        <v>20</v>
      </c>
      <c r="D36" s="898" t="str">
        <f>IF('[1]BASE'!D36=0,"",'[1]BASE'!D36)</f>
        <v>E.T.P.del AGUILA - CENTRAL P.del A. 1</v>
      </c>
      <c r="E36" s="898">
        <f>IF('[1]BASE'!E36=0,"",'[1]BASE'!E36)</f>
        <v>500</v>
      </c>
      <c r="F36" s="898">
        <f>IF('[1]BASE'!F36=0,"",'[1]BASE'!F36)</f>
        <v>5.6</v>
      </c>
      <c r="G36" s="899" t="str">
        <f>IF('[1]BASE'!G36=0,"",'[1]BASE'!G36)</f>
        <v>C</v>
      </c>
      <c r="H36" s="898">
        <f>IF('[1]BASE'!DM36=0,"",'[1]BASE'!DM36)</f>
      </c>
      <c r="I36" s="898">
        <f>IF('[1]BASE'!DN36=0,"",'[1]BASE'!DN36)</f>
      </c>
      <c r="J36" s="898">
        <f>IF('[1]BASE'!DO36=0,"",'[1]BASE'!DO36)</f>
      </c>
      <c r="K36" s="898">
        <f>IF('[1]BASE'!DP36=0,"",'[1]BASE'!DP36)</f>
      </c>
      <c r="L36" s="898">
        <f>IF('[1]BASE'!DQ36=0,"",'[1]BASE'!DQ36)</f>
        <v>1</v>
      </c>
      <c r="M36" s="898">
        <f>IF('[1]BASE'!DR36=0,"",'[1]BASE'!DR36)</f>
      </c>
      <c r="N36" s="898">
        <f>IF('[1]BASE'!DS36=0,"",'[1]BASE'!DS36)</f>
      </c>
      <c r="O36" s="898">
        <f>IF('[1]BASE'!DT36=0,"",'[1]BASE'!DT36)</f>
      </c>
      <c r="P36" s="896">
        <f>IF('[1]BASE'!DU36=0,"",'[1]BASE'!DU36)</f>
      </c>
      <c r="Q36" s="896">
        <f>IF('[1]BASE'!DV36=0,"",'[1]BASE'!DV36)</f>
      </c>
      <c r="R36" s="896">
        <f>IF('[1]BASE'!DW36=0,"",'[1]BASE'!DW36)</f>
      </c>
      <c r="S36" s="896">
        <f>IF('[1]BASE'!DX36=0,"",'[1]BASE'!DX36)</f>
      </c>
      <c r="T36" s="897"/>
      <c r="U36" s="893"/>
    </row>
    <row r="37" spans="2:21" s="887" customFormat="1" ht="19.5" customHeight="1">
      <c r="B37" s="888"/>
      <c r="C37" s="900">
        <f>IF('[1]BASE'!C37=0,"",'[1]BASE'!C37)</f>
        <v>21</v>
      </c>
      <c r="D37" s="900" t="str">
        <f>IF('[1]BASE'!D37=0,"",'[1]BASE'!D37)</f>
        <v>E.T.P.del AGUILA - CENTRAL P.del A. 2</v>
      </c>
      <c r="E37" s="900">
        <f>IF('[1]BASE'!E37=0,"",'[1]BASE'!E37)</f>
        <v>500</v>
      </c>
      <c r="F37" s="900">
        <f>IF('[1]BASE'!F37=0,"",'[1]BASE'!F37)</f>
        <v>5.6</v>
      </c>
      <c r="G37" s="901" t="str">
        <f>IF('[1]BASE'!G37=0,"",'[1]BASE'!G37)</f>
        <v>C</v>
      </c>
      <c r="H37" s="900">
        <f>IF('[1]BASE'!DM37=0,"",'[1]BASE'!DM37)</f>
      </c>
      <c r="I37" s="900">
        <f>IF('[1]BASE'!DN37=0,"",'[1]BASE'!DN37)</f>
      </c>
      <c r="J37" s="900">
        <f>IF('[1]BASE'!DO37=0,"",'[1]BASE'!DO37)</f>
      </c>
      <c r="K37" s="900">
        <f>IF('[1]BASE'!DP37=0,"",'[1]BASE'!DP37)</f>
      </c>
      <c r="L37" s="900">
        <f>IF('[1]BASE'!DQ37=0,"",'[1]BASE'!DQ37)</f>
      </c>
      <c r="M37" s="900">
        <f>IF('[1]BASE'!DR37=0,"",'[1]BASE'!DR37)</f>
      </c>
      <c r="N37" s="900">
        <f>IF('[1]BASE'!DS37=0,"",'[1]BASE'!DS37)</f>
      </c>
      <c r="O37" s="900">
        <f>IF('[1]BASE'!DT37=0,"",'[1]BASE'!DT37)</f>
      </c>
      <c r="P37" s="896">
        <f>IF('[1]BASE'!DU37=0,"",'[1]BASE'!DU37)</f>
      </c>
      <c r="Q37" s="896">
        <f>IF('[1]BASE'!DV37=0,"",'[1]BASE'!DV37)</f>
      </c>
      <c r="R37" s="896">
        <f>IF('[1]BASE'!DW37=0,"",'[1]BASE'!DW37)</f>
      </c>
      <c r="S37" s="896">
        <f>IF('[1]BASE'!DX37=0,"",'[1]BASE'!DX37)</f>
      </c>
      <c r="T37" s="897"/>
      <c r="U37" s="893"/>
    </row>
    <row r="38" spans="2:21" s="887" customFormat="1" ht="19.5" customHeight="1">
      <c r="B38" s="888"/>
      <c r="C38" s="898">
        <f>IF('[1]BASE'!C38=0,"",'[1]BASE'!C38)</f>
        <v>22</v>
      </c>
      <c r="D38" s="898" t="str">
        <f>IF('[1]BASE'!D38=0,"",'[1]BASE'!D38)</f>
        <v>EL BRACHO - RECREO(5)</v>
      </c>
      <c r="E38" s="898">
        <f>IF('[1]BASE'!E38=0,"",'[1]BASE'!E38)</f>
        <v>500</v>
      </c>
      <c r="F38" s="898">
        <f>IF('[1]BASE'!F38=0,"",'[1]BASE'!F38)</f>
        <v>255</v>
      </c>
      <c r="G38" s="899" t="str">
        <f>IF('[1]BASE'!G38=0,"",'[1]BASE'!G38)</f>
        <v>C</v>
      </c>
      <c r="H38" s="898">
        <f>IF('[1]BASE'!DM38=0,"",'[1]BASE'!DM38)</f>
      </c>
      <c r="I38" s="898">
        <f>IF('[1]BASE'!DN38=0,"",'[1]BASE'!DN38)</f>
      </c>
      <c r="J38" s="898">
        <f>IF('[1]BASE'!DO38=0,"",'[1]BASE'!DO38)</f>
      </c>
      <c r="K38" s="898">
        <f>IF('[1]BASE'!DP38=0,"",'[1]BASE'!DP38)</f>
      </c>
      <c r="L38" s="898">
        <f>IF('[1]BASE'!DQ38=0,"",'[1]BASE'!DQ38)</f>
      </c>
      <c r="M38" s="898">
        <f>IF('[1]BASE'!DR38=0,"",'[1]BASE'!DR38)</f>
      </c>
      <c r="N38" s="898">
        <f>IF('[1]BASE'!DS38=0,"",'[1]BASE'!DS38)</f>
      </c>
      <c r="O38" s="898">
        <f>IF('[1]BASE'!DT38=0,"",'[1]BASE'!DT38)</f>
      </c>
      <c r="P38" s="896">
        <f>IF('[1]BASE'!DU38=0,"",'[1]BASE'!DU38)</f>
      </c>
      <c r="Q38" s="896">
        <f>IF('[1]BASE'!DV38=0,"",'[1]BASE'!DV38)</f>
      </c>
      <c r="R38" s="896">
        <f>IF('[1]BASE'!DW38=0,"",'[1]BASE'!DW38)</f>
      </c>
      <c r="S38" s="896">
        <f>IF('[1]BASE'!DX38=0,"",'[1]BASE'!DX38)</f>
      </c>
      <c r="T38" s="897"/>
      <c r="U38" s="893"/>
    </row>
    <row r="39" spans="2:21" s="887" customFormat="1" ht="19.5" customHeight="1">
      <c r="B39" s="888"/>
      <c r="C39" s="900">
        <f>IF('[1]BASE'!C39=0,"",'[1]BASE'!C39)</f>
        <v>23</v>
      </c>
      <c r="D39" s="900" t="str">
        <f>IF('[1]BASE'!D39=0,"",'[1]BASE'!D39)</f>
        <v>EZEIZA - ABASTO 1</v>
      </c>
      <c r="E39" s="900">
        <f>IF('[1]BASE'!E39=0,"",'[1]BASE'!E39)</f>
        <v>500</v>
      </c>
      <c r="F39" s="900">
        <f>IF('[1]BASE'!F39=0,"",'[1]BASE'!F39)</f>
        <v>58</v>
      </c>
      <c r="G39" s="901" t="str">
        <f>IF('[1]BASE'!G39=0,"",'[1]BASE'!G39)</f>
        <v>C</v>
      </c>
      <c r="H39" s="900">
        <f>IF('[1]BASE'!DM39=0,"",'[1]BASE'!DM39)</f>
      </c>
      <c r="I39" s="900">
        <f>IF('[1]BASE'!DN39=0,"",'[1]BASE'!DN39)</f>
      </c>
      <c r="J39" s="900">
        <f>IF('[1]BASE'!DO39=0,"",'[1]BASE'!DO39)</f>
      </c>
      <c r="K39" s="900">
        <f>IF('[1]BASE'!DP39=0,"",'[1]BASE'!DP39)</f>
      </c>
      <c r="L39" s="900">
        <f>IF('[1]BASE'!DQ39=0,"",'[1]BASE'!DQ39)</f>
      </c>
      <c r="M39" s="900">
        <f>IF('[1]BASE'!DR39=0,"",'[1]BASE'!DR39)</f>
      </c>
      <c r="N39" s="900">
        <f>IF('[1]BASE'!DS39=0,"",'[1]BASE'!DS39)</f>
      </c>
      <c r="O39" s="900">
        <f>IF('[1]BASE'!DT39=0,"",'[1]BASE'!DT39)</f>
      </c>
      <c r="P39" s="896">
        <f>IF('[1]BASE'!DU39=0,"",'[1]BASE'!DU39)</f>
      </c>
      <c r="Q39" s="896">
        <f>IF('[1]BASE'!DV39=0,"",'[1]BASE'!DV39)</f>
      </c>
      <c r="R39" s="896">
        <f>IF('[1]BASE'!DW39=0,"",'[1]BASE'!DW39)</f>
      </c>
      <c r="S39" s="896">
        <f>IF('[1]BASE'!DX39=0,"",'[1]BASE'!DX39)</f>
      </c>
      <c r="T39" s="897"/>
      <c r="U39" s="893"/>
    </row>
    <row r="40" spans="2:21" s="887" customFormat="1" ht="19.5" customHeight="1">
      <c r="B40" s="888"/>
      <c r="C40" s="898">
        <f>IF('[1]BASE'!C40=0,"",'[1]BASE'!C40)</f>
        <v>24</v>
      </c>
      <c r="D40" s="898" t="str">
        <f>IF('[1]BASE'!D40=0,"",'[1]BASE'!D40)</f>
        <v>EZEIZA - ABASTO 2</v>
      </c>
      <c r="E40" s="898">
        <f>IF('[1]BASE'!E40=0,"",'[1]BASE'!E40)</f>
        <v>500</v>
      </c>
      <c r="F40" s="898">
        <f>IF('[1]BASE'!F40=0,"",'[1]BASE'!F40)</f>
        <v>58</v>
      </c>
      <c r="G40" s="899" t="str">
        <f>IF('[1]BASE'!G40=0,"",'[1]BASE'!G40)</f>
        <v>C</v>
      </c>
      <c r="H40" s="898">
        <f>IF('[1]BASE'!DM40=0,"",'[1]BASE'!DM40)</f>
      </c>
      <c r="I40" s="898">
        <f>IF('[1]BASE'!DN40=0,"",'[1]BASE'!DN40)</f>
      </c>
      <c r="J40" s="898">
        <f>IF('[1]BASE'!DO40=0,"",'[1]BASE'!DO40)</f>
      </c>
      <c r="K40" s="898">
        <f>IF('[1]BASE'!DP40=0,"",'[1]BASE'!DP40)</f>
      </c>
      <c r="L40" s="898">
        <f>IF('[1]BASE'!DQ40=0,"",'[1]BASE'!DQ40)</f>
      </c>
      <c r="M40" s="898">
        <f>IF('[1]BASE'!DR40=0,"",'[1]BASE'!DR40)</f>
      </c>
      <c r="N40" s="898">
        <f>IF('[1]BASE'!DS40=0,"",'[1]BASE'!DS40)</f>
      </c>
      <c r="O40" s="898">
        <f>IF('[1]BASE'!DT40=0,"",'[1]BASE'!DT40)</f>
      </c>
      <c r="P40" s="896">
        <f>IF('[1]BASE'!DU40=0,"",'[1]BASE'!DU40)</f>
      </c>
      <c r="Q40" s="896">
        <f>IF('[1]BASE'!DV40=0,"",'[1]BASE'!DV40)</f>
      </c>
      <c r="R40" s="896">
        <f>IF('[1]BASE'!DW40=0,"",'[1]BASE'!DW40)</f>
      </c>
      <c r="S40" s="896">
        <f>IF('[1]BASE'!DX40=0,"",'[1]BASE'!DX40)</f>
      </c>
      <c r="T40" s="897"/>
      <c r="U40" s="893"/>
    </row>
    <row r="41" spans="2:21" s="887" customFormat="1" ht="19.5" customHeight="1">
      <c r="B41" s="888"/>
      <c r="C41" s="900">
        <f>IF('[1]BASE'!C41=0,"",'[1]BASE'!C41)</f>
        <v>25</v>
      </c>
      <c r="D41" s="900" t="str">
        <f>IF('[1]BASE'!D41=0,"",'[1]BASE'!D41)</f>
        <v>EZEIZA - RODRIGUEZ 1</v>
      </c>
      <c r="E41" s="900">
        <f>IF('[1]BASE'!E41=0,"",'[1]BASE'!E41)</f>
        <v>500</v>
      </c>
      <c r="F41" s="900">
        <f>IF('[1]BASE'!F41=0,"",'[1]BASE'!F41)</f>
        <v>53</v>
      </c>
      <c r="G41" s="901" t="str">
        <f>IF('[1]BASE'!G41=0,"",'[1]BASE'!G41)</f>
        <v>C</v>
      </c>
      <c r="H41" s="900">
        <f>IF('[1]BASE'!DM41=0,"",'[1]BASE'!DM41)</f>
      </c>
      <c r="I41" s="900">
        <f>IF('[1]BASE'!DN41=0,"",'[1]BASE'!DN41)</f>
      </c>
      <c r="J41" s="900">
        <f>IF('[1]BASE'!DO41=0,"",'[1]BASE'!DO41)</f>
      </c>
      <c r="K41" s="900">
        <f>IF('[1]BASE'!DP41=0,"",'[1]BASE'!DP41)</f>
      </c>
      <c r="L41" s="900">
        <f>IF('[1]BASE'!DQ41=0,"",'[1]BASE'!DQ41)</f>
      </c>
      <c r="M41" s="900">
        <f>IF('[1]BASE'!DR41=0,"",'[1]BASE'!DR41)</f>
      </c>
      <c r="N41" s="900">
        <f>IF('[1]BASE'!DS41=0,"",'[1]BASE'!DS41)</f>
      </c>
      <c r="O41" s="900">
        <f>IF('[1]BASE'!DT41=0,"",'[1]BASE'!DT41)</f>
      </c>
      <c r="P41" s="896">
        <f>IF('[1]BASE'!DU41=0,"",'[1]BASE'!DU41)</f>
      </c>
      <c r="Q41" s="896">
        <f>IF('[1]BASE'!DV41=0,"",'[1]BASE'!DV41)</f>
        <v>1</v>
      </c>
      <c r="R41" s="896">
        <f>IF('[1]BASE'!DW41=0,"",'[1]BASE'!DW41)</f>
      </c>
      <c r="S41" s="896">
        <f>IF('[1]BASE'!DX41=0,"",'[1]BASE'!DX41)</f>
      </c>
      <c r="T41" s="897"/>
      <c r="U41" s="893"/>
    </row>
    <row r="42" spans="2:21" s="887" customFormat="1" ht="19.5" customHeight="1">
      <c r="B42" s="888"/>
      <c r="C42" s="898">
        <f>IF('[1]BASE'!C42=0,"",'[1]BASE'!C42)</f>
        <v>26</v>
      </c>
      <c r="D42" s="898" t="str">
        <f>IF('[1]BASE'!D42=0,"",'[1]BASE'!D42)</f>
        <v>EZEIZA - RODRIGUEZ 2</v>
      </c>
      <c r="E42" s="898">
        <f>IF('[1]BASE'!E42=0,"",'[1]BASE'!E42)</f>
        <v>500</v>
      </c>
      <c r="F42" s="898">
        <f>IF('[1]BASE'!F42=0,"",'[1]BASE'!F42)</f>
        <v>53</v>
      </c>
      <c r="G42" s="899" t="str">
        <f>IF('[1]BASE'!G42=0,"",'[1]BASE'!G42)</f>
        <v>C</v>
      </c>
      <c r="H42" s="898">
        <f>IF('[1]BASE'!DM42=0,"",'[1]BASE'!DM42)</f>
      </c>
      <c r="I42" s="898">
        <f>IF('[1]BASE'!DN42=0,"",'[1]BASE'!DN42)</f>
      </c>
      <c r="J42" s="898">
        <f>IF('[1]BASE'!DO42=0,"",'[1]BASE'!DO42)</f>
      </c>
      <c r="K42" s="898">
        <f>IF('[1]BASE'!DP42=0,"",'[1]BASE'!DP42)</f>
      </c>
      <c r="L42" s="898">
        <f>IF('[1]BASE'!DQ42=0,"",'[1]BASE'!DQ42)</f>
      </c>
      <c r="M42" s="898">
        <f>IF('[1]BASE'!DR42=0,"",'[1]BASE'!DR42)</f>
      </c>
      <c r="N42" s="898">
        <f>IF('[1]BASE'!DS42=0,"",'[1]BASE'!DS42)</f>
      </c>
      <c r="O42" s="898">
        <f>IF('[1]BASE'!DT42=0,"",'[1]BASE'!DT42)</f>
      </c>
      <c r="P42" s="896">
        <f>IF('[1]BASE'!DU42=0,"",'[1]BASE'!DU42)</f>
      </c>
      <c r="Q42" s="896">
        <f>IF('[1]BASE'!DV42=0,"",'[1]BASE'!DV42)</f>
      </c>
      <c r="R42" s="896">
        <f>IF('[1]BASE'!DW42=0,"",'[1]BASE'!DW42)</f>
      </c>
      <c r="S42" s="896">
        <f>IF('[1]BASE'!DX42=0,"",'[1]BASE'!DX42)</f>
      </c>
      <c r="T42" s="897"/>
      <c r="U42" s="893"/>
    </row>
    <row r="43" spans="2:21" s="887" customFormat="1" ht="19.5" customHeight="1">
      <c r="B43" s="888"/>
      <c r="C43" s="900">
        <f>IF('[1]BASE'!C43=0,"",'[1]BASE'!C43)</f>
        <v>27</v>
      </c>
      <c r="D43" s="900" t="str">
        <f>IF('[1]BASE'!D43=0,"",'[1]BASE'!D43)</f>
        <v>EZEIZA- HENDERSON 1</v>
      </c>
      <c r="E43" s="900">
        <f>IF('[1]BASE'!E43=0,"",'[1]BASE'!E43)</f>
        <v>500</v>
      </c>
      <c r="F43" s="900">
        <f>IF('[1]BASE'!F43=0,"",'[1]BASE'!F43)</f>
        <v>313</v>
      </c>
      <c r="G43" s="901" t="str">
        <f>IF('[1]BASE'!G43=0,"",'[1]BASE'!G43)</f>
        <v>A</v>
      </c>
      <c r="H43" s="900">
        <f>IF('[1]BASE'!DM43=0,"",'[1]BASE'!DM43)</f>
      </c>
      <c r="I43" s="900">
        <f>IF('[1]BASE'!DN43=0,"",'[1]BASE'!DN43)</f>
      </c>
      <c r="J43" s="900">
        <f>IF('[1]BASE'!DO43=0,"",'[1]BASE'!DO43)</f>
      </c>
      <c r="K43" s="900">
        <f>IF('[1]BASE'!DP43=0,"",'[1]BASE'!DP43)</f>
      </c>
      <c r="L43" s="900">
        <f>IF('[1]BASE'!DQ43=0,"",'[1]BASE'!DQ43)</f>
      </c>
      <c r="M43" s="900">
        <f>IF('[1]BASE'!DR43=0,"",'[1]BASE'!DR43)</f>
      </c>
      <c r="N43" s="900">
        <f>IF('[1]BASE'!DS43=0,"",'[1]BASE'!DS43)</f>
      </c>
      <c r="O43" s="900">
        <f>IF('[1]BASE'!DT43=0,"",'[1]BASE'!DT43)</f>
      </c>
      <c r="P43" s="896">
        <f>IF('[1]BASE'!DU43=0,"",'[1]BASE'!DU43)</f>
      </c>
      <c r="Q43" s="896">
        <f>IF('[1]BASE'!DV43=0,"",'[1]BASE'!DV43)</f>
      </c>
      <c r="R43" s="896">
        <f>IF('[1]BASE'!DW43=0,"",'[1]BASE'!DW43)</f>
      </c>
      <c r="S43" s="896">
        <f>IF('[1]BASE'!DX43=0,"",'[1]BASE'!DX43)</f>
      </c>
      <c r="T43" s="897"/>
      <c r="U43" s="893"/>
    </row>
    <row r="44" spans="2:21" s="887" customFormat="1" ht="19.5" customHeight="1">
      <c r="B44" s="888"/>
      <c r="C44" s="898">
        <f>IF('[1]BASE'!C44=0,"",'[1]BASE'!C44)</f>
        <v>28</v>
      </c>
      <c r="D44" s="898" t="str">
        <f>IF('[1]BASE'!D44=0,"",'[1]BASE'!D44)</f>
        <v>EZEIZA - HENDERSON 2</v>
      </c>
      <c r="E44" s="898">
        <f>IF('[1]BASE'!E44=0,"",'[1]BASE'!E44)</f>
        <v>500</v>
      </c>
      <c r="F44" s="898">
        <f>IF('[1]BASE'!F44=0,"",'[1]BASE'!F44)</f>
        <v>313</v>
      </c>
      <c r="G44" s="899" t="str">
        <f>IF('[1]BASE'!G44=0,"",'[1]BASE'!G44)</f>
        <v>A</v>
      </c>
      <c r="H44" s="898">
        <f>IF('[1]BASE'!DM44=0,"",'[1]BASE'!DM44)</f>
      </c>
      <c r="I44" s="898">
        <f>IF('[1]BASE'!DN44=0,"",'[1]BASE'!DN44)</f>
      </c>
      <c r="J44" s="898">
        <f>IF('[1]BASE'!DO44=0,"",'[1]BASE'!DO44)</f>
      </c>
      <c r="K44" s="898">
        <f>IF('[1]BASE'!DP44=0,"",'[1]BASE'!DP44)</f>
      </c>
      <c r="L44" s="898">
        <f>IF('[1]BASE'!DQ44=0,"",'[1]BASE'!DQ44)</f>
      </c>
      <c r="M44" s="898">
        <f>IF('[1]BASE'!DR44=0,"",'[1]BASE'!DR44)</f>
      </c>
      <c r="N44" s="898">
        <f>IF('[1]BASE'!DS44=0,"",'[1]BASE'!DS44)</f>
      </c>
      <c r="O44" s="898">
        <f>IF('[1]BASE'!DT44=0,"",'[1]BASE'!DT44)</f>
      </c>
      <c r="P44" s="896">
        <f>IF('[1]BASE'!DU44=0,"",'[1]BASE'!DU44)</f>
      </c>
      <c r="Q44" s="896">
        <f>IF('[1]BASE'!DV44=0,"",'[1]BASE'!DV44)</f>
      </c>
      <c r="R44" s="896">
        <f>IF('[1]BASE'!DW44=0,"",'[1]BASE'!DW44)</f>
      </c>
      <c r="S44" s="896">
        <f>IF('[1]BASE'!DX44=0,"",'[1]BASE'!DX44)</f>
      </c>
      <c r="T44" s="897"/>
      <c r="U44" s="893"/>
    </row>
    <row r="45" spans="2:21" s="887" customFormat="1" ht="19.5" customHeight="1">
      <c r="B45" s="888"/>
      <c r="C45" s="900">
        <f>IF('[1]BASE'!C45=0,"",'[1]BASE'!C45)</f>
        <v>29</v>
      </c>
      <c r="D45" s="900" t="str">
        <f>IF('[1]BASE'!D45=0,"",'[1]BASE'!D45)</f>
        <v>GRAL. RODRIGUEZ - CAMPANA </v>
      </c>
      <c r="E45" s="900">
        <f>IF('[1]BASE'!E45=0,"",'[1]BASE'!E45)</f>
        <v>500</v>
      </c>
      <c r="F45" s="900">
        <f>IF('[1]BASE'!F45=0,"",'[1]BASE'!F45)</f>
        <v>42</v>
      </c>
      <c r="G45" s="901" t="str">
        <f>IF('[1]BASE'!G45=0,"",'[1]BASE'!G45)</f>
        <v>B</v>
      </c>
      <c r="H45" s="900">
        <f>IF('[1]BASE'!DM45=0,"",'[1]BASE'!DM45)</f>
      </c>
      <c r="I45" s="900">
        <f>IF('[1]BASE'!DN45=0,"",'[1]BASE'!DN45)</f>
      </c>
      <c r="J45" s="900">
        <f>IF('[1]BASE'!DO45=0,"",'[1]BASE'!DO45)</f>
      </c>
      <c r="K45" s="900">
        <f>IF('[1]BASE'!DP45=0,"",'[1]BASE'!DP45)</f>
      </c>
      <c r="L45" s="900">
        <f>IF('[1]BASE'!DQ45=0,"",'[1]BASE'!DQ45)</f>
      </c>
      <c r="M45" s="900">
        <f>IF('[1]BASE'!DR45=0,"",'[1]BASE'!DR45)</f>
      </c>
      <c r="N45" s="900">
        <f>IF('[1]BASE'!DS45=0,"",'[1]BASE'!DS45)</f>
      </c>
      <c r="O45" s="900">
        <f>IF('[1]BASE'!DT45=0,"",'[1]BASE'!DT45)</f>
      </c>
      <c r="P45" s="896">
        <f>IF('[1]BASE'!DU45=0,"",'[1]BASE'!DU45)</f>
      </c>
      <c r="Q45" s="896">
        <f>IF('[1]BASE'!DV45=0,"",'[1]BASE'!DV45)</f>
      </c>
      <c r="R45" s="896">
        <f>IF('[1]BASE'!DW45=0,"",'[1]BASE'!DW45)</f>
      </c>
      <c r="S45" s="896">
        <f>IF('[1]BASE'!DX45=0,"",'[1]BASE'!DX45)</f>
      </c>
      <c r="T45" s="897"/>
      <c r="U45" s="893"/>
    </row>
    <row r="46" spans="2:21" s="887" customFormat="1" ht="19.5" customHeight="1">
      <c r="B46" s="888"/>
      <c r="C46" s="898">
        <f>IF('[1]BASE'!C46=0,"",'[1]BASE'!C46)</f>
        <v>30</v>
      </c>
      <c r="D46" s="898" t="str">
        <f>IF('[1]BASE'!D46=0,"",'[1]BASE'!D46)</f>
        <v>GRAL. RODRIGUEZ- ROSARIO OESTE </v>
      </c>
      <c r="E46" s="898">
        <f>IF('[1]BASE'!E46=0,"",'[1]BASE'!E46)</f>
        <v>500</v>
      </c>
      <c r="F46" s="898">
        <f>IF('[1]BASE'!F46=0,"",'[1]BASE'!F46)</f>
        <v>258</v>
      </c>
      <c r="G46" s="899" t="str">
        <f>IF('[1]BASE'!G46=0,"",'[1]BASE'!G46)</f>
        <v>C</v>
      </c>
      <c r="H46" s="898" t="str">
        <f>IF('[1]BASE'!DM46=0,"",'[1]BASE'!DM46)</f>
        <v>XXXX</v>
      </c>
      <c r="I46" s="898" t="str">
        <f>IF('[1]BASE'!DN46=0,"",'[1]BASE'!DN46)</f>
        <v>XXXX</v>
      </c>
      <c r="J46" s="898" t="str">
        <f>IF('[1]BASE'!DO46=0,"",'[1]BASE'!DO46)</f>
        <v>XXXX</v>
      </c>
      <c r="K46" s="898" t="str">
        <f>IF('[1]BASE'!DP46=0,"",'[1]BASE'!DP46)</f>
        <v>XXXX</v>
      </c>
      <c r="L46" s="898" t="str">
        <f>IF('[1]BASE'!DQ46=0,"",'[1]BASE'!DQ46)</f>
        <v>XXXX</v>
      </c>
      <c r="M46" s="898" t="str">
        <f>IF('[1]BASE'!DR46=0,"",'[1]BASE'!DR46)</f>
        <v>XXXX</v>
      </c>
      <c r="N46" s="898" t="str">
        <f>IF('[1]BASE'!DS46=0,"",'[1]BASE'!DS46)</f>
        <v>XXXX</v>
      </c>
      <c r="O46" s="898" t="str">
        <f>IF('[1]BASE'!DT46=0,"",'[1]BASE'!DT46)</f>
        <v>XXXX</v>
      </c>
      <c r="P46" s="896" t="str">
        <f>IF('[1]BASE'!DU46=0,"",'[1]BASE'!DU46)</f>
        <v>XXXX</v>
      </c>
      <c r="Q46" s="896" t="str">
        <f>IF('[1]BASE'!DV46=0,"",'[1]BASE'!DV46)</f>
        <v>XXXX</v>
      </c>
      <c r="R46" s="896" t="str">
        <f>IF('[1]BASE'!DW46=0,"",'[1]BASE'!DW46)</f>
        <v>XXXX</v>
      </c>
      <c r="S46" s="896" t="str">
        <f>IF('[1]BASE'!DX46=0,"",'[1]BASE'!DX46)</f>
        <v>XXXX</v>
      </c>
      <c r="T46" s="897"/>
      <c r="U46" s="893"/>
    </row>
    <row r="47" spans="2:21" s="887" customFormat="1" ht="19.5" customHeight="1">
      <c r="B47" s="888"/>
      <c r="C47" s="900">
        <f>IF('[1]BASE'!C47=0,"",'[1]BASE'!C47)</f>
        <v>31</v>
      </c>
      <c r="D47" s="900" t="str">
        <f>IF('[1]BASE'!D47=0,"",'[1]BASE'!D47)</f>
        <v>MALVINAS ARG. - ALMAFUERTE </v>
      </c>
      <c r="E47" s="900">
        <f>IF('[1]BASE'!E47=0,"",'[1]BASE'!E47)</f>
        <v>500</v>
      </c>
      <c r="F47" s="900">
        <f>IF('[1]BASE'!F47=0,"",'[1]BASE'!F47)</f>
        <v>105</v>
      </c>
      <c r="G47" s="901" t="str">
        <f>IF('[1]BASE'!G47=0,"",'[1]BASE'!G47)</f>
        <v>B</v>
      </c>
      <c r="H47" s="900">
        <f>IF('[1]BASE'!DM47=0,"",'[1]BASE'!DM47)</f>
      </c>
      <c r="I47" s="900">
        <f>IF('[1]BASE'!DN47=0,"",'[1]BASE'!DN47)</f>
      </c>
      <c r="J47" s="900">
        <f>IF('[1]BASE'!DO47=0,"",'[1]BASE'!DO47)</f>
      </c>
      <c r="K47" s="900">
        <f>IF('[1]BASE'!DP47=0,"",'[1]BASE'!DP47)</f>
      </c>
      <c r="L47" s="900">
        <f>IF('[1]BASE'!DQ47=0,"",'[1]BASE'!DQ47)</f>
      </c>
      <c r="M47" s="900">
        <f>IF('[1]BASE'!DR47=0,"",'[1]BASE'!DR47)</f>
      </c>
      <c r="N47" s="900">
        <f>IF('[1]BASE'!DS47=0,"",'[1]BASE'!DS47)</f>
      </c>
      <c r="O47" s="900">
        <f>IF('[1]BASE'!DT47=0,"",'[1]BASE'!DT47)</f>
      </c>
      <c r="P47" s="896">
        <f>IF('[1]BASE'!DU47=0,"",'[1]BASE'!DU47)</f>
        <v>1</v>
      </c>
      <c r="Q47" s="896">
        <f>IF('[1]BASE'!DV47=0,"",'[1]BASE'!DV47)</f>
      </c>
      <c r="R47" s="896">
        <f>IF('[1]BASE'!DW47=0,"",'[1]BASE'!DW47)</f>
      </c>
      <c r="S47" s="896">
        <f>IF('[1]BASE'!DX47=0,"",'[1]BASE'!DX47)</f>
      </c>
      <c r="T47" s="897"/>
      <c r="U47" s="893"/>
    </row>
    <row r="48" spans="2:21" s="887" customFormat="1" ht="19.5" customHeight="1">
      <c r="B48" s="888"/>
      <c r="C48" s="898">
        <f>IF('[1]BASE'!C48=0,"",'[1]BASE'!C48)</f>
        <v>32</v>
      </c>
      <c r="D48" s="898" t="str">
        <f>IF('[1]BASE'!D48=0,"",'[1]BASE'!D48)</f>
        <v>OLAVARRIA - BAHIA BLANCA 1</v>
      </c>
      <c r="E48" s="898">
        <f>IF('[1]BASE'!E48=0,"",'[1]BASE'!E48)</f>
        <v>500</v>
      </c>
      <c r="F48" s="898">
        <f>IF('[1]BASE'!F48=0,"",'[1]BASE'!F48)</f>
        <v>255</v>
      </c>
      <c r="G48" s="899" t="str">
        <f>IF('[1]BASE'!G48=0,"",'[1]BASE'!G48)</f>
        <v>B</v>
      </c>
      <c r="H48" s="898">
        <f>IF('[1]BASE'!DM48=0,"",'[1]BASE'!DM48)</f>
      </c>
      <c r="I48" s="898">
        <f>IF('[1]BASE'!DN48=0,"",'[1]BASE'!DN48)</f>
      </c>
      <c r="J48" s="898">
        <f>IF('[1]BASE'!DO48=0,"",'[1]BASE'!DO48)</f>
        <v>2</v>
      </c>
      <c r="K48" s="898">
        <f>IF('[1]BASE'!DP48=0,"",'[1]BASE'!DP48)</f>
        <v>2</v>
      </c>
      <c r="L48" s="898">
        <f>IF('[1]BASE'!DQ48=0,"",'[1]BASE'!DQ48)</f>
      </c>
      <c r="M48" s="898">
        <f>IF('[1]BASE'!DR48=0,"",'[1]BASE'!DR48)</f>
      </c>
      <c r="N48" s="898">
        <f>IF('[1]BASE'!DS48=0,"",'[1]BASE'!DS48)</f>
      </c>
      <c r="O48" s="898">
        <f>IF('[1]BASE'!DT48=0,"",'[1]BASE'!DT48)</f>
        <v>1</v>
      </c>
      <c r="P48" s="896">
        <f>IF('[1]BASE'!DU48=0,"",'[1]BASE'!DU48)</f>
      </c>
      <c r="Q48" s="896">
        <f>IF('[1]BASE'!DV48=0,"",'[1]BASE'!DV48)</f>
      </c>
      <c r="R48" s="896">
        <f>IF('[1]BASE'!DW48=0,"",'[1]BASE'!DW48)</f>
      </c>
      <c r="S48" s="896">
        <f>IF('[1]BASE'!DX48=0,"",'[1]BASE'!DX48)</f>
      </c>
      <c r="T48" s="897"/>
      <c r="U48" s="893"/>
    </row>
    <row r="49" spans="2:21" s="887" customFormat="1" ht="19.5" customHeight="1">
      <c r="B49" s="888"/>
      <c r="C49" s="900">
        <f>IF('[1]BASE'!C49=0,"",'[1]BASE'!C49)</f>
        <v>33</v>
      </c>
      <c r="D49" s="900" t="str">
        <f>IF('[1]BASE'!D49=0,"",'[1]BASE'!D49)</f>
        <v>OLAVARRIA - BAHIA BLANCA 2</v>
      </c>
      <c r="E49" s="900">
        <f>IF('[1]BASE'!E49=0,"",'[1]BASE'!E49)</f>
        <v>500</v>
      </c>
      <c r="F49" s="900">
        <f>IF('[1]BASE'!F49=0,"",'[1]BASE'!F49)</f>
        <v>254.8</v>
      </c>
      <c r="G49" s="901">
        <f>IF('[1]BASE'!G49=0,"",'[1]BASE'!G49)</f>
      </c>
      <c r="H49" s="900">
        <f>IF('[1]BASE'!DM49=0,"",'[1]BASE'!DM49)</f>
      </c>
      <c r="I49" s="900">
        <f>IF('[1]BASE'!DN49=0,"",'[1]BASE'!DN49)</f>
      </c>
      <c r="J49" s="900">
        <f>IF('[1]BASE'!DO49=0,"",'[1]BASE'!DO49)</f>
        <v>2</v>
      </c>
      <c r="K49" s="900">
        <f>IF('[1]BASE'!DP49=0,"",'[1]BASE'!DP49)</f>
      </c>
      <c r="L49" s="900">
        <f>IF('[1]BASE'!DQ49=0,"",'[1]BASE'!DQ49)</f>
      </c>
      <c r="M49" s="900">
        <f>IF('[1]BASE'!DR49=0,"",'[1]BASE'!DR49)</f>
      </c>
      <c r="N49" s="900">
        <f>IF('[1]BASE'!DS49=0,"",'[1]BASE'!DS49)</f>
        <v>1</v>
      </c>
      <c r="O49" s="900">
        <f>IF('[1]BASE'!DT49=0,"",'[1]BASE'!DT49)</f>
      </c>
      <c r="P49" s="896">
        <f>IF('[1]BASE'!DU49=0,"",'[1]BASE'!DU49)</f>
      </c>
      <c r="Q49" s="896">
        <f>IF('[1]BASE'!DV49=0,"",'[1]BASE'!DV49)</f>
      </c>
      <c r="R49" s="896">
        <f>IF('[1]BASE'!DW49=0,"",'[1]BASE'!DW49)</f>
      </c>
      <c r="S49" s="896">
        <f>IF('[1]BASE'!DX49=0,"",'[1]BASE'!DX49)</f>
      </c>
      <c r="T49" s="897"/>
      <c r="U49" s="893"/>
    </row>
    <row r="50" spans="2:21" s="887" customFormat="1" ht="19.5" customHeight="1">
      <c r="B50" s="888"/>
      <c r="C50" s="898">
        <f>IF('[1]BASE'!C50=0,"",'[1]BASE'!C50)</f>
        <v>34</v>
      </c>
      <c r="D50" s="898" t="str">
        <f>IF('[1]BASE'!D50=0,"",'[1]BASE'!D50)</f>
        <v>P.del AGUILA  - CHOELE CHOEL</v>
      </c>
      <c r="E50" s="898">
        <f>IF('[1]BASE'!E50=0,"",'[1]BASE'!E50)</f>
        <v>500</v>
      </c>
      <c r="F50" s="898">
        <f>IF('[1]BASE'!F50=0,"",'[1]BASE'!F50)</f>
        <v>386.7</v>
      </c>
      <c r="G50" s="899">
        <f>IF('[1]BASE'!G50=0,"",'[1]BASE'!G50)</f>
      </c>
      <c r="H50" s="898">
        <f>IF('[1]BASE'!DM50=0,"",'[1]BASE'!DM50)</f>
      </c>
      <c r="I50" s="898">
        <f>IF('[1]BASE'!DN50=0,"",'[1]BASE'!DN50)</f>
      </c>
      <c r="J50" s="898">
        <f>IF('[1]BASE'!DO50=0,"",'[1]BASE'!DO50)</f>
      </c>
      <c r="K50" s="898">
        <f>IF('[1]BASE'!DP50=0,"",'[1]BASE'!DP50)</f>
      </c>
      <c r="L50" s="898">
        <f>IF('[1]BASE'!DQ50=0,"",'[1]BASE'!DQ50)</f>
      </c>
      <c r="M50" s="898">
        <f>IF('[1]BASE'!DR50=0,"",'[1]BASE'!DR50)</f>
      </c>
      <c r="N50" s="898">
        <f>IF('[1]BASE'!DS50=0,"",'[1]BASE'!DS50)</f>
      </c>
      <c r="O50" s="898">
        <f>IF('[1]BASE'!DT50=0,"",'[1]BASE'!DT50)</f>
      </c>
      <c r="P50" s="896">
        <f>IF('[1]BASE'!DU50=0,"",'[1]BASE'!DU50)</f>
      </c>
      <c r="Q50" s="896">
        <f>IF('[1]BASE'!DV50=0,"",'[1]BASE'!DV50)</f>
      </c>
      <c r="R50" s="896">
        <f>IF('[1]BASE'!DW50=0,"",'[1]BASE'!DW50)</f>
      </c>
      <c r="S50" s="896">
        <f>IF('[1]BASE'!DX50=0,"",'[1]BASE'!DX50)</f>
      </c>
      <c r="T50" s="897"/>
      <c r="U50" s="893"/>
    </row>
    <row r="51" spans="2:21" s="887" customFormat="1" ht="19.5" customHeight="1">
      <c r="B51" s="888"/>
      <c r="C51" s="900">
        <f>IF('[1]BASE'!C51=0,"",'[1]BASE'!C51)</f>
        <v>35</v>
      </c>
      <c r="D51" s="900" t="str">
        <f>IF('[1]BASE'!D51=0,"",'[1]BASE'!D51)</f>
        <v>P.del AGUILA  - CHO. W. 1 (5GW1)</v>
      </c>
      <c r="E51" s="900">
        <f>IF('[1]BASE'!E51=0,"",'[1]BASE'!E51)</f>
        <v>500</v>
      </c>
      <c r="F51" s="900">
        <f>IF('[1]BASE'!F51=0,"",'[1]BASE'!F51)</f>
        <v>165</v>
      </c>
      <c r="G51" s="901" t="str">
        <f>IF('[1]BASE'!G51=0,"",'[1]BASE'!G51)</f>
        <v>A</v>
      </c>
      <c r="H51" s="900">
        <f>IF('[1]BASE'!DM51=0,"",'[1]BASE'!DM51)</f>
      </c>
      <c r="I51" s="900">
        <f>IF('[1]BASE'!DN51=0,"",'[1]BASE'!DN51)</f>
      </c>
      <c r="J51" s="900">
        <f>IF('[1]BASE'!DO51=0,"",'[1]BASE'!DO51)</f>
      </c>
      <c r="K51" s="900">
        <f>IF('[1]BASE'!DP51=0,"",'[1]BASE'!DP51)</f>
      </c>
      <c r="L51" s="900">
        <f>IF('[1]BASE'!DQ51=0,"",'[1]BASE'!DQ51)</f>
      </c>
      <c r="M51" s="900">
        <f>IF('[1]BASE'!DR51=0,"",'[1]BASE'!DR51)</f>
      </c>
      <c r="N51" s="900">
        <f>IF('[1]BASE'!DS51=0,"",'[1]BASE'!DS51)</f>
      </c>
      <c r="O51" s="900">
        <f>IF('[1]BASE'!DT51=0,"",'[1]BASE'!DT51)</f>
      </c>
      <c r="P51" s="896">
        <f>IF('[1]BASE'!DU51=0,"",'[1]BASE'!DU51)</f>
      </c>
      <c r="Q51" s="896">
        <f>IF('[1]BASE'!DV51=0,"",'[1]BASE'!DV51)</f>
      </c>
      <c r="R51" s="896">
        <f>IF('[1]BASE'!DW51=0,"",'[1]BASE'!DW51)</f>
      </c>
      <c r="S51" s="896">
        <f>IF('[1]BASE'!DX51=0,"",'[1]BASE'!DX51)</f>
      </c>
      <c r="T51" s="897"/>
      <c r="U51" s="893"/>
    </row>
    <row r="52" spans="2:21" s="887" customFormat="1" ht="19.5" customHeight="1">
      <c r="B52" s="888"/>
      <c r="C52" s="898">
        <f>IF('[1]BASE'!C52=0,"",'[1]BASE'!C52)</f>
        <v>36</v>
      </c>
      <c r="D52" s="898" t="str">
        <f>IF('[1]BASE'!D52=0,"",'[1]BASE'!D52)</f>
        <v>P.del AGUILA  - CHO. W. 2 (5GW2)</v>
      </c>
      <c r="E52" s="898">
        <f>IF('[1]BASE'!E52=0,"",'[1]BASE'!E52)</f>
        <v>500</v>
      </c>
      <c r="F52" s="898">
        <f>IF('[1]BASE'!F52=0,"",'[1]BASE'!F52)</f>
        <v>170</v>
      </c>
      <c r="G52" s="899" t="str">
        <f>IF('[1]BASE'!G52=0,"",'[1]BASE'!G52)</f>
        <v>A</v>
      </c>
      <c r="H52" s="898">
        <f>IF('[1]BASE'!DM52=0,"",'[1]BASE'!DM52)</f>
      </c>
      <c r="I52" s="898">
        <f>IF('[1]BASE'!DN52=0,"",'[1]BASE'!DN52)</f>
      </c>
      <c r="J52" s="898">
        <f>IF('[1]BASE'!DO52=0,"",'[1]BASE'!DO52)</f>
      </c>
      <c r="K52" s="898">
        <f>IF('[1]BASE'!DP52=0,"",'[1]BASE'!DP52)</f>
      </c>
      <c r="L52" s="898">
        <f>IF('[1]BASE'!DQ52=0,"",'[1]BASE'!DQ52)</f>
      </c>
      <c r="M52" s="898">
        <f>IF('[1]BASE'!DR52=0,"",'[1]BASE'!DR52)</f>
      </c>
      <c r="N52" s="898">
        <f>IF('[1]BASE'!DS52=0,"",'[1]BASE'!DS52)</f>
      </c>
      <c r="O52" s="898">
        <f>IF('[1]BASE'!DT52=0,"",'[1]BASE'!DT52)</f>
      </c>
      <c r="P52" s="896">
        <f>IF('[1]BASE'!DU52=0,"",'[1]BASE'!DU52)</f>
      </c>
      <c r="Q52" s="896">
        <f>IF('[1]BASE'!DV52=0,"",'[1]BASE'!DV52)</f>
      </c>
      <c r="R52" s="896">
        <f>IF('[1]BASE'!DW52=0,"",'[1]BASE'!DW52)</f>
      </c>
      <c r="S52" s="896">
        <f>IF('[1]BASE'!DX52=0,"",'[1]BASE'!DX52)</f>
      </c>
      <c r="T52" s="897"/>
      <c r="U52" s="893"/>
    </row>
    <row r="53" spans="2:21" s="887" customFormat="1" ht="19.5" customHeight="1">
      <c r="B53" s="888"/>
      <c r="C53" s="900">
        <f>IF('[1]BASE'!C53=0,"",'[1]BASE'!C53)</f>
        <v>37</v>
      </c>
      <c r="D53" s="900" t="str">
        <f>IF('[1]BASE'!D53=0,"",'[1]BASE'!D53)</f>
        <v>PUELCHES - HENDERSON 1 (B1)</v>
      </c>
      <c r="E53" s="900">
        <f>IF('[1]BASE'!E53=0,"",'[1]BASE'!E53)</f>
        <v>500</v>
      </c>
      <c r="F53" s="900">
        <f>IF('[1]BASE'!F53=0,"",'[1]BASE'!F53)</f>
        <v>421</v>
      </c>
      <c r="G53" s="901" t="str">
        <f>IF('[1]BASE'!G53=0,"",'[1]BASE'!G53)</f>
        <v>A</v>
      </c>
      <c r="H53" s="900">
        <f>IF('[1]BASE'!DM53=0,"",'[1]BASE'!DM53)</f>
      </c>
      <c r="I53" s="900">
        <f>IF('[1]BASE'!DN53=0,"",'[1]BASE'!DN53)</f>
      </c>
      <c r="J53" s="900">
        <f>IF('[1]BASE'!DO53=0,"",'[1]BASE'!DO53)</f>
      </c>
      <c r="K53" s="900">
        <f>IF('[1]BASE'!DP53=0,"",'[1]BASE'!DP53)</f>
      </c>
      <c r="L53" s="900">
        <f>IF('[1]BASE'!DQ53=0,"",'[1]BASE'!DQ53)</f>
      </c>
      <c r="M53" s="900">
        <f>IF('[1]BASE'!DR53=0,"",'[1]BASE'!DR53)</f>
      </c>
      <c r="N53" s="900">
        <f>IF('[1]BASE'!DS53=0,"",'[1]BASE'!DS53)</f>
      </c>
      <c r="O53" s="900">
        <f>IF('[1]BASE'!DT53=0,"",'[1]BASE'!DT53)</f>
      </c>
      <c r="P53" s="896">
        <f>IF('[1]BASE'!DU53=0,"",'[1]BASE'!DU53)</f>
        <v>1</v>
      </c>
      <c r="Q53" s="896">
        <f>IF('[1]BASE'!DV53=0,"",'[1]BASE'!DV53)</f>
      </c>
      <c r="R53" s="896">
        <f>IF('[1]BASE'!DW53=0,"",'[1]BASE'!DW53)</f>
      </c>
      <c r="S53" s="896">
        <f>IF('[1]BASE'!DX53=0,"",'[1]BASE'!DX53)</f>
      </c>
      <c r="T53" s="897"/>
      <c r="U53" s="893"/>
    </row>
    <row r="54" spans="2:21" s="887" customFormat="1" ht="19.5" customHeight="1">
      <c r="B54" s="888"/>
      <c r="C54" s="898">
        <f>IF('[1]BASE'!C54=0,"",'[1]BASE'!C54)</f>
        <v>38</v>
      </c>
      <c r="D54" s="898" t="str">
        <f>IF('[1]BASE'!D54=0,"",'[1]BASE'!D54)</f>
        <v>PUELCHES - HENDERSON 2 (B2)</v>
      </c>
      <c r="E54" s="898">
        <f>IF('[1]BASE'!E54=0,"",'[1]BASE'!E54)</f>
        <v>500</v>
      </c>
      <c r="F54" s="898">
        <f>IF('[1]BASE'!F54=0,"",'[1]BASE'!F54)</f>
        <v>421</v>
      </c>
      <c r="G54" s="899" t="str">
        <f>IF('[1]BASE'!G54=0,"",'[1]BASE'!G54)</f>
        <v>A</v>
      </c>
      <c r="H54" s="898" t="str">
        <f>IF('[1]BASE'!DM54=0,"",'[1]BASE'!DM54)</f>
        <v>XXXX</v>
      </c>
      <c r="I54" s="898" t="str">
        <f>IF('[1]BASE'!DN54=0,"",'[1]BASE'!DN54)</f>
        <v>XXXX</v>
      </c>
      <c r="J54" s="898" t="str">
        <f>IF('[1]BASE'!DO54=0,"",'[1]BASE'!DO54)</f>
        <v>XXXX</v>
      </c>
      <c r="K54" s="898" t="str">
        <f>IF('[1]BASE'!DP54=0,"",'[1]BASE'!DP54)</f>
        <v>XXXX</v>
      </c>
      <c r="L54" s="898" t="str">
        <f>IF('[1]BASE'!DQ54=0,"",'[1]BASE'!DQ54)</f>
        <v>XXXX</v>
      </c>
      <c r="M54" s="898" t="str">
        <f>IF('[1]BASE'!DR54=0,"",'[1]BASE'!DR54)</f>
        <v>XXXX</v>
      </c>
      <c r="N54" s="898" t="str">
        <f>IF('[1]BASE'!DS54=0,"",'[1]BASE'!DS54)</f>
        <v>XXXX</v>
      </c>
      <c r="O54" s="898" t="str">
        <f>IF('[1]BASE'!DT54=0,"",'[1]BASE'!DT54)</f>
        <v>XXXX</v>
      </c>
      <c r="P54" s="896" t="str">
        <f>IF('[1]BASE'!DU54=0,"",'[1]BASE'!DU54)</f>
        <v>XXXX</v>
      </c>
      <c r="Q54" s="896" t="str">
        <f>IF('[1]BASE'!DV54=0,"",'[1]BASE'!DV54)</f>
        <v>XXXX</v>
      </c>
      <c r="R54" s="896" t="str">
        <f>IF('[1]BASE'!DW54=0,"",'[1]BASE'!DW54)</f>
        <v>XXXX</v>
      </c>
      <c r="S54" s="896" t="str">
        <f>IF('[1]BASE'!DX54=0,"",'[1]BASE'!DX54)</f>
        <v>XXXX</v>
      </c>
      <c r="T54" s="897"/>
      <c r="U54" s="893"/>
    </row>
    <row r="55" spans="2:21" s="887" customFormat="1" ht="19.5" customHeight="1">
      <c r="B55" s="888"/>
      <c r="C55" s="900">
        <f>IF('[1]BASE'!C55=0,"",'[1]BASE'!C55)</f>
        <v>39</v>
      </c>
      <c r="D55" s="900" t="str">
        <f>IF('[1]BASE'!D55=0,"",'[1]BASE'!D55)</f>
        <v>RECREO - MALVINAS ARG. </v>
      </c>
      <c r="E55" s="900">
        <f>IF('[1]BASE'!E55=0,"",'[1]BASE'!E55)</f>
        <v>500</v>
      </c>
      <c r="F55" s="900">
        <f>IF('[1]BASE'!F55=0,"",'[1]BASE'!F55)</f>
        <v>259</v>
      </c>
      <c r="G55" s="901" t="str">
        <f>IF('[1]BASE'!G55=0,"",'[1]BASE'!G55)</f>
        <v>C</v>
      </c>
      <c r="H55" s="900">
        <f>IF('[1]BASE'!DM55=0,"",'[1]BASE'!DM55)</f>
      </c>
      <c r="I55" s="900">
        <f>IF('[1]BASE'!DN55=0,"",'[1]BASE'!DN55)</f>
      </c>
      <c r="J55" s="900">
        <f>IF('[1]BASE'!DO55=0,"",'[1]BASE'!DO55)</f>
      </c>
      <c r="K55" s="900">
        <f>IF('[1]BASE'!DP55=0,"",'[1]BASE'!DP55)</f>
      </c>
      <c r="L55" s="900">
        <f>IF('[1]BASE'!DQ55=0,"",'[1]BASE'!DQ55)</f>
      </c>
      <c r="M55" s="900">
        <f>IF('[1]BASE'!DR55=0,"",'[1]BASE'!DR55)</f>
      </c>
      <c r="N55" s="900">
        <f>IF('[1]BASE'!DS55=0,"",'[1]BASE'!DS55)</f>
      </c>
      <c r="O55" s="900">
        <f>IF('[1]BASE'!DT55=0,"",'[1]BASE'!DT55)</f>
      </c>
      <c r="P55" s="896">
        <f>IF('[1]BASE'!DU55=0,"",'[1]BASE'!DU55)</f>
      </c>
      <c r="Q55" s="896">
        <f>IF('[1]BASE'!DV55=0,"",'[1]BASE'!DV55)</f>
      </c>
      <c r="R55" s="896">
        <f>IF('[1]BASE'!DW55=0,"",'[1]BASE'!DW55)</f>
      </c>
      <c r="S55" s="896">
        <f>IF('[1]BASE'!DX55=0,"",'[1]BASE'!DX55)</f>
      </c>
      <c r="T55" s="897"/>
      <c r="U55" s="893"/>
    </row>
    <row r="56" spans="2:21" s="887" customFormat="1" ht="19.5" customHeight="1">
      <c r="B56" s="888"/>
      <c r="C56" s="898">
        <f>IF('[1]BASE'!C56=0,"",'[1]BASE'!C56)</f>
        <v>40</v>
      </c>
      <c r="D56" s="898" t="str">
        <f>IF('[1]BASE'!D56=0,"",'[1]BASE'!D56)</f>
        <v>RIO GRANDE - EMBALSE</v>
      </c>
      <c r="E56" s="898">
        <f>IF('[1]BASE'!E56=0,"",'[1]BASE'!E56)</f>
        <v>500</v>
      </c>
      <c r="F56" s="898">
        <f>IF('[1]BASE'!F56=0,"",'[1]BASE'!F56)</f>
        <v>30</v>
      </c>
      <c r="G56" s="899" t="str">
        <f>IF('[1]BASE'!G56=0,"",'[1]BASE'!G56)</f>
        <v>B</v>
      </c>
      <c r="H56" s="898">
        <f>IF('[1]BASE'!DM56=0,"",'[1]BASE'!DM56)</f>
      </c>
      <c r="I56" s="898">
        <f>IF('[1]BASE'!DN56=0,"",'[1]BASE'!DN56)</f>
      </c>
      <c r="J56" s="898">
        <f>IF('[1]BASE'!DO56=0,"",'[1]BASE'!DO56)</f>
      </c>
      <c r="K56" s="898">
        <f>IF('[1]BASE'!DP56=0,"",'[1]BASE'!DP56)</f>
      </c>
      <c r="L56" s="898">
        <f>IF('[1]BASE'!DQ56=0,"",'[1]BASE'!DQ56)</f>
      </c>
      <c r="M56" s="898">
        <f>IF('[1]BASE'!DR56=0,"",'[1]BASE'!DR56)</f>
      </c>
      <c r="N56" s="898">
        <f>IF('[1]BASE'!DS56=0,"",'[1]BASE'!DS56)</f>
      </c>
      <c r="O56" s="898">
        <f>IF('[1]BASE'!DT56=0,"",'[1]BASE'!DT56)</f>
      </c>
      <c r="P56" s="896">
        <f>IF('[1]BASE'!DU56=0,"",'[1]BASE'!DU56)</f>
      </c>
      <c r="Q56" s="896">
        <f>IF('[1]BASE'!DV56=0,"",'[1]BASE'!DV56)</f>
      </c>
      <c r="R56" s="896">
        <f>IF('[1]BASE'!DW56=0,"",'[1]BASE'!DW56)</f>
      </c>
      <c r="S56" s="896">
        <f>IF('[1]BASE'!DX56=0,"",'[1]BASE'!DX56)</f>
      </c>
      <c r="T56" s="897"/>
      <c r="U56" s="893"/>
    </row>
    <row r="57" spans="2:21" s="887" customFormat="1" ht="19.5" customHeight="1">
      <c r="B57" s="888"/>
      <c r="C57" s="900">
        <f>IF('[1]BASE'!C57=0,"",'[1]BASE'!C57)</f>
        <v>41</v>
      </c>
      <c r="D57" s="900" t="str">
        <f>IF('[1]BASE'!D57=0,"",'[1]BASE'!D57)</f>
        <v>RIO GRANDE - GRAN MENDOZA</v>
      </c>
      <c r="E57" s="900">
        <f>IF('[1]BASE'!E57=0,"",'[1]BASE'!E57)</f>
        <v>500</v>
      </c>
      <c r="F57" s="900">
        <f>IF('[1]BASE'!F57=0,"",'[1]BASE'!F57)</f>
        <v>407</v>
      </c>
      <c r="G57" s="901" t="str">
        <f>IF('[1]BASE'!G57=0,"",'[1]BASE'!G57)</f>
        <v>B</v>
      </c>
      <c r="H57" s="900" t="str">
        <f>IF('[1]BASE'!DM57=0,"",'[1]BASE'!DM57)</f>
        <v>XXXX</v>
      </c>
      <c r="I57" s="900" t="str">
        <f>IF('[1]BASE'!DN57=0,"",'[1]BASE'!DN57)</f>
        <v>XXXX</v>
      </c>
      <c r="J57" s="900" t="str">
        <f>IF('[1]BASE'!DO57=0,"",'[1]BASE'!DO57)</f>
        <v>XXXX</v>
      </c>
      <c r="K57" s="900" t="str">
        <f>IF('[1]BASE'!DP57=0,"",'[1]BASE'!DP57)</f>
        <v>XXXX</v>
      </c>
      <c r="L57" s="900" t="str">
        <f>IF('[1]BASE'!DQ57=0,"",'[1]BASE'!DQ57)</f>
        <v>XXXX</v>
      </c>
      <c r="M57" s="900" t="str">
        <f>IF('[1]BASE'!DR57=0,"",'[1]BASE'!DR57)</f>
        <v>XXXX</v>
      </c>
      <c r="N57" s="900" t="str">
        <f>IF('[1]BASE'!DS57=0,"",'[1]BASE'!DS57)</f>
        <v>XXXX</v>
      </c>
      <c r="O57" s="900" t="str">
        <f>IF('[1]BASE'!DT57=0,"",'[1]BASE'!DT57)</f>
        <v>XXXX</v>
      </c>
      <c r="P57" s="896" t="str">
        <f>IF('[1]BASE'!DU57=0,"",'[1]BASE'!DU57)</f>
        <v>XXXX</v>
      </c>
      <c r="Q57" s="896" t="str">
        <f>IF('[1]BASE'!DV57=0,"",'[1]BASE'!DV57)</f>
        <v>XXXX</v>
      </c>
      <c r="R57" s="896" t="str">
        <f>IF('[1]BASE'!DW57=0,"",'[1]BASE'!DW57)</f>
        <v>XXXX</v>
      </c>
      <c r="S57" s="896" t="str">
        <f>IF('[1]BASE'!DX57=0,"",'[1]BASE'!DX57)</f>
        <v>XXXX</v>
      </c>
      <c r="T57" s="897"/>
      <c r="U57" s="893"/>
    </row>
    <row r="58" spans="2:21" s="887" customFormat="1" ht="19.5" customHeight="1">
      <c r="B58" s="888"/>
      <c r="C58" s="898">
        <f>IF('[1]BASE'!C58=0,"",'[1]BASE'!C58)</f>
        <v>42</v>
      </c>
      <c r="D58" s="898" t="str">
        <f>IF('[1]BASE'!D58=0,"",'[1]BASE'!D58)</f>
        <v>RIO GRANDE - LUJAN</v>
      </c>
      <c r="E58" s="898">
        <f>IF('[1]BASE'!E58=0,"",'[1]BASE'!E58)</f>
        <v>500</v>
      </c>
      <c r="F58" s="898">
        <f>IF('[1]BASE'!F58=0,"",'[1]BASE'!F58)</f>
        <v>150</v>
      </c>
      <c r="G58" s="899" t="str">
        <f>IF('[1]BASE'!G58=0,"",'[1]BASE'!G58)</f>
        <v>A</v>
      </c>
      <c r="H58" s="898">
        <f>IF('[1]BASE'!DM58=0,"",'[1]BASE'!DM58)</f>
      </c>
      <c r="I58" s="898">
        <f>IF('[1]BASE'!DN58=0,"",'[1]BASE'!DN58)</f>
      </c>
      <c r="J58" s="898">
        <f>IF('[1]BASE'!DO58=0,"",'[1]BASE'!DO58)</f>
      </c>
      <c r="K58" s="898">
        <f>IF('[1]BASE'!DP58=0,"",'[1]BASE'!DP58)</f>
      </c>
      <c r="L58" s="898">
        <f>IF('[1]BASE'!DQ58=0,"",'[1]BASE'!DQ58)</f>
      </c>
      <c r="M58" s="898">
        <f>IF('[1]BASE'!DR58=0,"",'[1]BASE'!DR58)</f>
      </c>
      <c r="N58" s="898">
        <f>IF('[1]BASE'!DS58=0,"",'[1]BASE'!DS58)</f>
      </c>
      <c r="O58" s="898">
        <f>IF('[1]BASE'!DT58=0,"",'[1]BASE'!DT58)</f>
      </c>
      <c r="P58" s="896">
        <f>IF('[1]BASE'!DU58=0,"",'[1]BASE'!DU58)</f>
      </c>
      <c r="Q58" s="896">
        <f>IF('[1]BASE'!DV58=0,"",'[1]BASE'!DV58)</f>
      </c>
      <c r="R58" s="896">
        <f>IF('[1]BASE'!DW58=0,"",'[1]BASE'!DW58)</f>
      </c>
      <c r="S58" s="896">
        <f>IF('[1]BASE'!DX58=0,"",'[1]BASE'!DX58)</f>
      </c>
      <c r="T58" s="897"/>
      <c r="U58" s="893"/>
    </row>
    <row r="59" spans="2:21" s="887" customFormat="1" ht="19.5" customHeight="1">
      <c r="B59" s="888"/>
      <c r="C59" s="900">
        <f>IF('[1]BASE'!C59=0,"",'[1]BASE'!C59)</f>
        <v>43</v>
      </c>
      <c r="D59" s="900" t="str">
        <f>IF('[1]BASE'!D59=0,"",'[1]BASE'!D59)</f>
        <v>LUJAN - GRAN MENDOZA</v>
      </c>
      <c r="E59" s="900">
        <f>IF('[1]BASE'!E59=0,"",'[1]BASE'!E59)</f>
        <v>500</v>
      </c>
      <c r="F59" s="900">
        <f>IF('[1]BASE'!F59=0,"",'[1]BASE'!F59)</f>
        <v>257</v>
      </c>
      <c r="G59" s="901" t="str">
        <f>IF('[1]BASE'!G59=0,"",'[1]BASE'!G59)</f>
        <v>B</v>
      </c>
      <c r="H59" s="900">
        <f>IF('[1]BASE'!DM59=0,"",'[1]BASE'!DM59)</f>
      </c>
      <c r="I59" s="900">
        <f>IF('[1]BASE'!DN59=0,"",'[1]BASE'!DN59)</f>
      </c>
      <c r="J59" s="900">
        <f>IF('[1]BASE'!DO59=0,"",'[1]BASE'!DO59)</f>
      </c>
      <c r="K59" s="900">
        <f>IF('[1]BASE'!DP59=0,"",'[1]BASE'!DP59)</f>
      </c>
      <c r="L59" s="900">
        <f>IF('[1]BASE'!DQ59=0,"",'[1]BASE'!DQ59)</f>
      </c>
      <c r="M59" s="900">
        <f>IF('[1]BASE'!DR59=0,"",'[1]BASE'!DR59)</f>
      </c>
      <c r="N59" s="900">
        <f>IF('[1]BASE'!DS59=0,"",'[1]BASE'!DS59)</f>
      </c>
      <c r="O59" s="900">
        <f>IF('[1]BASE'!DT59=0,"",'[1]BASE'!DT59)</f>
      </c>
      <c r="P59" s="896">
        <f>IF('[1]BASE'!DU59=0,"",'[1]BASE'!DU59)</f>
      </c>
      <c r="Q59" s="896">
        <f>IF('[1]BASE'!DV59=0,"",'[1]BASE'!DV59)</f>
      </c>
      <c r="R59" s="896">
        <f>IF('[1]BASE'!DW59=0,"",'[1]BASE'!DW59)</f>
      </c>
      <c r="S59" s="896">
        <f>IF('[1]BASE'!DX59=0,"",'[1]BASE'!DX59)</f>
      </c>
      <c r="T59" s="897"/>
      <c r="U59" s="893"/>
    </row>
    <row r="60" spans="2:21" s="887" customFormat="1" ht="19.5" customHeight="1">
      <c r="B60" s="888"/>
      <c r="C60" s="898">
        <f>IF('[1]BASE'!C60=0,"",'[1]BASE'!C60)</f>
        <v>44</v>
      </c>
      <c r="D60" s="898" t="str">
        <f>IF('[1]BASE'!D60=0,"",'[1]BASE'!D60)</f>
        <v>ROMANG - RESISTENCIA</v>
      </c>
      <c r="E60" s="898">
        <f>IF('[1]BASE'!E60=0,"",'[1]BASE'!E60)</f>
        <v>500</v>
      </c>
      <c r="F60" s="898">
        <f>IF('[1]BASE'!F60=0,"",'[1]BASE'!F60)</f>
        <v>256</v>
      </c>
      <c r="G60" s="899" t="str">
        <f>IF('[1]BASE'!G60=0,"",'[1]BASE'!G60)</f>
        <v>A</v>
      </c>
      <c r="H60" s="898">
        <f>IF('[1]BASE'!DM60=0,"",'[1]BASE'!DM60)</f>
      </c>
      <c r="I60" s="898">
        <f>IF('[1]BASE'!DN60=0,"",'[1]BASE'!DN60)</f>
        <v>1</v>
      </c>
      <c r="J60" s="898">
        <f>IF('[1]BASE'!DO60=0,"",'[1]BASE'!DO60)</f>
        <v>1</v>
      </c>
      <c r="K60" s="898">
        <f>IF('[1]BASE'!DP60=0,"",'[1]BASE'!DP60)</f>
      </c>
      <c r="L60" s="898">
        <f>IF('[1]BASE'!DQ60=0,"",'[1]BASE'!DQ60)</f>
      </c>
      <c r="M60" s="898">
        <f>IF('[1]BASE'!DR60=0,"",'[1]BASE'!DR60)</f>
      </c>
      <c r="N60" s="898">
        <f>IF('[1]BASE'!DS60=0,"",'[1]BASE'!DS60)</f>
      </c>
      <c r="O60" s="898">
        <f>IF('[1]BASE'!DT60=0,"",'[1]BASE'!DT60)</f>
      </c>
      <c r="P60" s="896">
        <f>IF('[1]BASE'!DU60=0,"",'[1]BASE'!DU60)</f>
      </c>
      <c r="Q60" s="896">
        <f>IF('[1]BASE'!DV60=0,"",'[1]BASE'!DV60)</f>
      </c>
      <c r="R60" s="896">
        <f>IF('[1]BASE'!DW60=0,"",'[1]BASE'!DW60)</f>
        <v>1</v>
      </c>
      <c r="S60" s="896">
        <f>IF('[1]BASE'!DX60=0,"",'[1]BASE'!DX60)</f>
      </c>
      <c r="T60" s="897"/>
      <c r="U60" s="893"/>
    </row>
    <row r="61" spans="2:21" s="887" customFormat="1" ht="19.5" customHeight="1">
      <c r="B61" s="888"/>
      <c r="C61" s="900">
        <f>IF('[1]BASE'!C61=0,"",'[1]BASE'!C61)</f>
        <v>45</v>
      </c>
      <c r="D61" s="900" t="str">
        <f>IF('[1]BASE'!D61=0,"",'[1]BASE'!D61)</f>
        <v>ROSARIO OESTE -SANTO TOME</v>
      </c>
      <c r="E61" s="900">
        <f>IF('[1]BASE'!E61=0,"",'[1]BASE'!E61)</f>
        <v>500</v>
      </c>
      <c r="F61" s="900">
        <f>IF('[1]BASE'!F61=0,"",'[1]BASE'!F61)</f>
        <v>159</v>
      </c>
      <c r="G61" s="901" t="str">
        <f>IF('[1]BASE'!G61=0,"",'[1]BASE'!G61)</f>
        <v>C</v>
      </c>
      <c r="H61" s="900">
        <f>IF('[1]BASE'!DM61=0,"",'[1]BASE'!DM61)</f>
      </c>
      <c r="I61" s="900">
        <f>IF('[1]BASE'!DN61=0,"",'[1]BASE'!DN61)</f>
        <v>1</v>
      </c>
      <c r="J61" s="900">
        <f>IF('[1]BASE'!DO61=0,"",'[1]BASE'!DO61)</f>
      </c>
      <c r="K61" s="900">
        <f>IF('[1]BASE'!DP61=0,"",'[1]BASE'!DP61)</f>
      </c>
      <c r="L61" s="900">
        <f>IF('[1]BASE'!DQ61=0,"",'[1]BASE'!DQ61)</f>
      </c>
      <c r="M61" s="900">
        <f>IF('[1]BASE'!DR61=0,"",'[1]BASE'!DR61)</f>
      </c>
      <c r="N61" s="900">
        <f>IF('[1]BASE'!DS61=0,"",'[1]BASE'!DS61)</f>
      </c>
      <c r="O61" s="900">
        <f>IF('[1]BASE'!DT61=0,"",'[1]BASE'!DT61)</f>
      </c>
      <c r="P61" s="896">
        <f>IF('[1]BASE'!DU61=0,"",'[1]BASE'!DU61)</f>
      </c>
      <c r="Q61" s="896">
        <f>IF('[1]BASE'!DV61=0,"",'[1]BASE'!DV61)</f>
      </c>
      <c r="R61" s="896">
        <f>IF('[1]BASE'!DW61=0,"",'[1]BASE'!DW61)</f>
      </c>
      <c r="S61" s="896">
        <f>IF('[1]BASE'!DX61=0,"",'[1]BASE'!DX61)</f>
      </c>
      <c r="T61" s="897"/>
      <c r="U61" s="893"/>
    </row>
    <row r="62" spans="2:21" s="887" customFormat="1" ht="19.5" customHeight="1">
      <c r="B62" s="888"/>
      <c r="C62" s="898">
        <f>IF('[1]BASE'!C62=0,"",'[1]BASE'!C62)</f>
        <v>46</v>
      </c>
      <c r="D62" s="898" t="str">
        <f>IF('[1]BASE'!D62=0,"",'[1]BASE'!D62)</f>
        <v>SALTO GRANDE - SANTO TOME </v>
      </c>
      <c r="E62" s="898">
        <f>IF('[1]BASE'!E62=0,"",'[1]BASE'!E62)</f>
        <v>500</v>
      </c>
      <c r="F62" s="898">
        <f>IF('[1]BASE'!F62=0,"",'[1]BASE'!F62)</f>
        <v>289</v>
      </c>
      <c r="G62" s="899" t="str">
        <f>IF('[1]BASE'!G62=0,"",'[1]BASE'!G62)</f>
        <v>C</v>
      </c>
      <c r="H62" s="898">
        <f>IF('[1]BASE'!DM62=0,"",'[1]BASE'!DM62)</f>
        <v>1</v>
      </c>
      <c r="I62" s="898">
        <f>IF('[1]BASE'!DN62=0,"",'[1]BASE'!DN62)</f>
      </c>
      <c r="J62" s="898">
        <f>IF('[1]BASE'!DO62=0,"",'[1]BASE'!DO62)</f>
      </c>
      <c r="K62" s="898">
        <f>IF('[1]BASE'!DP62=0,"",'[1]BASE'!DP62)</f>
      </c>
      <c r="L62" s="898">
        <f>IF('[1]BASE'!DQ62=0,"",'[1]BASE'!DQ62)</f>
      </c>
      <c r="M62" s="898">
        <f>IF('[1]BASE'!DR62=0,"",'[1]BASE'!DR62)</f>
      </c>
      <c r="N62" s="898">
        <f>IF('[1]BASE'!DS62=0,"",'[1]BASE'!DS62)</f>
      </c>
      <c r="O62" s="898">
        <f>IF('[1]BASE'!DT62=0,"",'[1]BASE'!DT62)</f>
      </c>
      <c r="P62" s="896">
        <f>IF('[1]BASE'!DU62=0,"",'[1]BASE'!DU62)</f>
      </c>
      <c r="Q62" s="896">
        <f>IF('[1]BASE'!DV62=0,"",'[1]BASE'!DV62)</f>
      </c>
      <c r="R62" s="896">
        <f>IF('[1]BASE'!DW62=0,"",'[1]BASE'!DW62)</f>
        <v>1</v>
      </c>
      <c r="S62" s="896">
        <f>IF('[1]BASE'!DX62=0,"",'[1]BASE'!DX62)</f>
      </c>
      <c r="T62" s="897"/>
      <c r="U62" s="893"/>
    </row>
    <row r="63" spans="2:21" s="887" customFormat="1" ht="19.5" customHeight="1">
      <c r="B63" s="888"/>
      <c r="C63" s="900">
        <f>IF('[1]BASE'!C63=0,"",'[1]BASE'!C63)</f>
        <v>47</v>
      </c>
      <c r="D63" s="900" t="str">
        <f>IF('[1]BASE'!D63=0,"",'[1]BASE'!D63)</f>
        <v>SANTO TOME - ROMANG </v>
      </c>
      <c r="E63" s="900">
        <f>IF('[1]BASE'!E63=0,"",'[1]BASE'!E63)</f>
        <v>500</v>
      </c>
      <c r="F63" s="900">
        <f>IF('[1]BASE'!F63=0,"",'[1]BASE'!F63)</f>
        <v>270</v>
      </c>
      <c r="G63" s="901" t="str">
        <f>IF('[1]BASE'!G63=0,"",'[1]BASE'!G63)</f>
        <v>A</v>
      </c>
      <c r="H63" s="900">
        <f>IF('[1]BASE'!DM63=0,"",'[1]BASE'!DM63)</f>
      </c>
      <c r="I63" s="900">
        <f>IF('[1]BASE'!DN63=0,"",'[1]BASE'!DN63)</f>
      </c>
      <c r="J63" s="900">
        <f>IF('[1]BASE'!DO63=0,"",'[1]BASE'!DO63)</f>
      </c>
      <c r="K63" s="900">
        <f>IF('[1]BASE'!DP63=0,"",'[1]BASE'!DP63)</f>
      </c>
      <c r="L63" s="900">
        <f>IF('[1]BASE'!DQ63=0,"",'[1]BASE'!DQ63)</f>
      </c>
      <c r="M63" s="900">
        <f>IF('[1]BASE'!DR63=0,"",'[1]BASE'!DR63)</f>
      </c>
      <c r="N63" s="900">
        <f>IF('[1]BASE'!DS63=0,"",'[1]BASE'!DS63)</f>
      </c>
      <c r="O63" s="900">
        <f>IF('[1]BASE'!DT63=0,"",'[1]BASE'!DT63)</f>
        <v>1</v>
      </c>
      <c r="P63" s="896">
        <f>IF('[1]BASE'!DU63=0,"",'[1]BASE'!DU63)</f>
      </c>
      <c r="Q63" s="896">
        <f>IF('[1]BASE'!DV63=0,"",'[1]BASE'!DV63)</f>
      </c>
      <c r="R63" s="896">
        <f>IF('[1]BASE'!DW63=0,"",'[1]BASE'!DW63)</f>
      </c>
      <c r="S63" s="896">
        <f>IF('[1]BASE'!DX63=0,"",'[1]BASE'!DX63)</f>
      </c>
      <c r="T63" s="897"/>
      <c r="U63" s="893"/>
    </row>
    <row r="64" spans="2:21" s="887" customFormat="1" ht="19.5" customHeight="1">
      <c r="B64" s="888"/>
      <c r="C64" s="898">
        <f>IF('[1]BASE'!C64=0,"",'[1]BASE'!C64)</f>
      </c>
      <c r="D64" s="898">
        <f>IF('[1]BASE'!D64=0,"",'[1]BASE'!D64)</f>
      </c>
      <c r="E64" s="898">
        <f>IF('[1]BASE'!E64=0,"",'[1]BASE'!E64)</f>
      </c>
      <c r="F64" s="898">
        <f>IF('[1]BASE'!F64=0,"",'[1]BASE'!F64)</f>
      </c>
      <c r="G64" s="899">
        <f>IF('[1]BASE'!G64=0,"",'[1]BASE'!G64)</f>
      </c>
      <c r="H64" s="898">
        <f>IF('[1]BASE'!DM64=0,"",'[1]BASE'!DM64)</f>
      </c>
      <c r="I64" s="898">
        <f>IF('[1]BASE'!DN64=0,"",'[1]BASE'!DN64)</f>
      </c>
      <c r="J64" s="898">
        <f>IF('[1]BASE'!DO64=0,"",'[1]BASE'!DO64)</f>
      </c>
      <c r="K64" s="898">
        <f>IF('[1]BASE'!DP64=0,"",'[1]BASE'!DP64)</f>
      </c>
      <c r="L64" s="898">
        <f>IF('[1]BASE'!DQ64=0,"",'[1]BASE'!DQ64)</f>
      </c>
      <c r="M64" s="898">
        <f>IF('[1]BASE'!DR64=0,"",'[1]BASE'!DR64)</f>
      </c>
      <c r="N64" s="898">
        <f>IF('[1]BASE'!DS64=0,"",'[1]BASE'!DS64)</f>
      </c>
      <c r="O64" s="898">
        <f>IF('[1]BASE'!DT64=0,"",'[1]BASE'!DT64)</f>
      </c>
      <c r="P64" s="896">
        <f>IF('[1]BASE'!DU64=0,"",'[1]BASE'!DU64)</f>
      </c>
      <c r="Q64" s="896">
        <f>IF('[1]BASE'!DV64=0,"",'[1]BASE'!DV64)</f>
      </c>
      <c r="R64" s="896">
        <f>IF('[1]BASE'!DW64=0,"",'[1]BASE'!DW64)</f>
      </c>
      <c r="S64" s="896">
        <f>IF('[1]BASE'!DX64=0,"",'[1]BASE'!DX64)</f>
      </c>
      <c r="T64" s="897"/>
      <c r="U64" s="893"/>
    </row>
    <row r="65" spans="2:21" s="887" customFormat="1" ht="19.5" customHeight="1">
      <c r="B65" s="888"/>
      <c r="C65" s="900">
        <f>IF('[1]BASE'!C65=0,"",'[1]BASE'!C65)</f>
        <v>48</v>
      </c>
      <c r="D65" s="900" t="str">
        <f>IF('[1]BASE'!D65=0,"",'[1]BASE'!D65)</f>
        <v>GRAL. RODRIGUEZ - VILLA  LIA 1</v>
      </c>
      <c r="E65" s="900">
        <f>IF('[1]BASE'!E65=0,"",'[1]BASE'!E65)</f>
        <v>220</v>
      </c>
      <c r="F65" s="900">
        <f>IF('[1]BASE'!F65=0,"",'[1]BASE'!F65)</f>
        <v>61</v>
      </c>
      <c r="G65" s="901" t="str">
        <f>IF('[1]BASE'!G65=0,"",'[1]BASE'!G65)</f>
        <v>C</v>
      </c>
      <c r="H65" s="900">
        <f>IF('[1]BASE'!DM65=0,"",'[1]BASE'!DM65)</f>
      </c>
      <c r="I65" s="900">
        <f>IF('[1]BASE'!DN65=0,"",'[1]BASE'!DN65)</f>
      </c>
      <c r="J65" s="900">
        <f>IF('[1]BASE'!DO65=0,"",'[1]BASE'!DO65)</f>
      </c>
      <c r="K65" s="900">
        <f>IF('[1]BASE'!DP65=0,"",'[1]BASE'!DP65)</f>
      </c>
      <c r="L65" s="900">
        <f>IF('[1]BASE'!DQ65=0,"",'[1]BASE'!DQ65)</f>
      </c>
      <c r="M65" s="900">
        <f>IF('[1]BASE'!DR65=0,"",'[1]BASE'!DR65)</f>
      </c>
      <c r="N65" s="900">
        <f>IF('[1]BASE'!DS65=0,"",'[1]BASE'!DS65)</f>
        <v>1</v>
      </c>
      <c r="O65" s="900">
        <f>IF('[1]BASE'!DT65=0,"",'[1]BASE'!DT65)</f>
      </c>
      <c r="P65" s="896">
        <f>IF('[1]BASE'!DU65=0,"",'[1]BASE'!DU65)</f>
      </c>
      <c r="Q65" s="896">
        <f>IF('[1]BASE'!DV65=0,"",'[1]BASE'!DV65)</f>
      </c>
      <c r="R65" s="896">
        <f>IF('[1]BASE'!DW65=0,"",'[1]BASE'!DW65)</f>
      </c>
      <c r="S65" s="896">
        <f>IF('[1]BASE'!DX65=0,"",'[1]BASE'!DX65)</f>
      </c>
      <c r="T65" s="897"/>
      <c r="U65" s="893"/>
    </row>
    <row r="66" spans="2:21" s="887" customFormat="1" ht="19.5" customHeight="1">
      <c r="B66" s="888"/>
      <c r="C66" s="898">
        <f>IF('[1]BASE'!C66=0,"",'[1]BASE'!C66)</f>
        <v>49</v>
      </c>
      <c r="D66" s="898" t="str">
        <f>IF('[1]BASE'!D66=0,"",'[1]BASE'!D66)</f>
        <v>GRAL. RODRIGUEZ - VILLA  LIA 2</v>
      </c>
      <c r="E66" s="898">
        <f>IF('[1]BASE'!E66=0,"",'[1]BASE'!E66)</f>
        <v>220</v>
      </c>
      <c r="F66" s="898">
        <f>IF('[1]BASE'!F66=0,"",'[1]BASE'!F66)</f>
        <v>61</v>
      </c>
      <c r="G66" s="899" t="str">
        <f>IF('[1]BASE'!G66=0,"",'[1]BASE'!G66)</f>
        <v>C</v>
      </c>
      <c r="H66" s="898">
        <f>IF('[1]BASE'!DM66=0,"",'[1]BASE'!DM66)</f>
      </c>
      <c r="I66" s="898">
        <f>IF('[1]BASE'!DN66=0,"",'[1]BASE'!DN66)</f>
      </c>
      <c r="J66" s="898">
        <f>IF('[1]BASE'!DO66=0,"",'[1]BASE'!DO66)</f>
      </c>
      <c r="K66" s="898">
        <f>IF('[1]BASE'!DP66=0,"",'[1]BASE'!DP66)</f>
      </c>
      <c r="L66" s="898">
        <f>IF('[1]BASE'!DQ66=0,"",'[1]BASE'!DQ66)</f>
      </c>
      <c r="M66" s="898">
        <f>IF('[1]BASE'!DR66=0,"",'[1]BASE'!DR66)</f>
      </c>
      <c r="N66" s="898">
        <f>IF('[1]BASE'!DS66=0,"",'[1]BASE'!DS66)</f>
      </c>
      <c r="O66" s="898">
        <f>IF('[1]BASE'!DT66=0,"",'[1]BASE'!DT66)</f>
      </c>
      <c r="P66" s="896">
        <f>IF('[1]BASE'!DU66=0,"",'[1]BASE'!DU66)</f>
      </c>
      <c r="Q66" s="896">
        <f>IF('[1]BASE'!DV66=0,"",'[1]BASE'!DV66)</f>
      </c>
      <c r="R66" s="896">
        <f>IF('[1]BASE'!DW66=0,"",'[1]BASE'!DW66)</f>
      </c>
      <c r="S66" s="896">
        <f>IF('[1]BASE'!DX66=0,"",'[1]BASE'!DX66)</f>
      </c>
      <c r="T66" s="897"/>
      <c r="U66" s="893"/>
    </row>
    <row r="67" spans="2:21" s="887" customFormat="1" ht="19.5" customHeight="1">
      <c r="B67" s="888"/>
      <c r="C67" s="900">
        <f>IF('[1]BASE'!C67=0,"",'[1]BASE'!C67)</f>
        <v>50</v>
      </c>
      <c r="D67" s="900" t="str">
        <f>IF('[1]BASE'!D67=0,"",'[1]BASE'!D67)</f>
        <v>RAMALLO - SAN NICOLAS (2)</v>
      </c>
      <c r="E67" s="900">
        <f>IF('[1]BASE'!E67=0,"",'[1]BASE'!E67)</f>
        <v>220</v>
      </c>
      <c r="F67" s="900">
        <f>IF('[1]BASE'!F67=0,"",'[1]BASE'!F67)</f>
        <v>6</v>
      </c>
      <c r="G67" s="901" t="str">
        <f>IF('[1]BASE'!G67=0,"",'[1]BASE'!G67)</f>
        <v>C</v>
      </c>
      <c r="H67" s="900">
        <f>IF('[1]BASE'!DM67=0,"",'[1]BASE'!DM67)</f>
      </c>
      <c r="I67" s="900">
        <f>IF('[1]BASE'!DN67=0,"",'[1]BASE'!DN67)</f>
      </c>
      <c r="J67" s="900">
        <f>IF('[1]BASE'!DO67=0,"",'[1]BASE'!DO67)</f>
      </c>
      <c r="K67" s="900">
        <f>IF('[1]BASE'!DP67=0,"",'[1]BASE'!DP67)</f>
      </c>
      <c r="L67" s="900">
        <f>IF('[1]BASE'!DQ67=0,"",'[1]BASE'!DQ67)</f>
      </c>
      <c r="M67" s="900">
        <f>IF('[1]BASE'!DR67=0,"",'[1]BASE'!DR67)</f>
      </c>
      <c r="N67" s="900">
        <f>IF('[1]BASE'!DS67=0,"",'[1]BASE'!DS67)</f>
      </c>
      <c r="O67" s="900">
        <f>IF('[1]BASE'!DT67=0,"",'[1]BASE'!DT67)</f>
      </c>
      <c r="P67" s="896">
        <f>IF('[1]BASE'!DU67=0,"",'[1]BASE'!DU67)</f>
      </c>
      <c r="Q67" s="896">
        <f>IF('[1]BASE'!DV67=0,"",'[1]BASE'!DV67)</f>
      </c>
      <c r="R67" s="896">
        <f>IF('[1]BASE'!DW67=0,"",'[1]BASE'!DW67)</f>
      </c>
      <c r="S67" s="896">
        <f>IF('[1]BASE'!DX67=0,"",'[1]BASE'!DX67)</f>
      </c>
      <c r="T67" s="897"/>
      <c r="U67" s="893"/>
    </row>
    <row r="68" spans="2:21" s="887" customFormat="1" ht="19.5" customHeight="1">
      <c r="B68" s="888"/>
      <c r="C68" s="898">
        <f>IF('[1]BASE'!C68=0,"",'[1]BASE'!C68)</f>
        <v>51</v>
      </c>
      <c r="D68" s="898" t="str">
        <f>IF('[1]BASE'!D68=0,"",'[1]BASE'!D68)</f>
        <v>RAMALLO - SAN NICOLAS (1)</v>
      </c>
      <c r="E68" s="898">
        <f>IF('[1]BASE'!E68=0,"",'[1]BASE'!E68)</f>
        <v>220</v>
      </c>
      <c r="F68" s="898">
        <f>IF('[1]BASE'!F68=0,"",'[1]BASE'!F68)</f>
        <v>6</v>
      </c>
      <c r="G68" s="899" t="str">
        <f>IF('[1]BASE'!G68=0,"",'[1]BASE'!G68)</f>
        <v>C</v>
      </c>
      <c r="H68" s="898">
        <f>IF('[1]BASE'!DM68=0,"",'[1]BASE'!DM68)</f>
      </c>
      <c r="I68" s="898">
        <f>IF('[1]BASE'!DN68=0,"",'[1]BASE'!DN68)</f>
      </c>
      <c r="J68" s="898">
        <f>IF('[1]BASE'!DO68=0,"",'[1]BASE'!DO68)</f>
      </c>
      <c r="K68" s="898">
        <f>IF('[1]BASE'!DP68=0,"",'[1]BASE'!DP68)</f>
      </c>
      <c r="L68" s="898">
        <f>IF('[1]BASE'!DQ68=0,"",'[1]BASE'!DQ68)</f>
      </c>
      <c r="M68" s="898">
        <f>IF('[1]BASE'!DR68=0,"",'[1]BASE'!DR68)</f>
      </c>
      <c r="N68" s="898">
        <f>IF('[1]BASE'!DS68=0,"",'[1]BASE'!DS68)</f>
      </c>
      <c r="O68" s="898">
        <f>IF('[1]BASE'!DT68=0,"",'[1]BASE'!DT68)</f>
      </c>
      <c r="P68" s="896">
        <f>IF('[1]BASE'!DU68=0,"",'[1]BASE'!DU68)</f>
      </c>
      <c r="Q68" s="896">
        <f>IF('[1]BASE'!DV68=0,"",'[1]BASE'!DV68)</f>
      </c>
      <c r="R68" s="896">
        <f>IF('[1]BASE'!DW68=0,"",'[1]BASE'!DW68)</f>
        <v>1</v>
      </c>
      <c r="S68" s="896">
        <f>IF('[1]BASE'!DX68=0,"",'[1]BASE'!DX68)</f>
      </c>
      <c r="T68" s="897"/>
      <c r="U68" s="893"/>
    </row>
    <row r="69" spans="2:21" s="887" customFormat="1" ht="19.5" customHeight="1">
      <c r="B69" s="888"/>
      <c r="C69" s="900">
        <f>IF('[1]BASE'!C69=0,"",'[1]BASE'!C69)</f>
        <v>52</v>
      </c>
      <c r="D69" s="900" t="str">
        <f>IF('[1]BASE'!D69=0,"",'[1]BASE'!D69)</f>
        <v>RAMALLO - VILLA LIA  1</v>
      </c>
      <c r="E69" s="900">
        <f>IF('[1]BASE'!E69=0,"",'[1]BASE'!E69)</f>
        <v>220</v>
      </c>
      <c r="F69" s="901">
        <f>IF('[1]BASE'!F69=0,"",'[1]BASE'!F69)</f>
        <v>114</v>
      </c>
      <c r="G69" s="901" t="str">
        <f>IF('[1]BASE'!G69=0,"",'[1]BASE'!G69)</f>
        <v>C</v>
      </c>
      <c r="H69" s="901">
        <f>IF('[1]BASE'!DM69=0,"",'[1]BASE'!DM69)</f>
      </c>
      <c r="I69" s="901">
        <f>IF('[1]BASE'!DN69=0,"",'[1]BASE'!DN69)</f>
      </c>
      <c r="J69" s="901">
        <f>IF('[1]BASE'!DO69=0,"",'[1]BASE'!DO69)</f>
      </c>
      <c r="K69" s="901">
        <f>IF('[1]BASE'!DP69=0,"",'[1]BASE'!DP69)</f>
        <v>1</v>
      </c>
      <c r="L69" s="901">
        <f>IF('[1]BASE'!DQ69=0,"",'[1]BASE'!DQ69)</f>
        <v>1</v>
      </c>
      <c r="M69" s="901">
        <f>IF('[1]BASE'!DR69=0,"",'[1]BASE'!DR69)</f>
      </c>
      <c r="N69" s="901">
        <f>IF('[1]BASE'!DS69=0,"",'[1]BASE'!DS69)</f>
      </c>
      <c r="O69" s="901">
        <f>IF('[1]BASE'!DT69=0,"",'[1]BASE'!DT69)</f>
      </c>
      <c r="P69" s="896">
        <f>IF('[1]BASE'!DU69=0,"",'[1]BASE'!DU69)</f>
      </c>
      <c r="Q69" s="896">
        <f>IF('[1]BASE'!DV69=0,"",'[1]BASE'!DV69)</f>
      </c>
      <c r="R69" s="896">
        <f>IF('[1]BASE'!DW69=0,"",'[1]BASE'!DW69)</f>
      </c>
      <c r="S69" s="896">
        <f>IF('[1]BASE'!DX69=0,"",'[1]BASE'!DX69)</f>
      </c>
      <c r="T69" s="897"/>
      <c r="U69" s="893"/>
    </row>
    <row r="70" spans="2:21" s="887" customFormat="1" ht="19.5" customHeight="1">
      <c r="B70" s="888"/>
      <c r="C70" s="898">
        <f>IF('[1]BASE'!C70=0,"",'[1]BASE'!C70)</f>
        <v>53</v>
      </c>
      <c r="D70" s="898" t="str">
        <f>IF('[1]BASE'!D70=0,"",'[1]BASE'!D70)</f>
        <v>RAMALLO - VILLA LIA  2</v>
      </c>
      <c r="E70" s="898">
        <f>IF('[1]BASE'!E70=0,"",'[1]BASE'!E70)</f>
        <v>220</v>
      </c>
      <c r="F70" s="899">
        <f>IF('[1]BASE'!F70=0,"",'[1]BASE'!F70)</f>
        <v>114</v>
      </c>
      <c r="G70" s="899" t="str">
        <f>IF('[1]BASE'!G70=0,"",'[1]BASE'!G70)</f>
        <v>C</v>
      </c>
      <c r="H70" s="899">
        <f>IF('[1]BASE'!DM70=0,"",'[1]BASE'!DM70)</f>
      </c>
      <c r="I70" s="899">
        <f>IF('[1]BASE'!DN70=0,"",'[1]BASE'!DN70)</f>
      </c>
      <c r="J70" s="899">
        <f>IF('[1]BASE'!DO70=0,"",'[1]BASE'!DO70)</f>
      </c>
      <c r="K70" s="899">
        <f>IF('[1]BASE'!DP70=0,"",'[1]BASE'!DP70)</f>
      </c>
      <c r="L70" s="899">
        <f>IF('[1]BASE'!DQ70=0,"",'[1]BASE'!DQ70)</f>
      </c>
      <c r="M70" s="899">
        <f>IF('[1]BASE'!DR70=0,"",'[1]BASE'!DR70)</f>
      </c>
      <c r="N70" s="899">
        <f>IF('[1]BASE'!DS70=0,"",'[1]BASE'!DS70)</f>
      </c>
      <c r="O70" s="899">
        <f>IF('[1]BASE'!DT70=0,"",'[1]BASE'!DT70)</f>
      </c>
      <c r="P70" s="896">
        <f>IF('[1]BASE'!DU70=0,"",'[1]BASE'!DU70)</f>
      </c>
      <c r="Q70" s="896">
        <f>IF('[1]BASE'!DV70=0,"",'[1]BASE'!DV70)</f>
      </c>
      <c r="R70" s="896">
        <f>IF('[1]BASE'!DW70=0,"",'[1]BASE'!DW70)</f>
      </c>
      <c r="S70" s="896">
        <f>IF('[1]BASE'!DX70=0,"",'[1]BASE'!DX70)</f>
      </c>
      <c r="T70" s="897"/>
      <c r="U70" s="893"/>
    </row>
    <row r="71" spans="2:21" s="887" customFormat="1" ht="19.5" customHeight="1">
      <c r="B71" s="888"/>
      <c r="C71" s="900">
        <f>IF('[1]BASE'!C71=0,"",'[1]BASE'!C71)</f>
        <v>54</v>
      </c>
      <c r="D71" s="900" t="str">
        <f>IF('[1]BASE'!D71=0,"",'[1]BASE'!D71)</f>
        <v>ROSARIO OESTE - RAMALLO  1</v>
      </c>
      <c r="E71" s="900">
        <f>IF('[1]BASE'!E71=0,"",'[1]BASE'!E71)</f>
        <v>220</v>
      </c>
      <c r="F71" s="901">
        <f>IF('[1]BASE'!F71=0,"",'[1]BASE'!F71)</f>
        <v>77</v>
      </c>
      <c r="G71" s="901" t="str">
        <f>IF('[1]BASE'!G71=0,"",'[1]BASE'!G71)</f>
        <v>C</v>
      </c>
      <c r="H71" s="901">
        <f>IF('[1]BASE'!DM71=0,"",'[1]BASE'!DM71)</f>
      </c>
      <c r="I71" s="901">
        <f>IF('[1]BASE'!DN71=0,"",'[1]BASE'!DN71)</f>
      </c>
      <c r="J71" s="901">
        <f>IF('[1]BASE'!DO71=0,"",'[1]BASE'!DO71)</f>
      </c>
      <c r="K71" s="901">
        <f>IF('[1]BASE'!DP71=0,"",'[1]BASE'!DP71)</f>
      </c>
      <c r="L71" s="901">
        <f>IF('[1]BASE'!DQ71=0,"",'[1]BASE'!DQ71)</f>
      </c>
      <c r="M71" s="901">
        <f>IF('[1]BASE'!DR71=0,"",'[1]BASE'!DR71)</f>
      </c>
      <c r="N71" s="901">
        <f>IF('[1]BASE'!DS71=0,"",'[1]BASE'!DS71)</f>
      </c>
      <c r="O71" s="901">
        <f>IF('[1]BASE'!DT71=0,"",'[1]BASE'!DT71)</f>
        <v>1</v>
      </c>
      <c r="P71" s="896">
        <f>IF('[1]BASE'!DU71=0,"",'[1]BASE'!DU71)</f>
      </c>
      <c r="Q71" s="896">
        <f>IF('[1]BASE'!DV71=0,"",'[1]BASE'!DV71)</f>
      </c>
      <c r="R71" s="896">
        <f>IF('[1]BASE'!DW71=0,"",'[1]BASE'!DW71)</f>
      </c>
      <c r="S71" s="896">
        <f>IF('[1]BASE'!DX71=0,"",'[1]BASE'!DX71)</f>
      </c>
      <c r="T71" s="897"/>
      <c r="U71" s="893"/>
    </row>
    <row r="72" spans="2:21" s="887" customFormat="1" ht="19.5" customHeight="1">
      <c r="B72" s="888"/>
      <c r="C72" s="898">
        <f>IF('[1]BASE'!C72=0,"",'[1]BASE'!C72)</f>
        <v>55</v>
      </c>
      <c r="D72" s="898" t="str">
        <f>IF('[1]BASE'!D72=0,"",'[1]BASE'!D72)</f>
        <v>ROSARIO OESTE - RAMALLO  2</v>
      </c>
      <c r="E72" s="898">
        <f>IF('[1]BASE'!E72=0,"",'[1]BASE'!E72)</f>
        <v>220</v>
      </c>
      <c r="F72" s="899">
        <f>IF('[1]BASE'!F72=0,"",'[1]BASE'!F72)</f>
        <v>77</v>
      </c>
      <c r="G72" s="899" t="str">
        <f>IF('[1]BASE'!G72=0,"",'[1]BASE'!G72)</f>
        <v>C</v>
      </c>
      <c r="H72" s="899">
        <f>IF('[1]BASE'!DM72=0,"",'[1]BASE'!DM72)</f>
      </c>
      <c r="I72" s="899">
        <f>IF('[1]BASE'!DN72=0,"",'[1]BASE'!DN72)</f>
      </c>
      <c r="J72" s="899">
        <f>IF('[1]BASE'!DO72=0,"",'[1]BASE'!DO72)</f>
      </c>
      <c r="K72" s="899">
        <f>IF('[1]BASE'!DP72=0,"",'[1]BASE'!DP72)</f>
      </c>
      <c r="L72" s="899">
        <f>IF('[1]BASE'!DQ72=0,"",'[1]BASE'!DQ72)</f>
      </c>
      <c r="M72" s="899">
        <f>IF('[1]BASE'!DR72=0,"",'[1]BASE'!DR72)</f>
      </c>
      <c r="N72" s="899">
        <f>IF('[1]BASE'!DS72=0,"",'[1]BASE'!DS72)</f>
      </c>
      <c r="O72" s="899">
        <f>IF('[1]BASE'!DT72=0,"",'[1]BASE'!DT72)</f>
      </c>
      <c r="P72" s="896">
        <f>IF('[1]BASE'!DU72=0,"",'[1]BASE'!DU72)</f>
      </c>
      <c r="Q72" s="896">
        <f>IF('[1]BASE'!DV72=0,"",'[1]BASE'!DV72)</f>
      </c>
      <c r="R72" s="896">
        <f>IF('[1]BASE'!DW72=0,"",'[1]BASE'!DW72)</f>
        <v>1</v>
      </c>
      <c r="S72" s="896">
        <f>IF('[1]BASE'!DX72=0,"",'[1]BASE'!DX72)</f>
      </c>
      <c r="T72" s="897"/>
      <c r="U72" s="893"/>
    </row>
    <row r="73" spans="2:21" s="887" customFormat="1" ht="19.5" customHeight="1">
      <c r="B73" s="888"/>
      <c r="C73" s="900">
        <f>IF('[1]BASE'!C73=0,"",'[1]BASE'!C73)</f>
        <v>56</v>
      </c>
      <c r="D73" s="900" t="str">
        <f>IF('[1]BASE'!D73=0,"",'[1]BASE'!D73)</f>
        <v>VILLA LIA - ATUCHA 1</v>
      </c>
      <c r="E73" s="900">
        <f>IF('[1]BASE'!E73=0,"",'[1]BASE'!E73)</f>
        <v>220</v>
      </c>
      <c r="F73" s="900">
        <f>IF('[1]BASE'!F73=0,"",'[1]BASE'!F73)</f>
        <v>26</v>
      </c>
      <c r="G73" s="901" t="str">
        <f>IF('[1]BASE'!G73=0,"",'[1]BASE'!G73)</f>
        <v>C</v>
      </c>
      <c r="H73" s="900">
        <f>IF('[1]BASE'!DM73=0,"",'[1]BASE'!DM73)</f>
      </c>
      <c r="I73" s="900">
        <f>IF('[1]BASE'!DN73=0,"",'[1]BASE'!DN73)</f>
      </c>
      <c r="J73" s="900">
        <f>IF('[1]BASE'!DO73=0,"",'[1]BASE'!DO73)</f>
      </c>
      <c r="K73" s="900">
        <f>IF('[1]BASE'!DP73=0,"",'[1]BASE'!DP73)</f>
      </c>
      <c r="L73" s="900">
        <f>IF('[1]BASE'!DQ73=0,"",'[1]BASE'!DQ73)</f>
      </c>
      <c r="M73" s="900">
        <f>IF('[1]BASE'!DR73=0,"",'[1]BASE'!DR73)</f>
      </c>
      <c r="N73" s="900">
        <f>IF('[1]BASE'!DS73=0,"",'[1]BASE'!DS73)</f>
      </c>
      <c r="O73" s="900">
        <f>IF('[1]BASE'!DT73=0,"",'[1]BASE'!DT73)</f>
      </c>
      <c r="P73" s="896">
        <f>IF('[1]BASE'!DU73=0,"",'[1]BASE'!DU73)</f>
      </c>
      <c r="Q73" s="896">
        <f>IF('[1]BASE'!DV73=0,"",'[1]BASE'!DV73)</f>
      </c>
      <c r="R73" s="896">
        <f>IF('[1]BASE'!DW73=0,"",'[1]BASE'!DW73)</f>
      </c>
      <c r="S73" s="896">
        <f>IF('[1]BASE'!DX73=0,"",'[1]BASE'!DX73)</f>
      </c>
      <c r="T73" s="897"/>
      <c r="U73" s="893"/>
    </row>
    <row r="74" spans="2:21" s="887" customFormat="1" ht="19.5" customHeight="1">
      <c r="B74" s="888"/>
      <c r="C74" s="898">
        <f>IF('[1]BASE'!C74=0,"",'[1]BASE'!C74)</f>
        <v>57</v>
      </c>
      <c r="D74" s="898" t="str">
        <f>IF('[1]BASE'!D74=0,"",'[1]BASE'!D74)</f>
        <v>VILLA LIA - ATUCHA 2</v>
      </c>
      <c r="E74" s="898">
        <f>IF('[1]BASE'!E74=0,"",'[1]BASE'!E74)</f>
        <v>220</v>
      </c>
      <c r="F74" s="898">
        <f>IF('[1]BASE'!F74=0,"",'[1]BASE'!F74)</f>
        <v>26</v>
      </c>
      <c r="G74" s="899" t="str">
        <f>IF('[1]BASE'!G74=0,"",'[1]BASE'!G74)</f>
        <v>C</v>
      </c>
      <c r="H74" s="898">
        <f>IF('[1]BASE'!DM74=0,"",'[1]BASE'!DM74)</f>
      </c>
      <c r="I74" s="898">
        <f>IF('[1]BASE'!DN74=0,"",'[1]BASE'!DN74)</f>
      </c>
      <c r="J74" s="898">
        <f>IF('[1]BASE'!DO74=0,"",'[1]BASE'!DO74)</f>
      </c>
      <c r="K74" s="898">
        <f>IF('[1]BASE'!DP74=0,"",'[1]BASE'!DP74)</f>
      </c>
      <c r="L74" s="898">
        <f>IF('[1]BASE'!DQ74=0,"",'[1]BASE'!DQ74)</f>
      </c>
      <c r="M74" s="898">
        <f>IF('[1]BASE'!DR74=0,"",'[1]BASE'!DR74)</f>
      </c>
      <c r="N74" s="898">
        <f>IF('[1]BASE'!DS74=0,"",'[1]BASE'!DS74)</f>
      </c>
      <c r="O74" s="898">
        <f>IF('[1]BASE'!DT74=0,"",'[1]BASE'!DT74)</f>
      </c>
      <c r="P74" s="896">
        <f>IF('[1]BASE'!DU74=0,"",'[1]BASE'!DU74)</f>
      </c>
      <c r="Q74" s="896">
        <f>IF('[1]BASE'!DV74=0,"",'[1]BASE'!DV74)</f>
      </c>
      <c r="R74" s="896">
        <f>IF('[1]BASE'!DW74=0,"",'[1]BASE'!DW74)</f>
      </c>
      <c r="S74" s="896">
        <f>IF('[1]BASE'!DX74=0,"",'[1]BASE'!DX74)</f>
      </c>
      <c r="T74" s="897"/>
      <c r="U74" s="893"/>
    </row>
    <row r="75" spans="2:21" s="887" customFormat="1" ht="19.5" customHeight="1">
      <c r="B75" s="888"/>
      <c r="C75" s="900">
        <f>IF('[1]BASE'!C75=0,"",'[1]BASE'!C75)</f>
      </c>
      <c r="D75" s="900">
        <f>IF('[1]BASE'!D75=0,"",'[1]BASE'!D75)</f>
      </c>
      <c r="E75" s="900">
        <f>IF('[1]BASE'!E75=0,"",'[1]BASE'!E75)</f>
      </c>
      <c r="F75" s="900">
        <f>IF('[1]BASE'!F75=0,"",'[1]BASE'!F75)</f>
      </c>
      <c r="G75" s="901">
        <f>IF('[1]BASE'!G75=0,"",'[1]BASE'!G75)</f>
      </c>
      <c r="H75" s="900">
        <f>IF('[1]BASE'!DM75=0,"",'[1]BASE'!DM75)</f>
      </c>
      <c r="I75" s="900">
        <f>IF('[1]BASE'!DN75=0,"",'[1]BASE'!DN75)</f>
      </c>
      <c r="J75" s="900">
        <f>IF('[1]BASE'!DO75=0,"",'[1]BASE'!DO75)</f>
      </c>
      <c r="K75" s="900">
        <f>IF('[1]BASE'!DP75=0,"",'[1]BASE'!DP75)</f>
      </c>
      <c r="L75" s="900">
        <f>IF('[1]BASE'!DQ75=0,"",'[1]BASE'!DQ75)</f>
      </c>
      <c r="M75" s="900">
        <f>IF('[1]BASE'!DR75=0,"",'[1]BASE'!DR75)</f>
      </c>
      <c r="N75" s="900">
        <f>IF('[1]BASE'!DS75=0,"",'[1]BASE'!DS75)</f>
      </c>
      <c r="O75" s="900">
        <f>IF('[1]BASE'!DT75=0,"",'[1]BASE'!DT75)</f>
      </c>
      <c r="P75" s="896">
        <f>IF('[1]BASE'!DU75=0,"",'[1]BASE'!DU75)</f>
      </c>
      <c r="Q75" s="896">
        <f>IF('[1]BASE'!DV75=0,"",'[1]BASE'!DV75)</f>
      </c>
      <c r="R75" s="896">
        <f>IF('[1]BASE'!DW75=0,"",'[1]BASE'!DW75)</f>
      </c>
      <c r="S75" s="896">
        <f>IF('[1]BASE'!DX75=0,"",'[1]BASE'!DX75)</f>
      </c>
      <c r="T75" s="897"/>
      <c r="U75" s="893"/>
    </row>
    <row r="76" spans="2:21" s="887" customFormat="1" ht="19.5" customHeight="1">
      <c r="B76" s="888"/>
      <c r="C76" s="898">
        <f>IF('[1]BASE'!C76=0,"",'[1]BASE'!C76)</f>
        <v>58</v>
      </c>
      <c r="D76" s="898" t="str">
        <f>IF('[1]BASE'!D76=0,"",'[1]BASE'!D76)</f>
        <v>GRAL RODRIGUEZ - RAMALLO</v>
      </c>
      <c r="E76" s="898">
        <f>IF('[1]BASE'!E76=0,"",'[1]BASE'!E76)</f>
        <v>500</v>
      </c>
      <c r="F76" s="899">
        <f>IF('[1]BASE'!F76=0,"",'[1]BASE'!F76)</f>
        <v>183.9</v>
      </c>
      <c r="G76" s="899" t="str">
        <f>IF('[1]BASE'!G76=0,"",'[1]BASE'!G76)</f>
        <v>C</v>
      </c>
      <c r="H76" s="899">
        <f>IF('[1]BASE'!DM76=0,"",'[1]BASE'!DM76)</f>
      </c>
      <c r="I76" s="899">
        <f>IF('[1]BASE'!DN76=0,"",'[1]BASE'!DN76)</f>
      </c>
      <c r="J76" s="899">
        <f>IF('[1]BASE'!DO76=0,"",'[1]BASE'!DO76)</f>
      </c>
      <c r="K76" s="899">
        <f>IF('[1]BASE'!DP76=0,"",'[1]BASE'!DP76)</f>
      </c>
      <c r="L76" s="899">
        <f>IF('[1]BASE'!DQ76=0,"",'[1]BASE'!DQ76)</f>
      </c>
      <c r="M76" s="899">
        <f>IF('[1]BASE'!DR76=0,"",'[1]BASE'!DR76)</f>
      </c>
      <c r="N76" s="899">
        <f>IF('[1]BASE'!DS76=0,"",'[1]BASE'!DS76)</f>
      </c>
      <c r="O76" s="899">
        <f>IF('[1]BASE'!DT76=0,"",'[1]BASE'!DT76)</f>
      </c>
      <c r="P76" s="896">
        <f>IF('[1]BASE'!DU76=0,"",'[1]BASE'!DU76)</f>
      </c>
      <c r="Q76" s="896">
        <f>IF('[1]BASE'!DV76=0,"",'[1]BASE'!DV76)</f>
      </c>
      <c r="R76" s="896">
        <f>IF('[1]BASE'!DW76=0,"",'[1]BASE'!DW76)</f>
      </c>
      <c r="S76" s="896">
        <f>IF('[1]BASE'!DX76=0,"",'[1]BASE'!DX76)</f>
      </c>
      <c r="T76" s="897"/>
      <c r="U76" s="893"/>
    </row>
    <row r="77" spans="2:21" s="887" customFormat="1" ht="19.5" customHeight="1">
      <c r="B77" s="888"/>
      <c r="C77" s="900">
        <f>IF('[1]BASE'!C77=0,"",'[1]BASE'!C77)</f>
        <v>59</v>
      </c>
      <c r="D77" s="900" t="str">
        <f>IF('[1]BASE'!D77=0,"",'[1]BASE'!D77)</f>
        <v>RAMALLO - ROSARIO OESTE</v>
      </c>
      <c r="E77" s="900">
        <f>IF('[1]BASE'!E77=0,"",'[1]BASE'!E77)</f>
        <v>500</v>
      </c>
      <c r="F77" s="901">
        <f>IF('[1]BASE'!F77=0,"",'[1]BASE'!F77)</f>
        <v>77</v>
      </c>
      <c r="G77" s="901" t="str">
        <f>IF('[1]BASE'!G77=0,"",'[1]BASE'!G77)</f>
        <v>C</v>
      </c>
      <c r="H77" s="901">
        <f>IF('[1]BASE'!DM77=0,"",'[1]BASE'!DM77)</f>
      </c>
      <c r="I77" s="901">
        <f>IF('[1]BASE'!DN77=0,"",'[1]BASE'!DN77)</f>
        <v>1</v>
      </c>
      <c r="J77" s="901">
        <f>IF('[1]BASE'!DO77=0,"",'[1]BASE'!DO77)</f>
      </c>
      <c r="K77" s="901">
        <f>IF('[1]BASE'!DP77=0,"",'[1]BASE'!DP77)</f>
      </c>
      <c r="L77" s="901">
        <f>IF('[1]BASE'!DQ77=0,"",'[1]BASE'!DQ77)</f>
      </c>
      <c r="M77" s="901">
        <f>IF('[1]BASE'!DR77=0,"",'[1]BASE'!DR77)</f>
      </c>
      <c r="N77" s="901">
        <f>IF('[1]BASE'!DS77=0,"",'[1]BASE'!DS77)</f>
      </c>
      <c r="O77" s="901">
        <f>IF('[1]BASE'!DT77=0,"",'[1]BASE'!DT77)</f>
      </c>
      <c r="P77" s="896">
        <f>IF('[1]BASE'!DU77=0,"",'[1]BASE'!DU77)</f>
      </c>
      <c r="Q77" s="896">
        <f>IF('[1]BASE'!DV77=0,"",'[1]BASE'!DV77)</f>
      </c>
      <c r="R77" s="896">
        <f>IF('[1]BASE'!DW77=0,"",'[1]BASE'!DW77)</f>
        <v>1</v>
      </c>
      <c r="S77" s="896">
        <f>IF('[1]BASE'!DX77=0,"",'[1]BASE'!DX77)</f>
      </c>
      <c r="T77" s="897"/>
      <c r="U77" s="893"/>
    </row>
    <row r="78" spans="2:21" s="887" customFormat="1" ht="19.5" customHeight="1">
      <c r="B78" s="888"/>
      <c r="C78" s="898">
        <f>IF('[1]BASE'!C78=0,"",'[1]BASE'!C78)</f>
        <v>60</v>
      </c>
      <c r="D78" s="898" t="str">
        <f>IF('[1]BASE'!D78=0,"",'[1]BASE'!D78)</f>
        <v>MACACHIN - HENDERSON</v>
      </c>
      <c r="E78" s="898">
        <f>IF('[1]BASE'!E78=0,"",'[1]BASE'!E78)</f>
        <v>500</v>
      </c>
      <c r="F78" s="899">
        <f>IF('[1]BASE'!F78=0,"",'[1]BASE'!F78)</f>
        <v>194</v>
      </c>
      <c r="G78" s="899" t="str">
        <f>IF('[1]BASE'!G78=0,"",'[1]BASE'!G78)</f>
        <v>A</v>
      </c>
      <c r="H78" s="899">
        <f>IF('[1]BASE'!DM78=0,"",'[1]BASE'!DM78)</f>
      </c>
      <c r="I78" s="899">
        <f>IF('[1]BASE'!DN78=0,"",'[1]BASE'!DN78)</f>
      </c>
      <c r="J78" s="899">
        <f>IF('[1]BASE'!DO78=0,"",'[1]BASE'!DO78)</f>
      </c>
      <c r="K78" s="899">
        <f>IF('[1]BASE'!DP78=0,"",'[1]BASE'!DP78)</f>
      </c>
      <c r="L78" s="899">
        <f>IF('[1]BASE'!DQ78=0,"",'[1]BASE'!DQ78)</f>
      </c>
      <c r="M78" s="899">
        <f>IF('[1]BASE'!DR78=0,"",'[1]BASE'!DR78)</f>
        <v>1</v>
      </c>
      <c r="N78" s="899">
        <f>IF('[1]BASE'!DS78=0,"",'[1]BASE'!DS78)</f>
      </c>
      <c r="O78" s="899">
        <f>IF('[1]BASE'!DT78=0,"",'[1]BASE'!DT78)</f>
      </c>
      <c r="P78" s="896">
        <f>IF('[1]BASE'!DU78=0,"",'[1]BASE'!DU78)</f>
        <v>1</v>
      </c>
      <c r="Q78" s="896">
        <f>IF('[1]BASE'!DV78=0,"",'[1]BASE'!DV78)</f>
      </c>
      <c r="R78" s="896">
        <f>IF('[1]BASE'!DW78=0,"",'[1]BASE'!DW78)</f>
      </c>
      <c r="S78" s="896">
        <f>IF('[1]BASE'!DX78=0,"",'[1]BASE'!DX78)</f>
      </c>
      <c r="T78" s="897"/>
      <c r="U78" s="893"/>
    </row>
    <row r="79" spans="2:21" s="887" customFormat="1" ht="19.5" customHeight="1">
      <c r="B79" s="888"/>
      <c r="C79" s="900">
        <f>IF('[1]BASE'!C79=0,"",'[1]BASE'!C79)</f>
        <v>61</v>
      </c>
      <c r="D79" s="900" t="str">
        <f>IF('[1]BASE'!D79=0,"",'[1]BASE'!D79)</f>
        <v>PUELCHES - MACACHIN</v>
      </c>
      <c r="E79" s="900">
        <f>IF('[1]BASE'!E79=0,"",'[1]BASE'!E79)</f>
        <v>500</v>
      </c>
      <c r="F79" s="900">
        <f>IF('[1]BASE'!F79=0,"",'[1]BASE'!F79)</f>
        <v>227</v>
      </c>
      <c r="G79" s="901" t="str">
        <f>IF('[1]BASE'!G79=0,"",'[1]BASE'!G79)</f>
        <v>A</v>
      </c>
      <c r="H79" s="900">
        <f>IF('[1]BASE'!DM79=0,"",'[1]BASE'!DM79)</f>
      </c>
      <c r="I79" s="900">
        <f>IF('[1]BASE'!DN79=0,"",'[1]BASE'!DN79)</f>
      </c>
      <c r="J79" s="900">
        <f>IF('[1]BASE'!DO79=0,"",'[1]BASE'!DO79)</f>
      </c>
      <c r="K79" s="900">
        <f>IF('[1]BASE'!DP79=0,"",'[1]BASE'!DP79)</f>
      </c>
      <c r="L79" s="900">
        <f>IF('[1]BASE'!DQ79=0,"",'[1]BASE'!DQ79)</f>
      </c>
      <c r="M79" s="900">
        <f>IF('[1]BASE'!DR79=0,"",'[1]BASE'!DR79)</f>
      </c>
      <c r="N79" s="900">
        <f>IF('[1]BASE'!DS79=0,"",'[1]BASE'!DS79)</f>
      </c>
      <c r="O79" s="900">
        <f>IF('[1]BASE'!DT79=0,"",'[1]BASE'!DT79)</f>
      </c>
      <c r="P79" s="896">
        <f>IF('[1]BASE'!DU79=0,"",'[1]BASE'!DU79)</f>
        <v>2</v>
      </c>
      <c r="Q79" s="896">
        <f>IF('[1]BASE'!DV79=0,"",'[1]BASE'!DV79)</f>
      </c>
      <c r="R79" s="896">
        <f>IF('[1]BASE'!DW79=0,"",'[1]BASE'!DW79)</f>
      </c>
      <c r="S79" s="896">
        <f>IF('[1]BASE'!DX79=0,"",'[1]BASE'!DX79)</f>
      </c>
      <c r="T79" s="897"/>
      <c r="U79" s="893"/>
    </row>
    <row r="80" spans="2:21" s="887" customFormat="1" ht="19.5" customHeight="1">
      <c r="B80" s="888"/>
      <c r="C80" s="898">
        <f>IF('[1]BASE'!C80=0,"",'[1]BASE'!C80)</f>
      </c>
      <c r="D80" s="898">
        <f>IF('[1]BASE'!D80=0,"",'[1]BASE'!D80)</f>
      </c>
      <c r="E80" s="898">
        <f>IF('[1]BASE'!E80=0,"",'[1]BASE'!E80)</f>
      </c>
      <c r="F80" s="899">
        <f>IF('[1]BASE'!F80=0,"",'[1]BASE'!F80)</f>
      </c>
      <c r="G80" s="899">
        <f>IF('[1]BASE'!G80=0,"",'[1]BASE'!G80)</f>
      </c>
      <c r="H80" s="899">
        <f>IF('[1]BASE'!DM80=0,"",'[1]BASE'!DM80)</f>
      </c>
      <c r="I80" s="899">
        <f>IF('[1]BASE'!DN80=0,"",'[1]BASE'!DN80)</f>
      </c>
      <c r="J80" s="899">
        <f>IF('[1]BASE'!DO80=0,"",'[1]BASE'!DO80)</f>
      </c>
      <c r="K80" s="899">
        <f>IF('[1]BASE'!DP80=0,"",'[1]BASE'!DP80)</f>
      </c>
      <c r="L80" s="899">
        <f>IF('[1]BASE'!DQ80=0,"",'[1]BASE'!DQ80)</f>
      </c>
      <c r="M80" s="899">
        <f>IF('[1]BASE'!DR80=0,"",'[1]BASE'!DR80)</f>
      </c>
      <c r="N80" s="899">
        <f>IF('[1]BASE'!DS80=0,"",'[1]BASE'!DS80)</f>
      </c>
      <c r="O80" s="899">
        <f>IF('[1]BASE'!DT80=0,"",'[1]BASE'!DT80)</f>
      </c>
      <c r="P80" s="896">
        <f>IF('[1]BASE'!DU80=0,"",'[1]BASE'!DU80)</f>
      </c>
      <c r="Q80" s="896">
        <f>IF('[1]BASE'!DV80=0,"",'[1]BASE'!DV80)</f>
      </c>
      <c r="R80" s="896">
        <f>IF('[1]BASE'!DW80=0,"",'[1]BASE'!DW80)</f>
      </c>
      <c r="S80" s="896">
        <f>IF('[1]BASE'!DX80=0,"",'[1]BASE'!DX80)</f>
      </c>
      <c r="T80" s="897"/>
      <c r="U80" s="893"/>
    </row>
    <row r="81" spans="2:21" s="887" customFormat="1" ht="19.5" customHeight="1">
      <c r="B81" s="888"/>
      <c r="C81" s="900">
        <f>IF('[1]BASE'!C81=0,"",'[1]BASE'!C81)</f>
      </c>
      <c r="D81" s="900">
        <f>IF('[1]BASE'!D81=0,"",'[1]BASE'!D81)</f>
      </c>
      <c r="E81" s="900">
        <f>IF('[1]BASE'!E81=0,"",'[1]BASE'!E81)</f>
      </c>
      <c r="F81" s="901">
        <f>IF('[1]BASE'!F81=0,"",'[1]BASE'!F81)</f>
      </c>
      <c r="G81" s="901">
        <f>IF('[1]BASE'!G81=0,"",'[1]BASE'!G81)</f>
      </c>
      <c r="H81" s="901">
        <f>IF('[1]BASE'!DM81=0,"",'[1]BASE'!DM81)</f>
      </c>
      <c r="I81" s="901">
        <f>IF('[1]BASE'!DN81=0,"",'[1]BASE'!DN81)</f>
      </c>
      <c r="J81" s="901">
        <f>IF('[1]BASE'!DO81=0,"",'[1]BASE'!DO81)</f>
      </c>
      <c r="K81" s="901">
        <f>IF('[1]BASE'!DP81=0,"",'[1]BASE'!DP81)</f>
      </c>
      <c r="L81" s="901">
        <f>IF('[1]BASE'!DQ81=0,"",'[1]BASE'!DQ81)</f>
      </c>
      <c r="M81" s="901">
        <f>IF('[1]BASE'!DR81=0,"",'[1]BASE'!DR81)</f>
      </c>
      <c r="N81" s="901">
        <f>IF('[1]BASE'!DS81=0,"",'[1]BASE'!DS81)</f>
      </c>
      <c r="O81" s="901">
        <f>IF('[1]BASE'!DT81=0,"",'[1]BASE'!DT81)</f>
      </c>
      <c r="P81" s="896">
        <f>IF('[1]BASE'!DU81=0,"",'[1]BASE'!DU81)</f>
      </c>
      <c r="Q81" s="896">
        <f>IF('[1]BASE'!DV81=0,"",'[1]BASE'!DV81)</f>
      </c>
      <c r="R81" s="896">
        <f>IF('[1]BASE'!DW81=0,"",'[1]BASE'!DW81)</f>
      </c>
      <c r="S81" s="896">
        <f>IF('[1]BASE'!DX81=0,"",'[1]BASE'!DX81)</f>
      </c>
      <c r="T81" s="897"/>
      <c r="U81" s="893"/>
    </row>
    <row r="82" spans="2:21" s="887" customFormat="1" ht="19.5" customHeight="1">
      <c r="B82" s="888"/>
      <c r="C82" s="898">
        <f>IF('[1]BASE'!C82=0,"",'[1]BASE'!C82)</f>
        <v>62</v>
      </c>
      <c r="D82" s="898" t="str">
        <f>IF('[1]BASE'!D82=0,"",'[1]BASE'!D82)</f>
        <v>YACYRETÁ - RINCON I</v>
      </c>
      <c r="E82" s="898">
        <f>IF('[1]BASE'!E82=0,"",'[1]BASE'!E82)</f>
        <v>500</v>
      </c>
      <c r="F82" s="899">
        <f>IF('[1]BASE'!F82=0,"",'[1]BASE'!F82)</f>
        <v>3.6</v>
      </c>
      <c r="G82" s="899" t="str">
        <f>IF('[1]BASE'!G82=0,"",'[1]BASE'!G82)</f>
        <v>B</v>
      </c>
      <c r="H82" s="899">
        <f>IF('[1]BASE'!DM82=0,"",'[1]BASE'!DM82)</f>
      </c>
      <c r="I82" s="899">
        <f>IF('[1]BASE'!DN82=0,"",'[1]BASE'!DN82)</f>
      </c>
      <c r="J82" s="899">
        <f>IF('[1]BASE'!DO82=0,"",'[1]BASE'!DO82)</f>
      </c>
      <c r="K82" s="899">
        <f>IF('[1]BASE'!DP82=0,"",'[1]BASE'!DP82)</f>
      </c>
      <c r="L82" s="899">
        <f>IF('[1]BASE'!DQ82=0,"",'[1]BASE'!DQ82)</f>
      </c>
      <c r="M82" s="899">
        <f>IF('[1]BASE'!DR82=0,"",'[1]BASE'!DR82)</f>
      </c>
      <c r="N82" s="899">
        <f>IF('[1]BASE'!DS82=0,"",'[1]BASE'!DS82)</f>
      </c>
      <c r="O82" s="899">
        <f>IF('[1]BASE'!DT82=0,"",'[1]BASE'!DT82)</f>
      </c>
      <c r="P82" s="896">
        <f>IF('[1]BASE'!DU82=0,"",'[1]BASE'!DU82)</f>
      </c>
      <c r="Q82" s="896">
        <f>IF('[1]BASE'!DV82=0,"",'[1]BASE'!DV82)</f>
      </c>
      <c r="R82" s="896">
        <f>IF('[1]BASE'!DW82=0,"",'[1]BASE'!DW82)</f>
      </c>
      <c r="S82" s="896">
        <f>IF('[1]BASE'!DX82=0,"",'[1]BASE'!DX82)</f>
      </c>
      <c r="T82" s="897"/>
      <c r="U82" s="893"/>
    </row>
    <row r="83" spans="2:21" s="887" customFormat="1" ht="19.5" customHeight="1">
      <c r="B83" s="888"/>
      <c r="C83" s="900">
        <f>IF('[1]BASE'!C83=0,"",'[1]BASE'!C83)</f>
        <v>63</v>
      </c>
      <c r="D83" s="900" t="str">
        <f>IF('[1]BASE'!D83=0,"",'[1]BASE'!D83)</f>
        <v>YACYRETÁ - RINCON II</v>
      </c>
      <c r="E83" s="900">
        <f>IF('[1]BASE'!E83=0,"",'[1]BASE'!E83)</f>
        <v>500</v>
      </c>
      <c r="F83" s="900">
        <f>IF('[1]BASE'!F83=0,"",'[1]BASE'!F83)</f>
        <v>3.6</v>
      </c>
      <c r="G83" s="901" t="str">
        <f>IF('[1]BASE'!G83=0,"",'[1]BASE'!G83)</f>
        <v>B</v>
      </c>
      <c r="H83" s="900">
        <f>IF('[1]BASE'!DM83=0,"",'[1]BASE'!DM83)</f>
      </c>
      <c r="I83" s="900">
        <f>IF('[1]BASE'!DN83=0,"",'[1]BASE'!DN83)</f>
      </c>
      <c r="J83" s="900">
        <f>IF('[1]BASE'!DO83=0,"",'[1]BASE'!DO83)</f>
      </c>
      <c r="K83" s="900">
        <f>IF('[1]BASE'!DP83=0,"",'[1]BASE'!DP83)</f>
      </c>
      <c r="L83" s="900">
        <f>IF('[1]BASE'!DQ83=0,"",'[1]BASE'!DQ83)</f>
      </c>
      <c r="M83" s="900">
        <f>IF('[1]BASE'!DR83=0,"",'[1]BASE'!DR83)</f>
      </c>
      <c r="N83" s="900">
        <f>IF('[1]BASE'!DS83=0,"",'[1]BASE'!DS83)</f>
      </c>
      <c r="O83" s="900">
        <f>IF('[1]BASE'!DT83=0,"",'[1]BASE'!DT83)</f>
      </c>
      <c r="P83" s="896">
        <f>IF('[1]BASE'!DU83=0,"",'[1]BASE'!DU83)</f>
      </c>
      <c r="Q83" s="896">
        <f>IF('[1]BASE'!DV83=0,"",'[1]BASE'!DV83)</f>
      </c>
      <c r="R83" s="896">
        <f>IF('[1]BASE'!DW83=0,"",'[1]BASE'!DW83)</f>
      </c>
      <c r="S83" s="896">
        <f>IF('[1]BASE'!DX83=0,"",'[1]BASE'!DX83)</f>
      </c>
      <c r="T83" s="897"/>
      <c r="U83" s="893"/>
    </row>
    <row r="84" spans="2:21" s="887" customFormat="1" ht="19.5" customHeight="1">
      <c r="B84" s="888"/>
      <c r="C84" s="898">
        <f>IF('[1]BASE'!C84=0,"",'[1]BASE'!C84)</f>
        <v>64</v>
      </c>
      <c r="D84" s="898" t="str">
        <f>IF('[1]BASE'!D84=0,"",'[1]BASE'!D84)</f>
        <v>YACYRETÁ - RINCON III</v>
      </c>
      <c r="E84" s="898">
        <f>IF('[1]BASE'!E84=0,"",'[1]BASE'!E84)</f>
        <v>500</v>
      </c>
      <c r="F84" s="899">
        <f>IF('[1]BASE'!F84=0,"",'[1]BASE'!F84)</f>
        <v>3.6</v>
      </c>
      <c r="G84" s="899" t="str">
        <f>IF('[1]BASE'!G84=0,"",'[1]BASE'!G84)</f>
        <v>B</v>
      </c>
      <c r="H84" s="899">
        <f>IF('[1]BASE'!DM84=0,"",'[1]BASE'!DM84)</f>
      </c>
      <c r="I84" s="899">
        <f>IF('[1]BASE'!DN84=0,"",'[1]BASE'!DN84)</f>
      </c>
      <c r="J84" s="899">
        <f>IF('[1]BASE'!DO84=0,"",'[1]BASE'!DO84)</f>
      </c>
      <c r="K84" s="899">
        <f>IF('[1]BASE'!DP84=0,"",'[1]BASE'!DP84)</f>
      </c>
      <c r="L84" s="899">
        <f>IF('[1]BASE'!DQ84=0,"",'[1]BASE'!DQ84)</f>
      </c>
      <c r="M84" s="899">
        <f>IF('[1]BASE'!DR84=0,"",'[1]BASE'!DR84)</f>
      </c>
      <c r="N84" s="899">
        <f>IF('[1]BASE'!DS84=0,"",'[1]BASE'!DS84)</f>
      </c>
      <c r="O84" s="899">
        <f>IF('[1]BASE'!DT84=0,"",'[1]BASE'!DT84)</f>
      </c>
      <c r="P84" s="896">
        <f>IF('[1]BASE'!DU84=0,"",'[1]BASE'!DU84)</f>
      </c>
      <c r="Q84" s="896">
        <f>IF('[1]BASE'!DV84=0,"",'[1]BASE'!DV84)</f>
      </c>
      <c r="R84" s="896">
        <f>IF('[1]BASE'!DW84=0,"",'[1]BASE'!DW84)</f>
      </c>
      <c r="S84" s="896">
        <f>IF('[1]BASE'!DX84=0,"",'[1]BASE'!DX84)</f>
      </c>
      <c r="T84" s="897"/>
      <c r="U84" s="893"/>
    </row>
    <row r="85" spans="2:21" s="887" customFormat="1" ht="19.5" customHeight="1">
      <c r="B85" s="888"/>
      <c r="C85" s="900">
        <f>IF('[1]BASE'!C85=0,"",'[1]BASE'!C85)</f>
        <v>65</v>
      </c>
      <c r="D85" s="900" t="str">
        <f>IF('[1]BASE'!D85=0,"",'[1]BASE'!D85)</f>
        <v>RINCON - PASO DE LA PATRIA</v>
      </c>
      <c r="E85" s="900">
        <f>IF('[1]BASE'!E85=0,"",'[1]BASE'!E85)</f>
        <v>500</v>
      </c>
      <c r="F85" s="901">
        <f>IF('[1]BASE'!F85=0,"",'[1]BASE'!F85)</f>
        <v>227</v>
      </c>
      <c r="G85" s="901" t="str">
        <f>IF('[1]BASE'!G85=0,"",'[1]BASE'!G85)</f>
        <v>A</v>
      </c>
      <c r="H85" s="901">
        <f>IF('[1]BASE'!DM85=0,"",'[1]BASE'!DM85)</f>
      </c>
      <c r="I85" s="901">
        <f>IF('[1]BASE'!DN85=0,"",'[1]BASE'!DN85)</f>
      </c>
      <c r="J85" s="901">
        <f>IF('[1]BASE'!DO85=0,"",'[1]BASE'!DO85)</f>
      </c>
      <c r="K85" s="901">
        <f>IF('[1]BASE'!DP85=0,"",'[1]BASE'!DP85)</f>
      </c>
      <c r="L85" s="901">
        <f>IF('[1]BASE'!DQ85=0,"",'[1]BASE'!DQ85)</f>
      </c>
      <c r="M85" s="901">
        <f>IF('[1]BASE'!DR85=0,"",'[1]BASE'!DR85)</f>
      </c>
      <c r="N85" s="901">
        <f>IF('[1]BASE'!DS85=0,"",'[1]BASE'!DS85)</f>
      </c>
      <c r="O85" s="901">
        <f>IF('[1]BASE'!DT85=0,"",'[1]BASE'!DT85)</f>
      </c>
      <c r="P85" s="896">
        <f>IF('[1]BASE'!DU85=0,"",'[1]BASE'!DU85)</f>
      </c>
      <c r="Q85" s="896">
        <f>IF('[1]BASE'!DV85=0,"",'[1]BASE'!DV85)</f>
      </c>
      <c r="R85" s="896">
        <f>IF('[1]BASE'!DW85=0,"",'[1]BASE'!DW85)</f>
      </c>
      <c r="S85" s="896">
        <f>IF('[1]BASE'!DX85=0,"",'[1]BASE'!DX85)</f>
      </c>
      <c r="T85" s="897"/>
      <c r="U85" s="893"/>
    </row>
    <row r="86" spans="2:21" s="887" customFormat="1" ht="19.5" customHeight="1">
      <c r="B86" s="888"/>
      <c r="C86" s="898">
        <f>IF('[1]BASE'!C86=0,"",'[1]BASE'!C86)</f>
        <v>66</v>
      </c>
      <c r="D86" s="898" t="str">
        <f>IF('[1]BASE'!D86=0,"",'[1]BASE'!D86)</f>
        <v>PASO DE LA PATRIA - RESISTENCIA</v>
      </c>
      <c r="E86" s="898">
        <f>IF('[1]BASE'!E86=0,"",'[1]BASE'!E86)</f>
        <v>500</v>
      </c>
      <c r="F86" s="899">
        <f>IF('[1]BASE'!F86=0,"",'[1]BASE'!F86)</f>
        <v>40</v>
      </c>
      <c r="G86" s="899" t="str">
        <f>IF('[1]BASE'!G86=0,"",'[1]BASE'!G86)</f>
        <v>C</v>
      </c>
      <c r="H86" s="899">
        <f>IF('[1]BASE'!DM86=0,"",'[1]BASE'!DM86)</f>
      </c>
      <c r="I86" s="899">
        <f>IF('[1]BASE'!DN86=0,"",'[1]BASE'!DN86)</f>
      </c>
      <c r="J86" s="899">
        <f>IF('[1]BASE'!DO86=0,"",'[1]BASE'!DO86)</f>
      </c>
      <c r="K86" s="899">
        <f>IF('[1]BASE'!DP86=0,"",'[1]BASE'!DP86)</f>
      </c>
      <c r="L86" s="899">
        <f>IF('[1]BASE'!DQ86=0,"",'[1]BASE'!DQ86)</f>
      </c>
      <c r="M86" s="899">
        <f>IF('[1]BASE'!DR86=0,"",'[1]BASE'!DR86)</f>
      </c>
      <c r="N86" s="899">
        <f>IF('[1]BASE'!DS86=0,"",'[1]BASE'!DS86)</f>
      </c>
      <c r="O86" s="899">
        <f>IF('[1]BASE'!DT86=0,"",'[1]BASE'!DT86)</f>
      </c>
      <c r="P86" s="896">
        <f>IF('[1]BASE'!DU86=0,"",'[1]BASE'!DU86)</f>
      </c>
      <c r="Q86" s="896">
        <f>IF('[1]BASE'!DV86=0,"",'[1]BASE'!DV86)</f>
      </c>
      <c r="R86" s="896">
        <f>IF('[1]BASE'!DW86=0,"",'[1]BASE'!DW86)</f>
        <v>1</v>
      </c>
      <c r="S86" s="896">
        <f>IF('[1]BASE'!DX86=0,"",'[1]BASE'!DX86)</f>
      </c>
      <c r="T86" s="897"/>
      <c r="U86" s="893"/>
    </row>
    <row r="87" spans="2:21" s="887" customFormat="1" ht="19.5" customHeight="1">
      <c r="B87" s="888"/>
      <c r="C87" s="900">
        <f>IF('[1]BASE'!C87=0,"",'[1]BASE'!C87)</f>
        <v>67</v>
      </c>
      <c r="D87" s="900" t="str">
        <f>IF('[1]BASE'!D87=0,"",'[1]BASE'!D87)</f>
        <v>RINCON - RESISTENCIA</v>
      </c>
      <c r="E87" s="900">
        <f>IF('[1]BASE'!E87=0,"",'[1]BASE'!E87)</f>
        <v>500</v>
      </c>
      <c r="F87" s="900">
        <f>IF('[1]BASE'!F87=0,"",'[1]BASE'!F87)</f>
        <v>267</v>
      </c>
      <c r="G87" s="901" t="str">
        <f>IF('[1]BASE'!G87=0,"",'[1]BASE'!G87)</f>
        <v>B</v>
      </c>
      <c r="H87" s="900" t="str">
        <f>IF('[1]BASE'!DM87=0,"",'[1]BASE'!DM87)</f>
        <v>XXXX</v>
      </c>
      <c r="I87" s="900" t="str">
        <f>IF('[1]BASE'!DN87=0,"",'[1]BASE'!DN87)</f>
        <v>XXXX</v>
      </c>
      <c r="J87" s="900" t="str">
        <f>IF('[1]BASE'!DO87=0,"",'[1]BASE'!DO87)</f>
        <v>XXXX</v>
      </c>
      <c r="K87" s="900" t="str">
        <f>IF('[1]BASE'!DP87=0,"",'[1]BASE'!DP87)</f>
        <v>XXXX</v>
      </c>
      <c r="L87" s="900" t="str">
        <f>IF('[1]BASE'!DQ87=0,"",'[1]BASE'!DQ87)</f>
        <v>XXXX</v>
      </c>
      <c r="M87" s="900" t="str">
        <f>IF('[1]BASE'!DR87=0,"",'[1]BASE'!DR87)</f>
        <v>XXXX</v>
      </c>
      <c r="N87" s="900" t="str">
        <f>IF('[1]BASE'!DS87=0,"",'[1]BASE'!DS87)</f>
        <v>XXXX</v>
      </c>
      <c r="O87" s="900" t="str">
        <f>IF('[1]BASE'!DT87=0,"",'[1]BASE'!DT87)</f>
        <v>XXXX</v>
      </c>
      <c r="P87" s="896" t="str">
        <f>IF('[1]BASE'!DU87=0,"",'[1]BASE'!DU87)</f>
        <v>XXXX</v>
      </c>
      <c r="Q87" s="896" t="str">
        <f>IF('[1]BASE'!DV87=0,"",'[1]BASE'!DV87)</f>
        <v>XXXX</v>
      </c>
      <c r="R87" s="896" t="str">
        <f>IF('[1]BASE'!DW87=0,"",'[1]BASE'!DW87)</f>
        <v>XXXX</v>
      </c>
      <c r="S87" s="896" t="str">
        <f>IF('[1]BASE'!DX87=0,"",'[1]BASE'!DX87)</f>
        <v>XXXX</v>
      </c>
      <c r="T87" s="897"/>
      <c r="U87" s="893"/>
    </row>
    <row r="88" spans="2:21" s="887" customFormat="1" ht="19.5" customHeight="1">
      <c r="B88" s="888"/>
      <c r="C88" s="898">
        <f>IF('[1]BASE'!C88=0,"",'[1]BASE'!C88)</f>
      </c>
      <c r="D88" s="898">
        <f>IF('[1]BASE'!D88=0,"",'[1]BASE'!D88)</f>
      </c>
      <c r="E88" s="898">
        <f>IF('[1]BASE'!E88=0,"",'[1]BASE'!E88)</f>
      </c>
      <c r="F88" s="899">
        <f>IF('[1]BASE'!F88=0,"",'[1]BASE'!F88)</f>
      </c>
      <c r="G88" s="899">
        <f>IF('[1]BASE'!G88=0,"",'[1]BASE'!G88)</f>
      </c>
      <c r="H88" s="899">
        <f>IF('[1]BASE'!DM88=0,"",'[1]BASE'!DM88)</f>
      </c>
      <c r="I88" s="899">
        <f>IF('[1]BASE'!DN88=0,"",'[1]BASE'!DN88)</f>
      </c>
      <c r="J88" s="899">
        <f>IF('[1]BASE'!DO88=0,"",'[1]BASE'!DO88)</f>
      </c>
      <c r="K88" s="899">
        <f>IF('[1]BASE'!DP88=0,"",'[1]BASE'!DP88)</f>
      </c>
      <c r="L88" s="899">
        <f>IF('[1]BASE'!DQ88=0,"",'[1]BASE'!DQ88)</f>
      </c>
      <c r="M88" s="899">
        <f>IF('[1]BASE'!DR88=0,"",'[1]BASE'!DR88)</f>
      </c>
      <c r="N88" s="899">
        <f>IF('[1]BASE'!DS88=0,"",'[1]BASE'!DS88)</f>
      </c>
      <c r="O88" s="899">
        <f>IF('[1]BASE'!DT88=0,"",'[1]BASE'!DT88)</f>
      </c>
      <c r="P88" s="896">
        <f>IF('[1]BASE'!DU88=0,"",'[1]BASE'!DU88)</f>
      </c>
      <c r="Q88" s="896">
        <f>IF('[1]BASE'!DV88=0,"",'[1]BASE'!DV88)</f>
      </c>
      <c r="R88" s="896">
        <f>IF('[1]BASE'!DW88=0,"",'[1]BASE'!DW88)</f>
      </c>
      <c r="S88" s="896">
        <f>IF('[1]BASE'!DX88=0,"",'[1]BASE'!DX88)</f>
      </c>
      <c r="T88" s="897"/>
      <c r="U88" s="893"/>
    </row>
    <row r="89" spans="2:21" s="887" customFormat="1" ht="19.5" customHeight="1">
      <c r="B89" s="888"/>
      <c r="C89" s="900">
        <f>IF('[1]BASE'!C89=0,"",'[1]BASE'!C89)</f>
        <v>68</v>
      </c>
      <c r="D89" s="900" t="str">
        <f>IF('[1]BASE'!D89=0,"",'[1]BASE'!D89)</f>
        <v>RINCON - SALTO GRANDE</v>
      </c>
      <c r="E89" s="900">
        <f>IF('[1]BASE'!E89=0,"",'[1]BASE'!E89)</f>
        <v>500</v>
      </c>
      <c r="F89" s="901">
        <f>IF('[1]BASE'!F89=0,"",'[1]BASE'!F89)</f>
        <v>506</v>
      </c>
      <c r="G89" s="901" t="str">
        <f>IF('[1]BASE'!G89=0,"",'[1]BASE'!G89)</f>
        <v>A</v>
      </c>
      <c r="H89" s="901">
        <f>IF('[1]BASE'!DM89=0,"",'[1]BASE'!DM89)</f>
      </c>
      <c r="I89" s="901">
        <f>IF('[1]BASE'!DN89=0,"",'[1]BASE'!DN89)</f>
      </c>
      <c r="J89" s="901">
        <f>IF('[1]BASE'!DO89=0,"",'[1]BASE'!DO89)</f>
      </c>
      <c r="K89" s="901">
        <f>IF('[1]BASE'!DP89=0,"",'[1]BASE'!DP89)</f>
      </c>
      <c r="L89" s="901">
        <f>IF('[1]BASE'!DQ89=0,"",'[1]BASE'!DQ89)</f>
      </c>
      <c r="M89" s="901">
        <f>IF('[1]BASE'!DR89=0,"",'[1]BASE'!DR89)</f>
      </c>
      <c r="N89" s="901">
        <f>IF('[1]BASE'!DS89=0,"",'[1]BASE'!DS89)</f>
      </c>
      <c r="O89" s="901">
        <f>IF('[1]BASE'!DT89=0,"",'[1]BASE'!DT89)</f>
      </c>
      <c r="P89" s="896">
        <f>IF('[1]BASE'!DU89=0,"",'[1]BASE'!DU89)</f>
      </c>
      <c r="Q89" s="896">
        <f>IF('[1]BASE'!DV89=0,"",'[1]BASE'!DV89)</f>
        <v>1</v>
      </c>
      <c r="R89" s="896">
        <f>IF('[1]BASE'!DW89=0,"",'[1]BASE'!DW89)</f>
      </c>
      <c r="S89" s="896">
        <f>IF('[1]BASE'!DX89=0,"",'[1]BASE'!DX89)</f>
      </c>
      <c r="T89" s="897"/>
      <c r="U89" s="893"/>
    </row>
    <row r="90" spans="2:21" s="887" customFormat="1" ht="19.5" customHeight="1">
      <c r="B90" s="888"/>
      <c r="C90" s="898">
        <f>IF('[1]BASE'!C90=0,"",'[1]BASE'!C90)</f>
        <v>69</v>
      </c>
      <c r="D90" s="898" t="str">
        <f>IF('[1]BASE'!D90=0,"",'[1]BASE'!D90)</f>
        <v>RINCON - SAN ISIDRO</v>
      </c>
      <c r="E90" s="898">
        <f>IF('[1]BASE'!E90=0,"",'[1]BASE'!E90)</f>
        <v>500</v>
      </c>
      <c r="F90" s="899">
        <f>IF('[1]BASE'!F90=0,"",'[1]BASE'!F90)</f>
        <v>85</v>
      </c>
      <c r="G90" s="899" t="str">
        <f>IF('[1]BASE'!G90=0,"",'[1]BASE'!G90)</f>
        <v>C</v>
      </c>
      <c r="H90" s="899">
        <f>IF('[1]BASE'!DM90=0,"",'[1]BASE'!DM90)</f>
      </c>
      <c r="I90" s="899">
        <f>IF('[1]BASE'!DN90=0,"",'[1]BASE'!DN90)</f>
      </c>
      <c r="J90" s="899">
        <f>IF('[1]BASE'!DO90=0,"",'[1]BASE'!DO90)</f>
      </c>
      <c r="K90" s="899">
        <f>IF('[1]BASE'!DP90=0,"",'[1]BASE'!DP90)</f>
      </c>
      <c r="L90" s="899">
        <f>IF('[1]BASE'!DQ90=0,"",'[1]BASE'!DQ90)</f>
      </c>
      <c r="M90" s="899">
        <f>IF('[1]BASE'!DR90=0,"",'[1]BASE'!DR90)</f>
      </c>
      <c r="N90" s="899">
        <f>IF('[1]BASE'!DS90=0,"",'[1]BASE'!DS90)</f>
      </c>
      <c r="O90" s="899">
        <f>IF('[1]BASE'!DT90=0,"",'[1]BASE'!DT90)</f>
      </c>
      <c r="P90" s="896">
        <f>IF('[1]BASE'!DU90=0,"",'[1]BASE'!DU90)</f>
      </c>
      <c r="Q90" s="896">
        <f>IF('[1]BASE'!DV90=0,"",'[1]BASE'!DV90)</f>
      </c>
      <c r="R90" s="896">
        <f>IF('[1]BASE'!DW90=0,"",'[1]BASE'!DW90)</f>
      </c>
      <c r="S90" s="896">
        <f>IF('[1]BASE'!DX90=0,"",'[1]BASE'!DX90)</f>
      </c>
      <c r="T90" s="897"/>
      <c r="U90" s="893"/>
    </row>
    <row r="91" spans="2:21" s="887" customFormat="1" ht="19.5" customHeight="1">
      <c r="B91" s="888"/>
      <c r="C91" s="900">
        <f>IF('[1]BASE'!C91=0,"",'[1]BASE'!C91)</f>
      </c>
      <c r="D91" s="900">
        <f>IF('[1]BASE'!D91=0,"",'[1]BASE'!D91)</f>
      </c>
      <c r="E91" s="900">
        <f>IF('[1]BASE'!E91=0,"",'[1]BASE'!E91)</f>
      </c>
      <c r="F91" s="900">
        <f>IF('[1]BASE'!F91=0,"",'[1]BASE'!F91)</f>
      </c>
      <c r="G91" s="901">
        <f>IF('[1]BASE'!G91=0,"",'[1]BASE'!G91)</f>
      </c>
      <c r="H91" s="900">
        <f>IF('[1]BASE'!DM91=0,"",'[1]BASE'!DM91)</f>
      </c>
      <c r="I91" s="900">
        <f>IF('[1]BASE'!DN91=0,"",'[1]BASE'!DN91)</f>
      </c>
      <c r="J91" s="900">
        <f>IF('[1]BASE'!DO91=0,"",'[1]BASE'!DO91)</f>
      </c>
      <c r="K91" s="900">
        <f>IF('[1]BASE'!DP91=0,"",'[1]BASE'!DP91)</f>
      </c>
      <c r="L91" s="900">
        <f>IF('[1]BASE'!DQ91=0,"",'[1]BASE'!DQ91)</f>
      </c>
      <c r="M91" s="900">
        <f>IF('[1]BASE'!DR91=0,"",'[1]BASE'!DR91)</f>
      </c>
      <c r="N91" s="900">
        <f>IF('[1]BASE'!DS91=0,"",'[1]BASE'!DS91)</f>
      </c>
      <c r="O91" s="900">
        <f>IF('[1]BASE'!DT91=0,"",'[1]BASE'!DT91)</f>
      </c>
      <c r="P91" s="896">
        <f>IF('[1]BASE'!DU91=0,"",'[1]BASE'!DU91)</f>
      </c>
      <c r="Q91" s="896">
        <f>IF('[1]BASE'!DV91=0,"",'[1]BASE'!DV91)</f>
      </c>
      <c r="R91" s="896">
        <f>IF('[1]BASE'!DW91=0,"",'[1]BASE'!DW91)</f>
      </c>
      <c r="S91" s="896">
        <f>IF('[1]BASE'!DX91=0,"",'[1]BASE'!DX91)</f>
      </c>
      <c r="T91" s="897"/>
      <c r="U91" s="893"/>
    </row>
    <row r="92" spans="2:21" s="887" customFormat="1" ht="19.5" customHeight="1" thickBot="1">
      <c r="B92" s="888"/>
      <c r="C92" s="902"/>
      <c r="D92" s="902"/>
      <c r="E92" s="902"/>
      <c r="F92" s="902"/>
      <c r="G92" s="903"/>
      <c r="H92" s="902"/>
      <c r="I92" s="902"/>
      <c r="J92" s="902"/>
      <c r="K92" s="902"/>
      <c r="L92" s="902"/>
      <c r="M92" s="902"/>
      <c r="N92" s="902"/>
      <c r="O92" s="902"/>
      <c r="P92" s="904"/>
      <c r="Q92" s="904"/>
      <c r="R92" s="904"/>
      <c r="S92" s="904"/>
      <c r="T92" s="897"/>
      <c r="U92" s="893"/>
    </row>
    <row r="93" spans="2:21" s="887" customFormat="1" ht="19.5" customHeight="1" thickBot="1" thickTop="1">
      <c r="B93" s="888"/>
      <c r="C93" s="905"/>
      <c r="D93" s="906"/>
      <c r="E93" s="907" t="s">
        <v>238</v>
      </c>
      <c r="F93" s="908">
        <f>SUM(F16:F92)-F46-F57-F78-F79-F87</f>
        <v>9666.7</v>
      </c>
      <c r="G93" s="909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1"/>
      <c r="T93" s="897"/>
      <c r="U93" s="893"/>
    </row>
    <row r="94" spans="2:21" s="887" customFormat="1" ht="19.5" customHeight="1" thickBot="1" thickTop="1">
      <c r="B94" s="888"/>
      <c r="C94" s="912"/>
      <c r="D94" s="913"/>
      <c r="E94" s="914"/>
      <c r="F94" s="915" t="s">
        <v>239</v>
      </c>
      <c r="H94" s="916">
        <f aca="true" t="shared" si="0" ref="H94:S94">SUM(H17:H92)</f>
        <v>4</v>
      </c>
      <c r="I94" s="916">
        <f t="shared" si="0"/>
        <v>3</v>
      </c>
      <c r="J94" s="916">
        <f t="shared" si="0"/>
        <v>10</v>
      </c>
      <c r="K94" s="916">
        <f t="shared" si="0"/>
        <v>3</v>
      </c>
      <c r="L94" s="916">
        <f t="shared" si="0"/>
        <v>2</v>
      </c>
      <c r="M94" s="916">
        <f t="shared" si="0"/>
        <v>3</v>
      </c>
      <c r="N94" s="916">
        <f t="shared" si="0"/>
        <v>5</v>
      </c>
      <c r="O94" s="916">
        <f t="shared" si="0"/>
        <v>4</v>
      </c>
      <c r="P94" s="916">
        <f t="shared" si="0"/>
        <v>6</v>
      </c>
      <c r="Q94" s="916">
        <f t="shared" si="0"/>
        <v>3</v>
      </c>
      <c r="R94" s="916">
        <f t="shared" si="0"/>
        <v>6</v>
      </c>
      <c r="S94" s="916">
        <f t="shared" si="0"/>
        <v>0</v>
      </c>
      <c r="T94" s="917"/>
      <c r="U94" s="893"/>
    </row>
    <row r="95" spans="2:21" s="887" customFormat="1" ht="19.5" customHeight="1" thickBot="1" thickTop="1">
      <c r="B95" s="888"/>
      <c r="E95" s="914"/>
      <c r="F95" s="915" t="s">
        <v>240</v>
      </c>
      <c r="H95" s="918">
        <f>'[1]BASE'!DM100</f>
        <v>0.71</v>
      </c>
      <c r="I95" s="918">
        <f>'[1]BASE'!DN100</f>
        <v>0.69</v>
      </c>
      <c r="J95" s="918">
        <f>'[1]BASE'!DO100</f>
        <v>0.72</v>
      </c>
      <c r="K95" s="918">
        <f>'[1]BASE'!DP100</f>
        <v>0.78</v>
      </c>
      <c r="L95" s="918">
        <f>'[1]BASE'!DQ100</f>
        <v>0.78</v>
      </c>
      <c r="M95" s="918">
        <f>'[1]BASE'!DR100</f>
        <v>0.77</v>
      </c>
      <c r="N95" s="918">
        <f>'[1]BASE'!DS100</f>
        <v>0.79</v>
      </c>
      <c r="O95" s="918">
        <f>'[1]BASE'!DT100</f>
        <v>0.8</v>
      </c>
      <c r="P95" s="918">
        <f>'[1]BASE'!DU100</f>
        <v>0.8</v>
      </c>
      <c r="Q95" s="919">
        <f>'[1]BASE'!DV100</f>
        <v>0.83</v>
      </c>
      <c r="R95" s="919">
        <f>'[1]BASE'!DW100</f>
        <v>0.8</v>
      </c>
      <c r="S95" s="919">
        <f>'[1]BASE'!DX100</f>
        <v>0.6</v>
      </c>
      <c r="T95" s="919">
        <f>ROUND(SUM(H94:S94)/($F$93)*100,2)</f>
        <v>0.51</v>
      </c>
      <c r="U95" s="893"/>
    </row>
    <row r="96" spans="2:21" s="920" customFormat="1" ht="15.75" customHeight="1" thickBot="1" thickTop="1">
      <c r="B96" s="921"/>
      <c r="C96"/>
      <c r="D96" s="922"/>
      <c r="E96" s="923"/>
      <c r="F96" s="924"/>
      <c r="G96"/>
      <c r="H96" s="925"/>
      <c r="I96" s="925"/>
      <c r="J96" s="925"/>
      <c r="K96" s="925"/>
      <c r="L96" s="925"/>
      <c r="M96" s="925"/>
      <c r="N96" s="925"/>
      <c r="O96" s="925"/>
      <c r="P96" s="925"/>
      <c r="Q96" s="925"/>
      <c r="R96" s="925"/>
      <c r="S96" s="925"/>
      <c r="T96" s="925"/>
      <c r="U96" s="926"/>
    </row>
    <row r="97" spans="2:21" ht="15.75" customHeight="1" thickBot="1">
      <c r="B97" s="126"/>
      <c r="C97" s="927"/>
      <c r="D97" s="65" t="s">
        <v>241</v>
      </c>
      <c r="E97" s="14"/>
      <c r="F97" s="14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30"/>
    </row>
    <row r="98" spans="2:21" ht="21.75" thickBot="1" thickTop="1">
      <c r="B98" s="126"/>
      <c r="C98" s="2"/>
      <c r="D98" s="14"/>
      <c r="E98" s="14"/>
      <c r="F98" s="928"/>
      <c r="G98" s="928"/>
      <c r="H98" s="929"/>
      <c r="I98" s="930" t="s">
        <v>242</v>
      </c>
      <c r="J98" s="931">
        <f>+T95</f>
        <v>0.51</v>
      </c>
      <c r="K98" s="932" t="s">
        <v>243</v>
      </c>
      <c r="L98" s="929"/>
      <c r="M98" s="933"/>
      <c r="N98"/>
      <c r="O98" s="14"/>
      <c r="P98" s="14"/>
      <c r="Q98" s="14"/>
      <c r="R98" s="14"/>
      <c r="S98" s="14"/>
      <c r="T98" s="14"/>
      <c r="U98" s="130"/>
    </row>
    <row r="99" spans="2:21" s="108" customFormat="1" ht="17.25" thickBot="1" thickTop="1">
      <c r="B99" s="133"/>
      <c r="C99" s="934"/>
      <c r="D99" s="135"/>
      <c r="E99" s="135"/>
      <c r="F99" s="934"/>
      <c r="G99" s="934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6"/>
    </row>
    <row r="100" spans="3:7" ht="13.5" thickTop="1">
      <c r="C100" s="83"/>
      <c r="F100" s="83"/>
      <c r="G100" s="83"/>
    </row>
    <row r="101" spans="3:194" ht="12.75">
      <c r="C101" s="83"/>
      <c r="D101" s="2"/>
      <c r="E101" s="2"/>
      <c r="F101" s="2"/>
      <c r="G101" s="2"/>
      <c r="H101" s="935"/>
      <c r="I101" s="935"/>
      <c r="J101" s="935"/>
      <c r="K101" s="935"/>
      <c r="L101" s="935"/>
      <c r="M101" s="935"/>
      <c r="N101" s="935"/>
      <c r="O101" s="935"/>
      <c r="P101" s="935"/>
      <c r="Q101" s="935"/>
      <c r="R101" s="935"/>
      <c r="S101" s="935"/>
      <c r="T101" s="93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83"/>
      <c r="D102" s="2"/>
      <c r="E102" s="2"/>
      <c r="F102" s="2"/>
      <c r="G102" s="2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83"/>
      <c r="D103" s="2"/>
      <c r="E103" s="2"/>
      <c r="F103" s="2"/>
      <c r="G103" s="2"/>
      <c r="H103" s="936"/>
      <c r="I103" s="936"/>
      <c r="J103" s="936"/>
      <c r="K103" s="936"/>
      <c r="L103" s="936"/>
      <c r="M103" s="936"/>
      <c r="N103" s="936"/>
      <c r="O103" s="936"/>
      <c r="P103" s="936"/>
      <c r="Q103" s="936"/>
      <c r="R103" s="936"/>
      <c r="S103" s="936"/>
      <c r="T103" s="93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83"/>
      <c r="D104" s="2"/>
      <c r="E104" s="2"/>
      <c r="F104" s="2"/>
      <c r="G104" s="2"/>
      <c r="H104" s="935"/>
      <c r="I104" s="935"/>
      <c r="J104" s="935"/>
      <c r="K104" s="935"/>
      <c r="L104" s="935"/>
      <c r="M104" s="935"/>
      <c r="N104" s="935"/>
      <c r="O104" s="935"/>
      <c r="P104" s="935"/>
      <c r="Q104" s="935"/>
      <c r="R104" s="935"/>
      <c r="S104" s="935"/>
      <c r="T104" s="93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83"/>
      <c r="D105" s="2"/>
      <c r="E105" s="2"/>
      <c r="F105" s="2"/>
      <c r="G105" s="2"/>
      <c r="H105" s="935"/>
      <c r="I105" s="935"/>
      <c r="J105" s="935"/>
      <c r="K105" s="935"/>
      <c r="L105" s="935"/>
      <c r="M105" s="935"/>
      <c r="N105" s="935"/>
      <c r="O105" s="935"/>
      <c r="P105" s="935"/>
      <c r="Q105" s="935"/>
      <c r="R105" s="935"/>
      <c r="S105" s="935"/>
      <c r="T105" s="93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83"/>
      <c r="D106" s="2"/>
      <c r="E106" s="2"/>
      <c r="F106" s="2"/>
      <c r="G106" s="2"/>
      <c r="H106" s="935"/>
      <c r="I106" s="935"/>
      <c r="J106" s="935"/>
      <c r="K106" s="935"/>
      <c r="L106" s="935"/>
      <c r="M106" s="935"/>
      <c r="N106" s="935"/>
      <c r="O106" s="935"/>
      <c r="P106" s="935"/>
      <c r="Q106" s="935"/>
      <c r="R106" s="935"/>
      <c r="S106" s="935"/>
      <c r="T106" s="93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83"/>
      <c r="D107" s="2"/>
      <c r="E107" s="2"/>
      <c r="F107" s="2"/>
      <c r="G107" s="2"/>
      <c r="H107" s="935"/>
      <c r="I107" s="935"/>
      <c r="J107" s="935"/>
      <c r="K107" s="935"/>
      <c r="L107" s="935"/>
      <c r="M107" s="935"/>
      <c r="N107" s="935"/>
      <c r="O107" s="935"/>
      <c r="P107" s="935"/>
      <c r="Q107" s="935"/>
      <c r="R107" s="935"/>
      <c r="S107" s="935"/>
      <c r="T107" s="93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83"/>
      <c r="D108" s="2"/>
      <c r="E108" s="2"/>
      <c r="F108" s="2"/>
      <c r="G108" s="2"/>
      <c r="H108" s="935"/>
      <c r="I108" s="935"/>
      <c r="J108" s="935"/>
      <c r="K108" s="935"/>
      <c r="L108" s="935"/>
      <c r="M108" s="935"/>
      <c r="N108" s="935"/>
      <c r="O108" s="935"/>
      <c r="P108" s="935"/>
      <c r="Q108" s="935"/>
      <c r="R108" s="935"/>
      <c r="S108" s="935"/>
      <c r="T108" s="93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8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194" ht="12.75">
      <c r="C110" s="83"/>
      <c r="D110" s="14"/>
      <c r="E110" s="14"/>
      <c r="F110" s="2"/>
      <c r="G110" s="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3:7" ht="12.75">
      <c r="C111" s="83"/>
      <c r="F111" s="83"/>
      <c r="G111" s="83"/>
    </row>
    <row r="112" spans="3:7" ht="12.75">
      <c r="C112" s="83"/>
      <c r="F112" s="83"/>
      <c r="G112" s="83"/>
    </row>
    <row r="113" spans="3:7" ht="12.75">
      <c r="C113" s="83"/>
      <c r="F113" s="83"/>
      <c r="G113" s="83"/>
    </row>
    <row r="114" spans="6:7" ht="12.75">
      <c r="F114" s="83"/>
      <c r="G114" s="83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4"/>
  <sheetViews>
    <sheetView zoomScale="75" zoomScaleNormal="75" workbookViewId="0" topLeftCell="C16">
      <selection activeCell="F27" sqref="F2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94" customFormat="1" ht="26.25">
      <c r="A1" s="144"/>
      <c r="AD1" s="759"/>
    </row>
    <row r="2" spans="1:30" s="94" customFormat="1" ht="26.25">
      <c r="A2" s="144"/>
      <c r="B2" s="95" t="str">
        <f>+'tot-0401'!B2</f>
        <v>ANEXO I-1a a la Resolución ENRE N° 686/2007.-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="16" customFormat="1" ht="12.75">
      <c r="A3" s="64"/>
    </row>
    <row r="4" spans="1:2" s="101" customFormat="1" ht="11.25">
      <c r="A4" s="99" t="s">
        <v>50</v>
      </c>
      <c r="B4" s="178"/>
    </row>
    <row r="5" spans="1:2" s="101" customFormat="1" ht="11.25">
      <c r="A5" s="99" t="s">
        <v>51</v>
      </c>
      <c r="B5" s="178"/>
    </row>
    <row r="6" s="16" customFormat="1" ht="13.5" thickBot="1"/>
    <row r="7" spans="2:30" s="16" customFormat="1" ht="13.5" thickTop="1">
      <c r="B7" s="145"/>
      <c r="C7" s="146"/>
      <c r="D7" s="146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8"/>
    </row>
    <row r="8" spans="2:30" s="10" customFormat="1" ht="20.25">
      <c r="B8" s="159"/>
      <c r="C8" s="11"/>
      <c r="D8" s="7" t="s">
        <v>67</v>
      </c>
      <c r="E8" s="11"/>
      <c r="F8" s="11"/>
      <c r="G8" s="11"/>
      <c r="H8" s="11"/>
      <c r="N8" s="11"/>
      <c r="O8" s="11"/>
      <c r="P8" s="160"/>
      <c r="Q8" s="16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61"/>
    </row>
    <row r="9" spans="2:30" s="16" customFormat="1" ht="12.75">
      <c r="B9" s="12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9"/>
    </row>
    <row r="10" spans="2:30" s="10" customFormat="1" ht="20.25">
      <c r="B10" s="159"/>
      <c r="C10" s="11"/>
      <c r="D10" s="160" t="s">
        <v>68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61"/>
    </row>
    <row r="11" spans="2:30" s="16" customFormat="1" ht="12.75">
      <c r="B11" s="12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9"/>
    </row>
    <row r="12" spans="2:30" s="10" customFormat="1" ht="20.25">
      <c r="B12" s="159"/>
      <c r="C12" s="11"/>
      <c r="D12" s="160" t="s">
        <v>69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60"/>
      <c r="Q12" s="16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61"/>
    </row>
    <row r="13" spans="2:30" s="16" customFormat="1" ht="12.75">
      <c r="B13" s="126"/>
      <c r="C13" s="14"/>
      <c r="D13" s="14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9"/>
    </row>
    <row r="14" spans="2:30" s="15" customFormat="1" ht="19.5">
      <c r="B14" s="114" t="str">
        <f>+'tot-0401'!B14</f>
        <v>Desde el 01 al 31 de enero de 2004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63"/>
      <c r="O14" s="163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64"/>
    </row>
    <row r="15" spans="2:30" s="16" customFormat="1" ht="16.5" customHeight="1" thickBot="1">
      <c r="B15" s="126"/>
      <c r="C15" s="14"/>
      <c r="D15" s="14"/>
      <c r="E15" s="2"/>
      <c r="F15" s="2"/>
      <c r="G15" s="14"/>
      <c r="H15" s="14"/>
      <c r="I15" s="14"/>
      <c r="J15" s="158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9"/>
    </row>
    <row r="16" spans="2:30" s="16" customFormat="1" ht="16.5" customHeight="1" thickBot="1" thickTop="1">
      <c r="B16" s="126"/>
      <c r="C16" s="14"/>
      <c r="D16" s="165" t="s">
        <v>70</v>
      </c>
      <c r="E16" s="632">
        <v>56.353</v>
      </c>
      <c r="F16" s="270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9"/>
    </row>
    <row r="17" spans="2:30" s="16" customFormat="1" ht="16.5" customHeight="1" thickBot="1" thickTop="1">
      <c r="B17" s="126"/>
      <c r="C17" s="14"/>
      <c r="D17" s="165" t="s">
        <v>71</v>
      </c>
      <c r="E17" s="632">
        <v>46.961</v>
      </c>
      <c r="F17" s="270"/>
      <c r="G17" s="14"/>
      <c r="H17" s="14"/>
      <c r="I17" s="14"/>
      <c r="J17" s="762"/>
      <c r="K17" s="76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1"/>
      <c r="W17" s="151"/>
      <c r="X17" s="151"/>
      <c r="Y17" s="151"/>
      <c r="Z17" s="151"/>
      <c r="AA17" s="151"/>
      <c r="AB17" s="151"/>
      <c r="AD17" s="149"/>
    </row>
    <row r="18" spans="2:30" s="16" customFormat="1" ht="16.5" customHeight="1" thickBot="1" thickTop="1">
      <c r="B18" s="126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52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9"/>
    </row>
    <row r="19" spans="2:30" s="16" customFormat="1" ht="33.75" customHeight="1" thickBot="1" thickTop="1">
      <c r="B19" s="126"/>
      <c r="C19" s="166" t="s">
        <v>72</v>
      </c>
      <c r="D19" s="168" t="s">
        <v>53</v>
      </c>
      <c r="E19" s="436" t="s">
        <v>73</v>
      </c>
      <c r="F19" s="174" t="s">
        <v>74</v>
      </c>
      <c r="G19" s="167" t="s">
        <v>75</v>
      </c>
      <c r="H19" s="437" t="s">
        <v>76</v>
      </c>
      <c r="I19" s="434" t="s">
        <v>77</v>
      </c>
      <c r="J19" s="168" t="s">
        <v>78</v>
      </c>
      <c r="K19" s="169" t="s">
        <v>79</v>
      </c>
      <c r="L19" s="173" t="s">
        <v>80</v>
      </c>
      <c r="M19" s="174" t="s">
        <v>81</v>
      </c>
      <c r="N19" s="173" t="s">
        <v>82</v>
      </c>
      <c r="O19" s="174" t="s">
        <v>83</v>
      </c>
      <c r="P19" s="169" t="s">
        <v>84</v>
      </c>
      <c r="Q19" s="168" t="s">
        <v>85</v>
      </c>
      <c r="R19" s="399" t="s">
        <v>86</v>
      </c>
      <c r="S19" s="402" t="s">
        <v>87</v>
      </c>
      <c r="T19" s="347" t="s">
        <v>88</v>
      </c>
      <c r="U19" s="348"/>
      <c r="V19" s="349"/>
      <c r="W19" s="406" t="s">
        <v>89</v>
      </c>
      <c r="X19" s="407"/>
      <c r="Y19" s="408"/>
      <c r="Z19" s="422" t="s">
        <v>90</v>
      </c>
      <c r="AA19" s="423" t="s">
        <v>91</v>
      </c>
      <c r="AB19" s="176" t="s">
        <v>92</v>
      </c>
      <c r="AC19" s="176" t="s">
        <v>93</v>
      </c>
      <c r="AD19" s="153"/>
    </row>
    <row r="20" spans="2:30" s="16" customFormat="1" ht="16.5" customHeight="1" hidden="1" thickTop="1">
      <c r="B20" s="126"/>
      <c r="C20" s="419"/>
      <c r="D20" s="442"/>
      <c r="E20" s="442"/>
      <c r="F20" s="419"/>
      <c r="G20" s="419"/>
      <c r="H20" s="440"/>
      <c r="I20" s="441"/>
      <c r="J20" s="419"/>
      <c r="K20" s="419"/>
      <c r="L20" s="419"/>
      <c r="M20" s="419"/>
      <c r="N20" s="419"/>
      <c r="O20" s="419"/>
      <c r="P20" s="419"/>
      <c r="Q20" s="419"/>
      <c r="R20" s="400"/>
      <c r="S20" s="403"/>
      <c r="T20" s="411"/>
      <c r="U20" s="412"/>
      <c r="V20" s="413"/>
      <c r="W20" s="414"/>
      <c r="X20" s="415"/>
      <c r="Y20" s="416"/>
      <c r="Z20" s="420"/>
      <c r="AA20" s="424"/>
      <c r="AB20" s="419"/>
      <c r="AC20" s="570"/>
      <c r="AD20" s="149"/>
    </row>
    <row r="21" spans="2:30" s="16" customFormat="1" ht="16.5" customHeight="1" thickTop="1">
      <c r="B21" s="126"/>
      <c r="C21" s="17"/>
      <c r="D21" s="17"/>
      <c r="E21" s="20"/>
      <c r="F21" s="17"/>
      <c r="G21" s="17"/>
      <c r="H21" s="432"/>
      <c r="I21" s="435"/>
      <c r="J21" s="19"/>
      <c r="K21" s="14"/>
      <c r="L21" s="17"/>
      <c r="M21" s="17"/>
      <c r="N21" s="18"/>
      <c r="O21" s="17"/>
      <c r="P21" s="17"/>
      <c r="Q21" s="17"/>
      <c r="R21" s="398"/>
      <c r="S21" s="401"/>
      <c r="T21" s="418"/>
      <c r="U21" s="404"/>
      <c r="V21" s="405"/>
      <c r="W21" s="417"/>
      <c r="X21" s="409"/>
      <c r="Y21" s="410"/>
      <c r="Z21" s="421"/>
      <c r="AA21" s="425"/>
      <c r="AB21" s="17"/>
      <c r="AC21" s="177"/>
      <c r="AD21" s="149"/>
    </row>
    <row r="22" spans="2:30" s="16" customFormat="1" ht="16.5" customHeight="1">
      <c r="B22" s="126"/>
      <c r="C22" s="774">
        <v>1</v>
      </c>
      <c r="D22" s="775" t="s">
        <v>9</v>
      </c>
      <c r="E22" s="776">
        <v>500</v>
      </c>
      <c r="F22" s="777">
        <v>159</v>
      </c>
      <c r="G22" s="776" t="s">
        <v>2</v>
      </c>
      <c r="H22" s="439">
        <f aca="true" t="shared" si="0" ref="H22:H38">IF(G22="A",200,IF(G22="B",60,20))</f>
        <v>20</v>
      </c>
      <c r="I22" s="629">
        <f aca="true" t="shared" si="1" ref="I22:I38">IF(E22=500,IF(F22&lt;100,100*$E$16/100,F22*$E$16/100),IF(F22&lt;100,100*$E$17/100,F22*$E$17/100))</f>
        <v>89.60127</v>
      </c>
      <c r="J22" s="786">
        <v>37994.31458333333</v>
      </c>
      <c r="K22" s="787">
        <v>37994.379166666666</v>
      </c>
      <c r="L22" s="26">
        <f aca="true" t="shared" si="2" ref="L22:L38">IF(D22="","",(K22-J22)*24)</f>
        <v>1.5499999999883585</v>
      </c>
      <c r="M22" s="27">
        <f aca="true" t="shared" si="3" ref="M22:M38">IF(D22="","",ROUND((K22-J22)*24*60,0))</f>
        <v>93</v>
      </c>
      <c r="N22" s="794" t="s">
        <v>216</v>
      </c>
      <c r="O22" s="795" t="str">
        <f aca="true" t="shared" si="4" ref="O22:O38">IF(D22="","","--")</f>
        <v>--</v>
      </c>
      <c r="P22" s="796" t="str">
        <f aca="true" t="shared" si="5" ref="P22:P38">IF(D22="","","NO")</f>
        <v>NO</v>
      </c>
      <c r="Q22" s="796" t="str">
        <f aca="true" t="shared" si="6" ref="Q22:Q38">IF(D22="","",IF(OR(N22="P",N22="RP"),"--","NO"))</f>
        <v>--</v>
      </c>
      <c r="R22" s="797">
        <f aca="true" t="shared" si="7" ref="R22:R38">IF(N22="P",I22*H22*ROUND(M22/60,2)*0.01,"--")</f>
        <v>27.7763937</v>
      </c>
      <c r="S22" s="798" t="str">
        <f aca="true" t="shared" si="8" ref="S22:S38">IF(N22="RP",I22*H22*ROUND(M22/60,2)*0.01*O22/100,"--")</f>
        <v>--</v>
      </c>
      <c r="T22" s="799" t="str">
        <f aca="true" t="shared" si="9" ref="T22:T38">IF(AND(N22="F",Q22="NO"),I22*H22*IF(P22="SI",1.2,1),"--")</f>
        <v>--</v>
      </c>
      <c r="U22" s="800" t="str">
        <f aca="true" t="shared" si="10" ref="U22:U38">IF(AND(N22="F",M22&gt;=10),I22*H22*IF(P22="SI",1.2,1)*IF(M22&lt;=300,ROUND(M22/60,2),5),"--")</f>
        <v>--</v>
      </c>
      <c r="V22" s="801" t="str">
        <f aca="true" t="shared" si="11" ref="V22:V38">IF(AND(N22="F",M22&gt;300),(ROUND(M22/60,2)-5)*I22*H22*0.1*IF(P22="SI",1.2,1),"--")</f>
        <v>--</v>
      </c>
      <c r="W22" s="802" t="str">
        <f aca="true" t="shared" si="12" ref="W22:W38">IF(AND(N22="R",Q22="NO"),I22*H22*O22/100*IF(P22="SI",1.2,1),"--")</f>
        <v>--</v>
      </c>
      <c r="X22" s="803" t="str">
        <f aca="true" t="shared" si="13" ref="X22:X38">IF(AND(N22="R",M22&gt;=10),I22*H22*O22/100*IF(P22="SI",1.2,1)*IF(M22&lt;=300,ROUND(M22/60,2),5),"--")</f>
        <v>--</v>
      </c>
      <c r="Y22" s="804" t="str">
        <f aca="true" t="shared" si="14" ref="Y22:Y38">IF(AND(N22="R",M22&gt;300),(ROUND(M22/60,2)-5)*I22*H22*0.1*O22/100*IF(P22="SI",1.2,1),"--")</f>
        <v>--</v>
      </c>
      <c r="Z22" s="805" t="str">
        <f aca="true" t="shared" si="15" ref="Z22:Z38">IF(N22="RF",ROUND(M22/60,2)*I22*H22*0.1*IF(P22="SI",1.2,1),"--")</f>
        <v>--</v>
      </c>
      <c r="AA22" s="806" t="str">
        <f aca="true" t="shared" si="16" ref="AA22:AA38">IF(N22="RR",ROUND(M22/60,2)*I22*H22*0.1*O22/100*IF(P22="SI",1.2,1),"--")</f>
        <v>--</v>
      </c>
      <c r="AB22" s="807" t="str">
        <f aca="true" t="shared" si="17" ref="AB22:AB38">IF(D22="","","SI")</f>
        <v>SI</v>
      </c>
      <c r="AC22" s="30">
        <f aca="true" t="shared" si="18" ref="AC22:AC38">IF(D22="","",SUM(R22:AA22)*IF(AB22="SI",1,2))</f>
        <v>27.7763937</v>
      </c>
      <c r="AD22" s="539"/>
    </row>
    <row r="23" spans="2:30" s="16" customFormat="1" ht="16.5" customHeight="1">
      <c r="B23" s="126"/>
      <c r="C23" s="774">
        <v>2</v>
      </c>
      <c r="D23" s="775" t="s">
        <v>5</v>
      </c>
      <c r="E23" s="776">
        <v>500</v>
      </c>
      <c r="F23" s="777">
        <v>255</v>
      </c>
      <c r="G23" s="776" t="s">
        <v>3</v>
      </c>
      <c r="H23" s="439">
        <f t="shared" si="0"/>
        <v>60</v>
      </c>
      <c r="I23" s="629">
        <f t="shared" si="1"/>
        <v>143.70015</v>
      </c>
      <c r="J23" s="786">
        <v>37996.29236111111</v>
      </c>
      <c r="K23" s="787">
        <v>37996.55763888889</v>
      </c>
      <c r="L23" s="26">
        <f t="shared" si="2"/>
        <v>6.366666666639503</v>
      </c>
      <c r="M23" s="27">
        <f t="shared" si="3"/>
        <v>382</v>
      </c>
      <c r="N23" s="794" t="s">
        <v>216</v>
      </c>
      <c r="O23" s="795" t="str">
        <f t="shared" si="4"/>
        <v>--</v>
      </c>
      <c r="P23" s="796" t="str">
        <f t="shared" si="5"/>
        <v>NO</v>
      </c>
      <c r="Q23" s="796" t="str">
        <f t="shared" si="6"/>
        <v>--</v>
      </c>
      <c r="R23" s="797">
        <f t="shared" si="7"/>
        <v>549.2219733000001</v>
      </c>
      <c r="S23" s="798" t="str">
        <f t="shared" si="8"/>
        <v>--</v>
      </c>
      <c r="T23" s="799" t="str">
        <f t="shared" si="9"/>
        <v>--</v>
      </c>
      <c r="U23" s="800" t="str">
        <f t="shared" si="10"/>
        <v>--</v>
      </c>
      <c r="V23" s="801" t="str">
        <f t="shared" si="11"/>
        <v>--</v>
      </c>
      <c r="W23" s="802" t="str">
        <f t="shared" si="12"/>
        <v>--</v>
      </c>
      <c r="X23" s="803" t="str">
        <f t="shared" si="13"/>
        <v>--</v>
      </c>
      <c r="Y23" s="804" t="str">
        <f t="shared" si="14"/>
        <v>--</v>
      </c>
      <c r="Z23" s="805" t="str">
        <f t="shared" si="15"/>
        <v>--</v>
      </c>
      <c r="AA23" s="806" t="str">
        <f t="shared" si="16"/>
        <v>--</v>
      </c>
      <c r="AB23" s="807" t="str">
        <f t="shared" si="17"/>
        <v>SI</v>
      </c>
      <c r="AC23" s="30">
        <f t="shared" si="18"/>
        <v>549.2219733000001</v>
      </c>
      <c r="AD23" s="539"/>
    </row>
    <row r="24" spans="2:30" s="16" customFormat="1" ht="16.5" customHeight="1">
      <c r="B24" s="126"/>
      <c r="C24" s="774">
        <v>3</v>
      </c>
      <c r="D24" s="778" t="s">
        <v>6</v>
      </c>
      <c r="E24" s="779">
        <v>500</v>
      </c>
      <c r="F24" s="780">
        <v>53</v>
      </c>
      <c r="G24" s="779" t="s">
        <v>2</v>
      </c>
      <c r="H24" s="439">
        <f t="shared" si="0"/>
        <v>20</v>
      </c>
      <c r="I24" s="629">
        <f t="shared" si="1"/>
        <v>56.353</v>
      </c>
      <c r="J24" s="788">
        <v>38003.40625</v>
      </c>
      <c r="K24" s="789">
        <v>38003.73888888889</v>
      </c>
      <c r="L24" s="26">
        <f t="shared" si="2"/>
        <v>7.983333333337214</v>
      </c>
      <c r="M24" s="27">
        <f t="shared" si="3"/>
        <v>479</v>
      </c>
      <c r="N24" s="794" t="s">
        <v>216</v>
      </c>
      <c r="O24" s="795" t="str">
        <f t="shared" si="4"/>
        <v>--</v>
      </c>
      <c r="P24" s="796" t="str">
        <f t="shared" si="5"/>
        <v>NO</v>
      </c>
      <c r="Q24" s="796" t="str">
        <f t="shared" si="6"/>
        <v>--</v>
      </c>
      <c r="R24" s="797">
        <f t="shared" si="7"/>
        <v>89.939388</v>
      </c>
      <c r="S24" s="798" t="str">
        <f t="shared" si="8"/>
        <v>--</v>
      </c>
      <c r="T24" s="799" t="str">
        <f t="shared" si="9"/>
        <v>--</v>
      </c>
      <c r="U24" s="800" t="str">
        <f t="shared" si="10"/>
        <v>--</v>
      </c>
      <c r="V24" s="801" t="str">
        <f t="shared" si="11"/>
        <v>--</v>
      </c>
      <c r="W24" s="802" t="str">
        <f t="shared" si="12"/>
        <v>--</v>
      </c>
      <c r="X24" s="803" t="str">
        <f t="shared" si="13"/>
        <v>--</v>
      </c>
      <c r="Y24" s="804" t="str">
        <f t="shared" si="14"/>
        <v>--</v>
      </c>
      <c r="Z24" s="805" t="str">
        <f t="shared" si="15"/>
        <v>--</v>
      </c>
      <c r="AA24" s="806" t="str">
        <f t="shared" si="16"/>
        <v>--</v>
      </c>
      <c r="AB24" s="807" t="str">
        <f t="shared" si="17"/>
        <v>SI</v>
      </c>
      <c r="AC24" s="30">
        <f t="shared" si="18"/>
        <v>89.939388</v>
      </c>
      <c r="AD24" s="539"/>
    </row>
    <row r="25" spans="2:30" s="16" customFormat="1" ht="16.5" customHeight="1">
      <c r="B25" s="126"/>
      <c r="C25" s="774">
        <v>4</v>
      </c>
      <c r="D25" s="778" t="s">
        <v>6</v>
      </c>
      <c r="E25" s="779">
        <v>500</v>
      </c>
      <c r="F25" s="780">
        <v>53</v>
      </c>
      <c r="G25" s="779" t="s">
        <v>2</v>
      </c>
      <c r="H25" s="439">
        <f t="shared" si="0"/>
        <v>20</v>
      </c>
      <c r="I25" s="629">
        <f t="shared" si="1"/>
        <v>56.353</v>
      </c>
      <c r="J25" s="788">
        <v>38011.27361111111</v>
      </c>
      <c r="K25" s="789">
        <v>38011.58263888889</v>
      </c>
      <c r="L25" s="26">
        <f t="shared" si="2"/>
        <v>7.416666666744277</v>
      </c>
      <c r="M25" s="27">
        <f t="shared" si="3"/>
        <v>445</v>
      </c>
      <c r="N25" s="794" t="s">
        <v>216</v>
      </c>
      <c r="O25" s="795" t="str">
        <f t="shared" si="4"/>
        <v>--</v>
      </c>
      <c r="P25" s="796" t="str">
        <f t="shared" si="5"/>
        <v>NO</v>
      </c>
      <c r="Q25" s="796" t="str">
        <f t="shared" si="6"/>
        <v>--</v>
      </c>
      <c r="R25" s="797">
        <f t="shared" si="7"/>
        <v>83.627852</v>
      </c>
      <c r="S25" s="798" t="str">
        <f t="shared" si="8"/>
        <v>--</v>
      </c>
      <c r="T25" s="799" t="str">
        <f t="shared" si="9"/>
        <v>--</v>
      </c>
      <c r="U25" s="800" t="str">
        <f t="shared" si="10"/>
        <v>--</v>
      </c>
      <c r="V25" s="801" t="str">
        <f t="shared" si="11"/>
        <v>--</v>
      </c>
      <c r="W25" s="802" t="str">
        <f t="shared" si="12"/>
        <v>--</v>
      </c>
      <c r="X25" s="803" t="str">
        <f t="shared" si="13"/>
        <v>--</v>
      </c>
      <c r="Y25" s="804" t="str">
        <f t="shared" si="14"/>
        <v>--</v>
      </c>
      <c r="Z25" s="805" t="str">
        <f t="shared" si="15"/>
        <v>--</v>
      </c>
      <c r="AA25" s="806" t="str">
        <f t="shared" si="16"/>
        <v>--</v>
      </c>
      <c r="AB25" s="807" t="str">
        <f t="shared" si="17"/>
        <v>SI</v>
      </c>
      <c r="AC25" s="30">
        <f t="shared" si="18"/>
        <v>83.627852</v>
      </c>
      <c r="AD25" s="539"/>
    </row>
    <row r="26" spans="2:30" s="16" customFormat="1" ht="16.5" customHeight="1">
      <c r="B26" s="126"/>
      <c r="C26" s="774">
        <v>7</v>
      </c>
      <c r="D26" s="774" t="s">
        <v>204</v>
      </c>
      <c r="E26" s="781">
        <v>500</v>
      </c>
      <c r="F26" s="782">
        <v>183.9</v>
      </c>
      <c r="G26" s="781" t="s">
        <v>2</v>
      </c>
      <c r="H26" s="439">
        <f t="shared" si="0"/>
        <v>20</v>
      </c>
      <c r="I26" s="629">
        <f t="shared" si="1"/>
        <v>103.63316700000001</v>
      </c>
      <c r="J26" s="790">
        <v>38016.96805555555</v>
      </c>
      <c r="K26" s="791">
        <v>38016.97430555556</v>
      </c>
      <c r="L26" s="26">
        <f t="shared" si="2"/>
        <v>0.1500000001396984</v>
      </c>
      <c r="M26" s="27">
        <f t="shared" si="3"/>
        <v>9</v>
      </c>
      <c r="N26" s="794" t="s">
        <v>206</v>
      </c>
      <c r="O26" s="795" t="str">
        <f t="shared" si="4"/>
        <v>--</v>
      </c>
      <c r="P26" s="796" t="str">
        <f t="shared" si="5"/>
        <v>NO</v>
      </c>
      <c r="Q26" s="796" t="str">
        <f t="shared" si="6"/>
        <v>NO</v>
      </c>
      <c r="R26" s="797" t="str">
        <f t="shared" si="7"/>
        <v>--</v>
      </c>
      <c r="S26" s="798" t="str">
        <f t="shared" si="8"/>
        <v>--</v>
      </c>
      <c r="T26" s="799">
        <f t="shared" si="9"/>
        <v>2072.66334</v>
      </c>
      <c r="U26" s="800" t="str">
        <f t="shared" si="10"/>
        <v>--</v>
      </c>
      <c r="V26" s="801" t="str">
        <f t="shared" si="11"/>
        <v>--</v>
      </c>
      <c r="W26" s="802" t="str">
        <f t="shared" si="12"/>
        <v>--</v>
      </c>
      <c r="X26" s="803" t="str">
        <f t="shared" si="13"/>
        <v>--</v>
      </c>
      <c r="Y26" s="804" t="str">
        <f t="shared" si="14"/>
        <v>--</v>
      </c>
      <c r="Z26" s="805" t="str">
        <f t="shared" si="15"/>
        <v>--</v>
      </c>
      <c r="AA26" s="806" t="str">
        <f t="shared" si="16"/>
        <v>--</v>
      </c>
      <c r="AB26" s="807" t="str">
        <f t="shared" si="17"/>
        <v>SI</v>
      </c>
      <c r="AC26" s="30">
        <f t="shared" si="18"/>
        <v>2072.66334</v>
      </c>
      <c r="AD26" s="539"/>
    </row>
    <row r="27" spans="2:30" s="16" customFormat="1" ht="16.5" customHeight="1">
      <c r="B27" s="126"/>
      <c r="C27" s="774">
        <v>8</v>
      </c>
      <c r="D27" s="774" t="s">
        <v>204</v>
      </c>
      <c r="E27" s="781">
        <v>500</v>
      </c>
      <c r="F27" s="782">
        <v>183.9</v>
      </c>
      <c r="G27" s="781" t="s">
        <v>2</v>
      </c>
      <c r="H27" s="439">
        <f t="shared" si="0"/>
        <v>20</v>
      </c>
      <c r="I27" s="629">
        <f t="shared" si="1"/>
        <v>103.63316700000001</v>
      </c>
      <c r="J27" s="790">
        <v>38016.975694444445</v>
      </c>
      <c r="K27" s="791">
        <v>38017.02361111111</v>
      </c>
      <c r="L27" s="26">
        <f t="shared" si="2"/>
        <v>1.1499999999068677</v>
      </c>
      <c r="M27" s="27">
        <f t="shared" si="3"/>
        <v>69</v>
      </c>
      <c r="N27" s="794" t="s">
        <v>206</v>
      </c>
      <c r="O27" s="795" t="str">
        <f t="shared" si="4"/>
        <v>--</v>
      </c>
      <c r="P27" s="796" t="str">
        <f t="shared" si="5"/>
        <v>NO</v>
      </c>
      <c r="Q27" s="796" t="str">
        <f t="shared" si="6"/>
        <v>NO</v>
      </c>
      <c r="R27" s="797" t="str">
        <f t="shared" si="7"/>
        <v>--</v>
      </c>
      <c r="S27" s="798" t="str">
        <f t="shared" si="8"/>
        <v>--</v>
      </c>
      <c r="T27" s="799">
        <f t="shared" si="9"/>
        <v>2072.66334</v>
      </c>
      <c r="U27" s="800">
        <f t="shared" si="10"/>
        <v>2383.562841</v>
      </c>
      <c r="V27" s="801" t="str">
        <f t="shared" si="11"/>
        <v>--</v>
      </c>
      <c r="W27" s="802" t="str">
        <f t="shared" si="12"/>
        <v>--</v>
      </c>
      <c r="X27" s="803" t="str">
        <f t="shared" si="13"/>
        <v>--</v>
      </c>
      <c r="Y27" s="804" t="str">
        <f t="shared" si="14"/>
        <v>--</v>
      </c>
      <c r="Z27" s="805" t="str">
        <f t="shared" si="15"/>
        <v>--</v>
      </c>
      <c r="AA27" s="806" t="str">
        <f t="shared" si="16"/>
        <v>--</v>
      </c>
      <c r="AB27" s="807" t="str">
        <f t="shared" si="17"/>
        <v>SI</v>
      </c>
      <c r="AC27" s="30">
        <f t="shared" si="18"/>
        <v>4456.226181</v>
      </c>
      <c r="AD27" s="539"/>
    </row>
    <row r="28" spans="2:30" s="16" customFormat="1" ht="16.5" customHeight="1">
      <c r="B28" s="126"/>
      <c r="C28" s="774"/>
      <c r="D28" s="774"/>
      <c r="E28" s="781"/>
      <c r="F28" s="782"/>
      <c r="G28" s="781"/>
      <c r="H28" s="439"/>
      <c r="I28" s="629"/>
      <c r="J28" s="790"/>
      <c r="K28" s="791"/>
      <c r="L28" s="26"/>
      <c r="M28" s="27"/>
      <c r="N28" s="794"/>
      <c r="O28" s="795"/>
      <c r="P28" s="796"/>
      <c r="Q28" s="796"/>
      <c r="R28" s="797"/>
      <c r="S28" s="798"/>
      <c r="T28" s="799"/>
      <c r="U28" s="800"/>
      <c r="V28" s="801"/>
      <c r="W28" s="802"/>
      <c r="X28" s="803"/>
      <c r="Y28" s="804"/>
      <c r="Z28" s="805"/>
      <c r="AA28" s="806"/>
      <c r="AB28" s="807"/>
      <c r="AC28" s="30"/>
      <c r="AD28" s="539"/>
    </row>
    <row r="29" spans="2:30" s="16" customFormat="1" ht="16.5" customHeight="1">
      <c r="B29" s="126"/>
      <c r="C29" s="774"/>
      <c r="D29" s="774"/>
      <c r="E29" s="781"/>
      <c r="F29" s="782"/>
      <c r="G29" s="781"/>
      <c r="H29" s="439">
        <f t="shared" si="0"/>
        <v>20</v>
      </c>
      <c r="I29" s="629">
        <f t="shared" si="1"/>
        <v>46.96099999999999</v>
      </c>
      <c r="J29" s="790"/>
      <c r="K29" s="791"/>
      <c r="L29" s="26">
        <f t="shared" si="2"/>
      </c>
      <c r="M29" s="27">
        <f t="shared" si="3"/>
      </c>
      <c r="N29" s="794"/>
      <c r="O29" s="795">
        <f t="shared" si="4"/>
      </c>
      <c r="P29" s="796">
        <f t="shared" si="5"/>
      </c>
      <c r="Q29" s="796">
        <f t="shared" si="6"/>
      </c>
      <c r="R29" s="797" t="str">
        <f t="shared" si="7"/>
        <v>--</v>
      </c>
      <c r="S29" s="798" t="str">
        <f t="shared" si="8"/>
        <v>--</v>
      </c>
      <c r="T29" s="799" t="str">
        <f t="shared" si="9"/>
        <v>--</v>
      </c>
      <c r="U29" s="800" t="str">
        <f t="shared" si="10"/>
        <v>--</v>
      </c>
      <c r="V29" s="801" t="str">
        <f t="shared" si="11"/>
        <v>--</v>
      </c>
      <c r="W29" s="802" t="str">
        <f t="shared" si="12"/>
        <v>--</v>
      </c>
      <c r="X29" s="803" t="str">
        <f t="shared" si="13"/>
        <v>--</v>
      </c>
      <c r="Y29" s="804" t="str">
        <f t="shared" si="14"/>
        <v>--</v>
      </c>
      <c r="Z29" s="805" t="str">
        <f t="shared" si="15"/>
        <v>--</v>
      </c>
      <c r="AA29" s="806" t="str">
        <f t="shared" si="16"/>
        <v>--</v>
      </c>
      <c r="AB29" s="807">
        <f t="shared" si="17"/>
      </c>
      <c r="AC29" s="30">
        <f t="shared" si="18"/>
      </c>
      <c r="AD29" s="539"/>
    </row>
    <row r="30" spans="2:30" s="16" customFormat="1" ht="16.5" customHeight="1">
      <c r="B30" s="126"/>
      <c r="C30" s="774"/>
      <c r="D30" s="774"/>
      <c r="E30" s="781"/>
      <c r="F30" s="782"/>
      <c r="G30" s="781"/>
      <c r="H30" s="439">
        <f t="shared" si="0"/>
        <v>20</v>
      </c>
      <c r="I30" s="629">
        <f t="shared" si="1"/>
        <v>46.96099999999999</v>
      </c>
      <c r="J30" s="790"/>
      <c r="K30" s="792"/>
      <c r="L30" s="26">
        <f t="shared" si="2"/>
      </c>
      <c r="M30" s="27">
        <f t="shared" si="3"/>
      </c>
      <c r="N30" s="794"/>
      <c r="O30" s="795">
        <f t="shared" si="4"/>
      </c>
      <c r="P30" s="796">
        <f t="shared" si="5"/>
      </c>
      <c r="Q30" s="796">
        <f t="shared" si="6"/>
      </c>
      <c r="R30" s="797" t="str">
        <f t="shared" si="7"/>
        <v>--</v>
      </c>
      <c r="S30" s="798" t="str">
        <f t="shared" si="8"/>
        <v>--</v>
      </c>
      <c r="T30" s="799" t="str">
        <f t="shared" si="9"/>
        <v>--</v>
      </c>
      <c r="U30" s="800" t="str">
        <f t="shared" si="10"/>
        <v>--</v>
      </c>
      <c r="V30" s="801" t="str">
        <f t="shared" si="11"/>
        <v>--</v>
      </c>
      <c r="W30" s="802" t="str">
        <f t="shared" si="12"/>
        <v>--</v>
      </c>
      <c r="X30" s="803" t="str">
        <f t="shared" si="13"/>
        <v>--</v>
      </c>
      <c r="Y30" s="804" t="str">
        <f t="shared" si="14"/>
        <v>--</v>
      </c>
      <c r="Z30" s="805" t="str">
        <f t="shared" si="15"/>
        <v>--</v>
      </c>
      <c r="AA30" s="806" t="str">
        <f t="shared" si="16"/>
        <v>--</v>
      </c>
      <c r="AB30" s="807">
        <f t="shared" si="17"/>
      </c>
      <c r="AC30" s="30">
        <f t="shared" si="18"/>
      </c>
      <c r="AD30" s="539"/>
    </row>
    <row r="31" spans="2:30" s="16" customFormat="1" ht="16.5" customHeight="1">
      <c r="B31" s="126"/>
      <c r="C31" s="774"/>
      <c r="D31" s="774"/>
      <c r="E31" s="781"/>
      <c r="F31" s="782"/>
      <c r="G31" s="781"/>
      <c r="H31" s="439">
        <f t="shared" si="0"/>
        <v>20</v>
      </c>
      <c r="I31" s="629">
        <f t="shared" si="1"/>
        <v>46.96099999999999</v>
      </c>
      <c r="J31" s="790"/>
      <c r="K31" s="792"/>
      <c r="L31" s="26">
        <f t="shared" si="2"/>
      </c>
      <c r="M31" s="27">
        <f t="shared" si="3"/>
      </c>
      <c r="N31" s="794"/>
      <c r="O31" s="795">
        <f t="shared" si="4"/>
      </c>
      <c r="P31" s="796">
        <f t="shared" si="5"/>
      </c>
      <c r="Q31" s="796">
        <f t="shared" si="6"/>
      </c>
      <c r="R31" s="797" t="str">
        <f t="shared" si="7"/>
        <v>--</v>
      </c>
      <c r="S31" s="798" t="str">
        <f t="shared" si="8"/>
        <v>--</v>
      </c>
      <c r="T31" s="799" t="str">
        <f t="shared" si="9"/>
        <v>--</v>
      </c>
      <c r="U31" s="800" t="str">
        <f t="shared" si="10"/>
        <v>--</v>
      </c>
      <c r="V31" s="801" t="str">
        <f t="shared" si="11"/>
        <v>--</v>
      </c>
      <c r="W31" s="802" t="str">
        <f t="shared" si="12"/>
        <v>--</v>
      </c>
      <c r="X31" s="803" t="str">
        <f t="shared" si="13"/>
        <v>--</v>
      </c>
      <c r="Y31" s="804" t="str">
        <f t="shared" si="14"/>
        <v>--</v>
      </c>
      <c r="Z31" s="805" t="str">
        <f t="shared" si="15"/>
        <v>--</v>
      </c>
      <c r="AA31" s="806" t="str">
        <f t="shared" si="16"/>
        <v>--</v>
      </c>
      <c r="AB31" s="807">
        <f t="shared" si="17"/>
      </c>
      <c r="AC31" s="30">
        <f t="shared" si="18"/>
      </c>
      <c r="AD31" s="539"/>
    </row>
    <row r="32" spans="2:30" s="16" customFormat="1" ht="16.5" customHeight="1">
      <c r="B32" s="126"/>
      <c r="C32" s="774"/>
      <c r="D32" s="774"/>
      <c r="E32" s="781"/>
      <c r="F32" s="782"/>
      <c r="G32" s="781"/>
      <c r="H32" s="439">
        <f t="shared" si="0"/>
        <v>20</v>
      </c>
      <c r="I32" s="629">
        <f t="shared" si="1"/>
        <v>46.96099999999999</v>
      </c>
      <c r="J32" s="790"/>
      <c r="K32" s="792"/>
      <c r="L32" s="26">
        <f t="shared" si="2"/>
      </c>
      <c r="M32" s="27">
        <f t="shared" si="3"/>
      </c>
      <c r="N32" s="794"/>
      <c r="O32" s="795">
        <f t="shared" si="4"/>
      </c>
      <c r="P32" s="796">
        <f t="shared" si="5"/>
      </c>
      <c r="Q32" s="796">
        <f t="shared" si="6"/>
      </c>
      <c r="R32" s="797" t="str">
        <f t="shared" si="7"/>
        <v>--</v>
      </c>
      <c r="S32" s="798" t="str">
        <f t="shared" si="8"/>
        <v>--</v>
      </c>
      <c r="T32" s="799" t="str">
        <f t="shared" si="9"/>
        <v>--</v>
      </c>
      <c r="U32" s="800" t="str">
        <f t="shared" si="10"/>
        <v>--</v>
      </c>
      <c r="V32" s="801" t="str">
        <f t="shared" si="11"/>
        <v>--</v>
      </c>
      <c r="W32" s="802" t="str">
        <f t="shared" si="12"/>
        <v>--</v>
      </c>
      <c r="X32" s="803" t="str">
        <f t="shared" si="13"/>
        <v>--</v>
      </c>
      <c r="Y32" s="804" t="str">
        <f t="shared" si="14"/>
        <v>--</v>
      </c>
      <c r="Z32" s="805" t="str">
        <f t="shared" si="15"/>
        <v>--</v>
      </c>
      <c r="AA32" s="806" t="str">
        <f t="shared" si="16"/>
        <v>--</v>
      </c>
      <c r="AB32" s="807">
        <f t="shared" si="17"/>
      </c>
      <c r="AC32" s="30">
        <f t="shared" si="18"/>
      </c>
      <c r="AD32" s="539"/>
    </row>
    <row r="33" spans="2:30" s="16" customFormat="1" ht="16.5" customHeight="1">
      <c r="B33" s="126"/>
      <c r="C33" s="774"/>
      <c r="D33" s="774"/>
      <c r="E33" s="781"/>
      <c r="F33" s="782"/>
      <c r="G33" s="781"/>
      <c r="H33" s="439">
        <f t="shared" si="0"/>
        <v>20</v>
      </c>
      <c r="I33" s="629">
        <f t="shared" si="1"/>
        <v>46.96099999999999</v>
      </c>
      <c r="J33" s="790"/>
      <c r="K33" s="792"/>
      <c r="L33" s="26">
        <f t="shared" si="2"/>
      </c>
      <c r="M33" s="27">
        <f t="shared" si="3"/>
      </c>
      <c r="N33" s="794"/>
      <c r="O33" s="795">
        <f t="shared" si="4"/>
      </c>
      <c r="P33" s="796">
        <f t="shared" si="5"/>
      </c>
      <c r="Q33" s="796">
        <f t="shared" si="6"/>
      </c>
      <c r="R33" s="797" t="str">
        <f t="shared" si="7"/>
        <v>--</v>
      </c>
      <c r="S33" s="798" t="str">
        <f t="shared" si="8"/>
        <v>--</v>
      </c>
      <c r="T33" s="799" t="str">
        <f t="shared" si="9"/>
        <v>--</v>
      </c>
      <c r="U33" s="800" t="str">
        <f t="shared" si="10"/>
        <v>--</v>
      </c>
      <c r="V33" s="801" t="str">
        <f t="shared" si="11"/>
        <v>--</v>
      </c>
      <c r="W33" s="802" t="str">
        <f t="shared" si="12"/>
        <v>--</v>
      </c>
      <c r="X33" s="803" t="str">
        <f t="shared" si="13"/>
        <v>--</v>
      </c>
      <c r="Y33" s="804" t="str">
        <f t="shared" si="14"/>
        <v>--</v>
      </c>
      <c r="Z33" s="805" t="str">
        <f t="shared" si="15"/>
        <v>--</v>
      </c>
      <c r="AA33" s="806" t="str">
        <f t="shared" si="16"/>
        <v>--</v>
      </c>
      <c r="AB33" s="807">
        <f t="shared" si="17"/>
      </c>
      <c r="AC33" s="30">
        <f t="shared" si="18"/>
      </c>
      <c r="AD33" s="539"/>
    </row>
    <row r="34" spans="2:30" s="16" customFormat="1" ht="16.5" customHeight="1">
      <c r="B34" s="126"/>
      <c r="C34" s="774"/>
      <c r="D34" s="774"/>
      <c r="E34" s="781"/>
      <c r="F34" s="782"/>
      <c r="G34" s="781"/>
      <c r="H34" s="439">
        <f t="shared" si="0"/>
        <v>20</v>
      </c>
      <c r="I34" s="629">
        <f t="shared" si="1"/>
        <v>46.96099999999999</v>
      </c>
      <c r="J34" s="790"/>
      <c r="K34" s="792"/>
      <c r="L34" s="26">
        <f t="shared" si="2"/>
      </c>
      <c r="M34" s="27">
        <f t="shared" si="3"/>
      </c>
      <c r="N34" s="794"/>
      <c r="O34" s="795">
        <f t="shared" si="4"/>
      </c>
      <c r="P34" s="796">
        <f t="shared" si="5"/>
      </c>
      <c r="Q34" s="796">
        <f t="shared" si="6"/>
      </c>
      <c r="R34" s="797" t="str">
        <f t="shared" si="7"/>
        <v>--</v>
      </c>
      <c r="S34" s="798" t="str">
        <f t="shared" si="8"/>
        <v>--</v>
      </c>
      <c r="T34" s="799" t="str">
        <f t="shared" si="9"/>
        <v>--</v>
      </c>
      <c r="U34" s="800" t="str">
        <f t="shared" si="10"/>
        <v>--</v>
      </c>
      <c r="V34" s="801" t="str">
        <f t="shared" si="11"/>
        <v>--</v>
      </c>
      <c r="W34" s="802" t="str">
        <f t="shared" si="12"/>
        <v>--</v>
      </c>
      <c r="X34" s="803" t="str">
        <f t="shared" si="13"/>
        <v>--</v>
      </c>
      <c r="Y34" s="804" t="str">
        <f t="shared" si="14"/>
        <v>--</v>
      </c>
      <c r="Z34" s="805" t="str">
        <f t="shared" si="15"/>
        <v>--</v>
      </c>
      <c r="AA34" s="806" t="str">
        <f t="shared" si="16"/>
        <v>--</v>
      </c>
      <c r="AB34" s="807">
        <f t="shared" si="17"/>
      </c>
      <c r="AC34" s="30">
        <f t="shared" si="18"/>
      </c>
      <c r="AD34" s="539"/>
    </row>
    <row r="35" spans="2:30" s="16" customFormat="1" ht="16.5" customHeight="1">
      <c r="B35" s="126"/>
      <c r="C35" s="774"/>
      <c r="D35" s="774"/>
      <c r="E35" s="781"/>
      <c r="F35" s="782"/>
      <c r="G35" s="781"/>
      <c r="H35" s="439">
        <f t="shared" si="0"/>
        <v>20</v>
      </c>
      <c r="I35" s="629">
        <f t="shared" si="1"/>
        <v>46.96099999999999</v>
      </c>
      <c r="J35" s="790"/>
      <c r="K35" s="792"/>
      <c r="L35" s="26">
        <f t="shared" si="2"/>
      </c>
      <c r="M35" s="27">
        <f t="shared" si="3"/>
      </c>
      <c r="N35" s="794"/>
      <c r="O35" s="795">
        <f t="shared" si="4"/>
      </c>
      <c r="P35" s="796">
        <f t="shared" si="5"/>
      </c>
      <c r="Q35" s="796">
        <f t="shared" si="6"/>
      </c>
      <c r="R35" s="797" t="str">
        <f t="shared" si="7"/>
        <v>--</v>
      </c>
      <c r="S35" s="798" t="str">
        <f t="shared" si="8"/>
        <v>--</v>
      </c>
      <c r="T35" s="799" t="str">
        <f t="shared" si="9"/>
        <v>--</v>
      </c>
      <c r="U35" s="800" t="str">
        <f t="shared" si="10"/>
        <v>--</v>
      </c>
      <c r="V35" s="801" t="str">
        <f t="shared" si="11"/>
        <v>--</v>
      </c>
      <c r="W35" s="802" t="str">
        <f t="shared" si="12"/>
        <v>--</v>
      </c>
      <c r="X35" s="803" t="str">
        <f t="shared" si="13"/>
        <v>--</v>
      </c>
      <c r="Y35" s="804" t="str">
        <f t="shared" si="14"/>
        <v>--</v>
      </c>
      <c r="Z35" s="805" t="str">
        <f t="shared" si="15"/>
        <v>--</v>
      </c>
      <c r="AA35" s="806" t="str">
        <f t="shared" si="16"/>
        <v>--</v>
      </c>
      <c r="AB35" s="807">
        <f t="shared" si="17"/>
      </c>
      <c r="AC35" s="30">
        <f t="shared" si="18"/>
      </c>
      <c r="AD35" s="539"/>
    </row>
    <row r="36" spans="2:30" s="16" customFormat="1" ht="16.5" customHeight="1">
      <c r="B36" s="126"/>
      <c r="C36" s="774"/>
      <c r="D36" s="774"/>
      <c r="E36" s="781"/>
      <c r="F36" s="782"/>
      <c r="G36" s="781"/>
      <c r="H36" s="439">
        <f t="shared" si="0"/>
        <v>20</v>
      </c>
      <c r="I36" s="629">
        <f t="shared" si="1"/>
        <v>46.96099999999999</v>
      </c>
      <c r="J36" s="790"/>
      <c r="K36" s="792"/>
      <c r="L36" s="26">
        <f t="shared" si="2"/>
      </c>
      <c r="M36" s="27">
        <f t="shared" si="3"/>
      </c>
      <c r="N36" s="794"/>
      <c r="O36" s="795">
        <f t="shared" si="4"/>
      </c>
      <c r="P36" s="796">
        <f t="shared" si="5"/>
      </c>
      <c r="Q36" s="796">
        <f t="shared" si="6"/>
      </c>
      <c r="R36" s="797" t="str">
        <f t="shared" si="7"/>
        <v>--</v>
      </c>
      <c r="S36" s="798" t="str">
        <f t="shared" si="8"/>
        <v>--</v>
      </c>
      <c r="T36" s="799" t="str">
        <f t="shared" si="9"/>
        <v>--</v>
      </c>
      <c r="U36" s="800" t="str">
        <f t="shared" si="10"/>
        <v>--</v>
      </c>
      <c r="V36" s="801" t="str">
        <f t="shared" si="11"/>
        <v>--</v>
      </c>
      <c r="W36" s="802" t="str">
        <f t="shared" si="12"/>
        <v>--</v>
      </c>
      <c r="X36" s="803" t="str">
        <f t="shared" si="13"/>
        <v>--</v>
      </c>
      <c r="Y36" s="804" t="str">
        <f t="shared" si="14"/>
        <v>--</v>
      </c>
      <c r="Z36" s="805" t="str">
        <f t="shared" si="15"/>
        <v>--</v>
      </c>
      <c r="AA36" s="806" t="str">
        <f t="shared" si="16"/>
        <v>--</v>
      </c>
      <c r="AB36" s="807">
        <f t="shared" si="17"/>
      </c>
      <c r="AC36" s="30">
        <f t="shared" si="18"/>
      </c>
      <c r="AD36" s="539"/>
    </row>
    <row r="37" spans="2:30" s="16" customFormat="1" ht="16.5" customHeight="1">
      <c r="B37" s="126"/>
      <c r="C37" s="774"/>
      <c r="D37" s="774"/>
      <c r="E37" s="781"/>
      <c r="F37" s="782"/>
      <c r="G37" s="781"/>
      <c r="H37" s="439">
        <f t="shared" si="0"/>
        <v>20</v>
      </c>
      <c r="I37" s="629">
        <f t="shared" si="1"/>
        <v>46.96099999999999</v>
      </c>
      <c r="J37" s="790"/>
      <c r="K37" s="792"/>
      <c r="L37" s="26">
        <f t="shared" si="2"/>
      </c>
      <c r="M37" s="27">
        <f t="shared" si="3"/>
      </c>
      <c r="N37" s="794"/>
      <c r="O37" s="795">
        <f t="shared" si="4"/>
      </c>
      <c r="P37" s="796">
        <f t="shared" si="5"/>
      </c>
      <c r="Q37" s="796">
        <f t="shared" si="6"/>
      </c>
      <c r="R37" s="797" t="str">
        <f t="shared" si="7"/>
        <v>--</v>
      </c>
      <c r="S37" s="798" t="str">
        <f t="shared" si="8"/>
        <v>--</v>
      </c>
      <c r="T37" s="799" t="str">
        <f t="shared" si="9"/>
        <v>--</v>
      </c>
      <c r="U37" s="800" t="str">
        <f t="shared" si="10"/>
        <v>--</v>
      </c>
      <c r="V37" s="801" t="str">
        <f t="shared" si="11"/>
        <v>--</v>
      </c>
      <c r="W37" s="802" t="str">
        <f t="shared" si="12"/>
        <v>--</v>
      </c>
      <c r="X37" s="803" t="str">
        <f t="shared" si="13"/>
        <v>--</v>
      </c>
      <c r="Y37" s="804" t="str">
        <f t="shared" si="14"/>
        <v>--</v>
      </c>
      <c r="Z37" s="805" t="str">
        <f t="shared" si="15"/>
        <v>--</v>
      </c>
      <c r="AA37" s="806" t="str">
        <f t="shared" si="16"/>
        <v>--</v>
      </c>
      <c r="AB37" s="807">
        <f t="shared" si="17"/>
      </c>
      <c r="AC37" s="30">
        <f t="shared" si="18"/>
      </c>
      <c r="AD37" s="539"/>
    </row>
    <row r="38" spans="2:30" s="16" customFormat="1" ht="16.5" customHeight="1">
      <c r="B38" s="126"/>
      <c r="C38" s="774"/>
      <c r="D38" s="774"/>
      <c r="E38" s="781"/>
      <c r="F38" s="782"/>
      <c r="G38" s="781"/>
      <c r="H38" s="439">
        <f t="shared" si="0"/>
        <v>20</v>
      </c>
      <c r="I38" s="629">
        <f t="shared" si="1"/>
        <v>46.96099999999999</v>
      </c>
      <c r="J38" s="790"/>
      <c r="K38" s="792"/>
      <c r="L38" s="26">
        <f t="shared" si="2"/>
      </c>
      <c r="M38" s="27">
        <f t="shared" si="3"/>
      </c>
      <c r="N38" s="794"/>
      <c r="O38" s="795">
        <f t="shared" si="4"/>
      </c>
      <c r="P38" s="796">
        <f t="shared" si="5"/>
      </c>
      <c r="Q38" s="796">
        <f t="shared" si="6"/>
      </c>
      <c r="R38" s="797" t="str">
        <f t="shared" si="7"/>
        <v>--</v>
      </c>
      <c r="S38" s="798" t="str">
        <f t="shared" si="8"/>
        <v>--</v>
      </c>
      <c r="T38" s="799" t="str">
        <f t="shared" si="9"/>
        <v>--</v>
      </c>
      <c r="U38" s="800" t="str">
        <f t="shared" si="10"/>
        <v>--</v>
      </c>
      <c r="V38" s="801" t="str">
        <f t="shared" si="11"/>
        <v>--</v>
      </c>
      <c r="W38" s="802" t="str">
        <f t="shared" si="12"/>
        <v>--</v>
      </c>
      <c r="X38" s="803" t="str">
        <f t="shared" si="13"/>
        <v>--</v>
      </c>
      <c r="Y38" s="804" t="str">
        <f t="shared" si="14"/>
        <v>--</v>
      </c>
      <c r="Z38" s="805" t="str">
        <f t="shared" si="15"/>
        <v>--</v>
      </c>
      <c r="AA38" s="806" t="str">
        <f t="shared" si="16"/>
        <v>--</v>
      </c>
      <c r="AB38" s="807">
        <f t="shared" si="17"/>
      </c>
      <c r="AC38" s="30">
        <f t="shared" si="18"/>
      </c>
      <c r="AD38" s="539"/>
    </row>
    <row r="39" spans="2:30" s="16" customFormat="1" ht="16.5" customHeight="1" thickBot="1">
      <c r="B39" s="126"/>
      <c r="C39" s="783"/>
      <c r="D39" s="783"/>
      <c r="E39" s="784"/>
      <c r="F39" s="783"/>
      <c r="G39" s="785"/>
      <c r="H39" s="433"/>
      <c r="I39" s="630"/>
      <c r="J39" s="793"/>
      <c r="K39" s="793"/>
      <c r="L39" s="33"/>
      <c r="M39" s="33"/>
      <c r="N39" s="793"/>
      <c r="O39" s="808"/>
      <c r="P39" s="793"/>
      <c r="Q39" s="793"/>
      <c r="R39" s="809"/>
      <c r="S39" s="810"/>
      <c r="T39" s="811"/>
      <c r="U39" s="812"/>
      <c r="V39" s="813"/>
      <c r="W39" s="814"/>
      <c r="X39" s="815"/>
      <c r="Y39" s="816"/>
      <c r="Z39" s="817"/>
      <c r="AA39" s="818"/>
      <c r="AB39" s="819"/>
      <c r="AC39" s="36"/>
      <c r="AD39" s="539"/>
    </row>
    <row r="40" spans="2:30" s="16" customFormat="1" ht="16.5" customHeight="1" thickBot="1" thickTop="1">
      <c r="B40" s="126"/>
      <c r="C40" s="271" t="s">
        <v>94</v>
      </c>
      <c r="D40" s="272" t="s">
        <v>95</v>
      </c>
      <c r="E40" s="37"/>
      <c r="F40" s="1"/>
      <c r="G40" s="38"/>
      <c r="H40" s="1"/>
      <c r="I40" s="39"/>
      <c r="J40" s="39"/>
      <c r="K40" s="39"/>
      <c r="L40" s="39"/>
      <c r="M40" s="39"/>
      <c r="N40" s="39"/>
      <c r="O40" s="40"/>
      <c r="P40" s="39"/>
      <c r="Q40" s="39"/>
      <c r="R40" s="426">
        <f aca="true" t="shared" si="19" ref="R40:AA40">SUM(R20:R39)</f>
        <v>750.565607</v>
      </c>
      <c r="S40" s="427">
        <f t="shared" si="19"/>
        <v>0</v>
      </c>
      <c r="T40" s="428">
        <f t="shared" si="19"/>
        <v>4145.32668</v>
      </c>
      <c r="U40" s="428">
        <f t="shared" si="19"/>
        <v>2383.562841</v>
      </c>
      <c r="V40" s="428">
        <f t="shared" si="19"/>
        <v>0</v>
      </c>
      <c r="W40" s="429">
        <f t="shared" si="19"/>
        <v>0</v>
      </c>
      <c r="X40" s="429">
        <f t="shared" si="19"/>
        <v>0</v>
      </c>
      <c r="Y40" s="429">
        <f t="shared" si="19"/>
        <v>0</v>
      </c>
      <c r="Z40" s="430">
        <f t="shared" si="19"/>
        <v>0</v>
      </c>
      <c r="AA40" s="431">
        <f t="shared" si="19"/>
        <v>0</v>
      </c>
      <c r="AB40" s="41"/>
      <c r="AC40" s="764">
        <f>ROUND(SUM(AC20:AC39),2)</f>
        <v>7279.46</v>
      </c>
      <c r="AD40" s="539"/>
    </row>
    <row r="41" spans="2:30" s="275" customFormat="1" ht="9.75" thickTop="1">
      <c r="B41" s="276"/>
      <c r="C41" s="273"/>
      <c r="D41" s="274" t="s">
        <v>96</v>
      </c>
      <c r="E41" s="277"/>
      <c r="F41" s="278"/>
      <c r="G41" s="279"/>
      <c r="H41" s="278"/>
      <c r="I41" s="280"/>
      <c r="J41" s="280"/>
      <c r="K41" s="280"/>
      <c r="L41" s="280"/>
      <c r="M41" s="280"/>
      <c r="N41" s="280"/>
      <c r="O41" s="281"/>
      <c r="P41" s="280"/>
      <c r="Q41" s="280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3"/>
      <c r="AD41" s="284"/>
    </row>
    <row r="42" spans="2:30" s="275" customFormat="1" ht="18" customHeight="1">
      <c r="B42" s="276"/>
      <c r="C42" s="937"/>
      <c r="D42" s="938"/>
      <c r="E42" s="277"/>
      <c r="F42" s="278"/>
      <c r="G42" s="279"/>
      <c r="H42" s="278"/>
      <c r="I42" s="280"/>
      <c r="J42" s="280"/>
      <c r="K42" s="280"/>
      <c r="L42" s="280"/>
      <c r="M42" s="280"/>
      <c r="N42" s="280"/>
      <c r="O42" s="281"/>
      <c r="P42" s="280"/>
      <c r="Q42" s="280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3"/>
      <c r="AD42" s="284"/>
    </row>
    <row r="43" spans="2:30" s="16" customFormat="1" ht="16.5" customHeight="1" thickBot="1"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7"/>
    </row>
    <row r="44" spans="2:30" ht="16.5" customHeight="1" thickTop="1">
      <c r="B44" s="12"/>
      <c r="AD44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1121">
    <pageSetUpPr fitToPage="1"/>
  </sheetPr>
  <dimension ref="A1:AO39"/>
  <sheetViews>
    <sheetView zoomScale="75" zoomScaleNormal="75" workbookViewId="0" topLeftCell="A10">
      <selection activeCell="AM20" sqref="AM20:AM21"/>
    </sheetView>
  </sheetViews>
  <sheetFormatPr defaultColWidth="11.421875" defaultRowHeight="12.75"/>
  <cols>
    <col min="1" max="1" width="23.57421875" style="1192" customWidth="1"/>
    <col min="2" max="2" width="15.7109375" style="1192" customWidth="1"/>
    <col min="3" max="3" width="3.421875" style="1192" customWidth="1"/>
    <col min="4" max="4" width="3.57421875" style="1192" customWidth="1"/>
    <col min="5" max="5" width="4.7109375" style="1192" customWidth="1"/>
    <col min="6" max="6" width="31.57421875" style="1192" customWidth="1"/>
    <col min="7" max="7" width="5.8515625" style="1192" customWidth="1"/>
    <col min="8" max="8" width="7.140625" style="1192" bestFit="1" customWidth="1"/>
    <col min="9" max="9" width="3.7109375" style="1192" customWidth="1"/>
    <col min="10" max="10" width="9.28125" style="1192" hidden="1" customWidth="1"/>
    <col min="11" max="11" width="10.8515625" style="1192" hidden="1" customWidth="1"/>
    <col min="12" max="13" width="16.28125" style="1192" customWidth="1"/>
    <col min="14" max="14" width="7.140625" style="1196" customWidth="1"/>
    <col min="15" max="15" width="7.8515625" style="1192" customWidth="1"/>
    <col min="16" max="16" width="7.140625" style="1192" customWidth="1"/>
    <col min="17" max="17" width="6.57421875" style="1192" customWidth="1"/>
    <col min="18" max="18" width="5.421875" style="1192" customWidth="1"/>
    <col min="19" max="19" width="6.00390625" style="1192" bestFit="1" customWidth="1"/>
    <col min="20" max="20" width="17.140625" style="1192" hidden="1" customWidth="1"/>
    <col min="21" max="21" width="16.28125" style="1192" hidden="1" customWidth="1"/>
    <col min="22" max="22" width="13.7109375" style="1192" hidden="1" customWidth="1"/>
    <col min="23" max="23" width="13.28125" style="1197" hidden="1" customWidth="1"/>
    <col min="24" max="24" width="8.57421875" style="1192" customWidth="1"/>
    <col min="25" max="25" width="7.421875" style="1192" bestFit="1" customWidth="1"/>
    <col min="26" max="26" width="7.28125" style="1197" customWidth="1"/>
    <col min="27" max="27" width="8.57421875" style="1197" customWidth="1"/>
    <col min="28" max="28" width="4.140625" style="1197" bestFit="1" customWidth="1"/>
    <col min="29" max="29" width="8.57421875" style="1197" bestFit="1" customWidth="1"/>
    <col min="30" max="30" width="7.57421875" style="1197" bestFit="1" customWidth="1"/>
    <col min="31" max="31" width="12.00390625" style="1197" bestFit="1" customWidth="1"/>
    <col min="32" max="32" width="16.57421875" style="1197" hidden="1" customWidth="1"/>
    <col min="33" max="33" width="15.7109375" style="1192" hidden="1" customWidth="1"/>
    <col min="34" max="34" width="15.8515625" style="1192" hidden="1" customWidth="1"/>
    <col min="35" max="35" width="16.00390625" style="1192" hidden="1" customWidth="1"/>
    <col min="36" max="36" width="14.57421875" style="1192" hidden="1" customWidth="1"/>
    <col min="37" max="37" width="17.140625" style="1192" hidden="1" customWidth="1"/>
    <col min="38" max="38" width="18.28125" style="1192" bestFit="1" customWidth="1"/>
    <col min="39" max="39" width="13.140625" style="1192" bestFit="1" customWidth="1"/>
    <col min="40" max="40" width="3.8515625" style="1192" customWidth="1"/>
    <col min="41" max="41" width="30.421875" style="1192" customWidth="1"/>
    <col min="42" max="42" width="3.140625" style="1192" customWidth="1"/>
    <col min="43" max="43" width="3.57421875" style="1192" customWidth="1"/>
    <col min="44" max="44" width="24.28125" style="1192" customWidth="1"/>
    <col min="45" max="45" width="4.7109375" style="1192" customWidth="1"/>
    <col min="46" max="46" width="7.57421875" style="1192" customWidth="1"/>
    <col min="47" max="48" width="4.140625" style="1192" customWidth="1"/>
    <col min="49" max="49" width="7.140625" style="1192" customWidth="1"/>
    <col min="50" max="50" width="5.28125" style="1192" customWidth="1"/>
    <col min="51" max="51" width="5.421875" style="1192" customWidth="1"/>
    <col min="52" max="52" width="4.7109375" style="1192" customWidth="1"/>
    <col min="53" max="53" width="5.28125" style="1192" customWidth="1"/>
    <col min="54" max="55" width="13.28125" style="1192" customWidth="1"/>
    <col min="56" max="56" width="6.57421875" style="1192" customWidth="1"/>
    <col min="57" max="57" width="6.421875" style="1192" customWidth="1"/>
    <col min="58" max="61" width="11.421875" style="1192" customWidth="1"/>
    <col min="62" max="62" width="12.7109375" style="1192" customWidth="1"/>
    <col min="63" max="65" width="11.421875" style="1192" customWidth="1"/>
    <col min="66" max="66" width="21.00390625" style="1192" customWidth="1"/>
    <col min="67" max="16384" width="11.421875" style="1192" customWidth="1"/>
  </cols>
  <sheetData>
    <row r="1" spans="1:40" s="940" customFormat="1" ht="26.25">
      <c r="A1" s="939"/>
      <c r="N1" s="939"/>
      <c r="W1" s="939"/>
      <c r="Z1" s="939"/>
      <c r="AA1" s="939"/>
      <c r="AB1" s="939"/>
      <c r="AC1" s="939"/>
      <c r="AD1" s="939"/>
      <c r="AE1" s="939"/>
      <c r="AF1" s="939"/>
      <c r="AN1" s="941"/>
    </row>
    <row r="2" spans="1:40" s="940" customFormat="1" ht="26.25">
      <c r="A2" s="939"/>
      <c r="B2" s="942" t="str">
        <f>'tot-0401'!B2</f>
        <v>ANEXO I-1a a la Resolución ENRE N° 686/2007.-</v>
      </c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3"/>
      <c r="O2" s="942"/>
      <c r="P2" s="942"/>
      <c r="Q2" s="942"/>
      <c r="R2" s="942"/>
      <c r="S2" s="942"/>
      <c r="T2" s="942"/>
      <c r="U2" s="942"/>
      <c r="V2" s="942"/>
      <c r="W2" s="943"/>
      <c r="X2" s="942"/>
      <c r="Y2" s="942"/>
      <c r="Z2" s="943"/>
      <c r="AA2" s="943"/>
      <c r="AB2" s="943"/>
      <c r="AC2" s="943"/>
      <c r="AD2" s="943"/>
      <c r="AE2" s="943"/>
      <c r="AF2" s="943"/>
      <c r="AG2" s="942"/>
      <c r="AH2" s="942"/>
      <c r="AI2" s="942"/>
      <c r="AJ2" s="942"/>
      <c r="AK2" s="942"/>
      <c r="AL2" s="942"/>
      <c r="AM2" s="942"/>
      <c r="AN2" s="942"/>
    </row>
    <row r="3" spans="1:32" s="945" customFormat="1" ht="12.75">
      <c r="A3" s="944"/>
      <c r="N3" s="944"/>
      <c r="W3" s="944"/>
      <c r="Z3" s="944"/>
      <c r="AA3" s="944"/>
      <c r="AB3" s="944"/>
      <c r="AC3" s="944"/>
      <c r="AD3" s="944"/>
      <c r="AE3" s="944"/>
      <c r="AF3" s="944"/>
    </row>
    <row r="4" spans="1:32" s="948" customFormat="1" ht="11.25">
      <c r="A4" s="946" t="s">
        <v>50</v>
      </c>
      <c r="B4" s="947"/>
      <c r="C4" s="947"/>
      <c r="D4" s="947"/>
      <c r="N4" s="949"/>
      <c r="W4" s="949"/>
      <c r="Z4" s="949"/>
      <c r="AA4" s="949"/>
      <c r="AB4" s="949"/>
      <c r="AC4" s="949"/>
      <c r="AD4" s="949"/>
      <c r="AE4" s="949"/>
      <c r="AF4" s="949"/>
    </row>
    <row r="5" spans="1:32" s="948" customFormat="1" ht="12" thickBot="1">
      <c r="A5" s="946" t="s">
        <v>51</v>
      </c>
      <c r="B5" s="947"/>
      <c r="C5" s="947"/>
      <c r="D5" s="947"/>
      <c r="N5" s="949"/>
      <c r="W5" s="949"/>
      <c r="Z5" s="949"/>
      <c r="AA5" s="949"/>
      <c r="AB5" s="949"/>
      <c r="AC5" s="949"/>
      <c r="AD5" s="949"/>
      <c r="AE5" s="949"/>
      <c r="AF5" s="949"/>
    </row>
    <row r="6" spans="2:40" s="945" customFormat="1" ht="13.5" thickTop="1">
      <c r="B6" s="950"/>
      <c r="C6" s="951"/>
      <c r="D6" s="951"/>
      <c r="E6" s="951"/>
      <c r="F6" s="951"/>
      <c r="G6" s="952"/>
      <c r="H6" s="951"/>
      <c r="I6" s="951"/>
      <c r="J6" s="951"/>
      <c r="K6" s="951"/>
      <c r="L6" s="951"/>
      <c r="M6" s="951"/>
      <c r="N6" s="953"/>
      <c r="O6" s="951"/>
      <c r="P6" s="951"/>
      <c r="Q6" s="951"/>
      <c r="R6" s="951"/>
      <c r="S6" s="951"/>
      <c r="T6" s="951"/>
      <c r="U6" s="951"/>
      <c r="V6" s="951"/>
      <c r="W6" s="953"/>
      <c r="X6" s="951"/>
      <c r="Y6" s="951"/>
      <c r="Z6" s="953"/>
      <c r="AA6" s="953"/>
      <c r="AB6" s="953"/>
      <c r="AC6" s="953"/>
      <c r="AD6" s="953"/>
      <c r="AE6" s="953"/>
      <c r="AF6" s="953"/>
      <c r="AG6" s="951"/>
      <c r="AH6" s="951"/>
      <c r="AI6" s="951"/>
      <c r="AJ6" s="951"/>
      <c r="AK6" s="951"/>
      <c r="AL6" s="951"/>
      <c r="AM6" s="951"/>
      <c r="AN6" s="954"/>
    </row>
    <row r="7" spans="2:40" s="955" customFormat="1" ht="20.25">
      <c r="B7" s="956"/>
      <c r="C7" s="957"/>
      <c r="D7" s="957"/>
      <c r="E7" s="957"/>
      <c r="F7" s="958" t="s">
        <v>67</v>
      </c>
      <c r="G7" s="957"/>
      <c r="H7" s="957"/>
      <c r="I7" s="957"/>
      <c r="J7" s="957"/>
      <c r="N7" s="959"/>
      <c r="P7" s="957"/>
      <c r="Q7" s="957"/>
      <c r="R7" s="960"/>
      <c r="S7" s="960"/>
      <c r="T7" s="957"/>
      <c r="U7" s="957"/>
      <c r="V7" s="957"/>
      <c r="W7" s="961"/>
      <c r="X7" s="957"/>
      <c r="Y7" s="957"/>
      <c r="Z7" s="961"/>
      <c r="AA7" s="961"/>
      <c r="AB7" s="961"/>
      <c r="AC7" s="961"/>
      <c r="AD7" s="961"/>
      <c r="AE7" s="961"/>
      <c r="AF7" s="961"/>
      <c r="AG7" s="957"/>
      <c r="AH7" s="957"/>
      <c r="AI7" s="957"/>
      <c r="AJ7" s="957"/>
      <c r="AK7" s="957"/>
      <c r="AL7" s="957"/>
      <c r="AM7" s="957"/>
      <c r="AN7" s="962"/>
    </row>
    <row r="8" spans="2:40" s="945" customFormat="1" ht="12.75">
      <c r="B8" s="963"/>
      <c r="C8" s="964"/>
      <c r="D8" s="964"/>
      <c r="E8" s="964"/>
      <c r="F8" s="964"/>
      <c r="G8" s="964"/>
      <c r="H8" s="964"/>
      <c r="I8" s="964"/>
      <c r="J8" s="964"/>
      <c r="K8" s="964"/>
      <c r="L8" s="964"/>
      <c r="M8" s="964"/>
      <c r="N8" s="965"/>
      <c r="O8" s="964"/>
      <c r="P8" s="964"/>
      <c r="Q8" s="964"/>
      <c r="R8" s="964"/>
      <c r="S8" s="964"/>
      <c r="T8" s="964"/>
      <c r="U8" s="964"/>
      <c r="V8" s="964"/>
      <c r="W8" s="965"/>
      <c r="X8" s="964"/>
      <c r="Y8" s="964"/>
      <c r="Z8" s="965"/>
      <c r="AA8" s="965"/>
      <c r="AB8" s="965"/>
      <c r="AC8" s="965"/>
      <c r="AD8" s="965"/>
      <c r="AE8" s="965"/>
      <c r="AF8" s="965"/>
      <c r="AG8" s="964"/>
      <c r="AH8" s="964"/>
      <c r="AI8" s="964"/>
      <c r="AJ8" s="964"/>
      <c r="AK8" s="964"/>
      <c r="AL8" s="964"/>
      <c r="AM8" s="964"/>
      <c r="AN8" s="966"/>
    </row>
    <row r="9" spans="2:40" s="955" customFormat="1" ht="20.25">
      <c r="B9" s="956"/>
      <c r="C9" s="957"/>
      <c r="D9" s="957"/>
      <c r="E9" s="957"/>
      <c r="F9" s="967" t="s">
        <v>247</v>
      </c>
      <c r="G9" s="957"/>
      <c r="H9" s="957"/>
      <c r="I9" s="957"/>
      <c r="J9" s="957"/>
      <c r="K9" s="957"/>
      <c r="L9" s="957"/>
      <c r="M9" s="957"/>
      <c r="N9" s="961"/>
      <c r="O9" s="957"/>
      <c r="P9" s="957"/>
      <c r="Q9" s="957"/>
      <c r="R9" s="957"/>
      <c r="S9" s="957"/>
      <c r="T9" s="957"/>
      <c r="U9" s="957"/>
      <c r="V9" s="957"/>
      <c r="W9" s="961"/>
      <c r="X9" s="957"/>
      <c r="Y9" s="957"/>
      <c r="Z9" s="961"/>
      <c r="AA9" s="961"/>
      <c r="AB9" s="961"/>
      <c r="AC9" s="961"/>
      <c r="AD9" s="961"/>
      <c r="AE9" s="961"/>
      <c r="AF9" s="961"/>
      <c r="AG9" s="957"/>
      <c r="AH9" s="957"/>
      <c r="AI9" s="957"/>
      <c r="AJ9" s="957"/>
      <c r="AK9" s="957"/>
      <c r="AL9" s="957"/>
      <c r="AM9" s="957"/>
      <c r="AN9" s="962"/>
    </row>
    <row r="10" spans="2:40" s="945" customFormat="1" ht="12.75">
      <c r="B10" s="963"/>
      <c r="C10" s="964"/>
      <c r="D10" s="964"/>
      <c r="E10" s="964"/>
      <c r="F10" s="964"/>
      <c r="G10" s="964"/>
      <c r="H10" s="964"/>
      <c r="I10" s="964"/>
      <c r="J10" s="964"/>
      <c r="K10" s="964"/>
      <c r="L10" s="964"/>
      <c r="M10" s="964"/>
      <c r="N10" s="965"/>
      <c r="O10" s="964"/>
      <c r="P10" s="964"/>
      <c r="Q10" s="964"/>
      <c r="R10" s="964"/>
      <c r="S10" s="964"/>
      <c r="T10" s="964"/>
      <c r="U10" s="964"/>
      <c r="V10" s="964"/>
      <c r="W10" s="965"/>
      <c r="X10" s="964"/>
      <c r="Y10" s="964"/>
      <c r="Z10" s="965"/>
      <c r="AA10" s="965"/>
      <c r="AB10" s="965"/>
      <c r="AC10" s="965"/>
      <c r="AD10" s="965"/>
      <c r="AE10" s="965"/>
      <c r="AF10" s="965"/>
      <c r="AG10" s="964"/>
      <c r="AH10" s="964"/>
      <c r="AI10" s="964"/>
      <c r="AJ10" s="964"/>
      <c r="AK10" s="964"/>
      <c r="AL10" s="964"/>
      <c r="AM10" s="964"/>
      <c r="AN10" s="966"/>
    </row>
    <row r="11" spans="2:40" s="945" customFormat="1" ht="12.75">
      <c r="B11" s="963"/>
      <c r="C11" s="964"/>
      <c r="D11" s="964"/>
      <c r="E11" s="964"/>
      <c r="F11" s="964"/>
      <c r="G11" s="964"/>
      <c r="H11" s="964"/>
      <c r="I11" s="964"/>
      <c r="J11" s="964"/>
      <c r="K11" s="964"/>
      <c r="L11" s="964"/>
      <c r="M11" s="964"/>
      <c r="N11" s="965"/>
      <c r="O11" s="964"/>
      <c r="P11" s="964"/>
      <c r="Q11" s="964"/>
      <c r="R11" s="964"/>
      <c r="S11" s="964"/>
      <c r="T11" s="964"/>
      <c r="U11" s="964"/>
      <c r="V11" s="964"/>
      <c r="W11" s="965"/>
      <c r="X11" s="964"/>
      <c r="Y11" s="964"/>
      <c r="Z11" s="965"/>
      <c r="AA11" s="965"/>
      <c r="AB11" s="965"/>
      <c r="AC11" s="965"/>
      <c r="AD11" s="965"/>
      <c r="AE11" s="965"/>
      <c r="AF11" s="965"/>
      <c r="AG11" s="964"/>
      <c r="AH11" s="964"/>
      <c r="AI11" s="964"/>
      <c r="AJ11" s="964"/>
      <c r="AK11" s="964"/>
      <c r="AL11" s="964"/>
      <c r="AM11" s="964"/>
      <c r="AN11" s="966"/>
    </row>
    <row r="12" spans="2:40" s="968" customFormat="1" ht="19.5">
      <c r="B12" s="114" t="s">
        <v>282</v>
      </c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  <c r="O12" s="969"/>
      <c r="P12" s="971"/>
      <c r="Q12" s="971"/>
      <c r="R12" s="969"/>
      <c r="S12" s="969"/>
      <c r="T12" s="969"/>
      <c r="U12" s="969"/>
      <c r="V12" s="969"/>
      <c r="W12" s="970"/>
      <c r="X12" s="969"/>
      <c r="Y12" s="969"/>
      <c r="Z12" s="970"/>
      <c r="AA12" s="970"/>
      <c r="AB12" s="970"/>
      <c r="AC12" s="970"/>
      <c r="AD12" s="970"/>
      <c r="AE12" s="970"/>
      <c r="AF12" s="970"/>
      <c r="AG12" s="969"/>
      <c r="AH12" s="969"/>
      <c r="AI12" s="969"/>
      <c r="AJ12" s="969"/>
      <c r="AK12" s="969"/>
      <c r="AL12" s="969"/>
      <c r="AM12" s="969"/>
      <c r="AN12" s="972"/>
    </row>
    <row r="13" spans="2:40" s="945" customFormat="1" ht="16.5" customHeight="1" thickBot="1">
      <c r="B13" s="963"/>
      <c r="C13" s="964"/>
      <c r="D13" s="964"/>
      <c r="E13" s="964"/>
      <c r="F13" s="964"/>
      <c r="G13" s="973"/>
      <c r="H13" s="973"/>
      <c r="I13" s="964"/>
      <c r="J13" s="964"/>
      <c r="K13" s="964"/>
      <c r="L13" s="974"/>
      <c r="M13" s="964"/>
      <c r="N13" s="965"/>
      <c r="O13" s="964"/>
      <c r="R13" s="964"/>
      <c r="S13" s="964"/>
      <c r="T13" s="964"/>
      <c r="U13" s="964"/>
      <c r="V13" s="964"/>
      <c r="W13" s="965"/>
      <c r="X13" s="964"/>
      <c r="Y13" s="964"/>
      <c r="Z13" s="965"/>
      <c r="AA13" s="965"/>
      <c r="AB13" s="965"/>
      <c r="AC13" s="965"/>
      <c r="AD13" s="965"/>
      <c r="AE13" s="965"/>
      <c r="AF13" s="965"/>
      <c r="AG13" s="964"/>
      <c r="AH13" s="964"/>
      <c r="AI13" s="964"/>
      <c r="AJ13" s="964"/>
      <c r="AK13" s="964"/>
      <c r="AL13" s="964"/>
      <c r="AM13" s="964"/>
      <c r="AN13" s="966"/>
    </row>
    <row r="14" spans="2:40" s="945" customFormat="1" ht="16.5" customHeight="1" thickBot="1" thickTop="1">
      <c r="B14" s="963"/>
      <c r="C14" s="964"/>
      <c r="D14" s="964"/>
      <c r="E14" s="964"/>
      <c r="F14" s="975" t="s">
        <v>70</v>
      </c>
      <c r="G14" s="976">
        <v>56.353</v>
      </c>
      <c r="H14" s="977"/>
      <c r="I14" s="964"/>
      <c r="J14" s="964"/>
      <c r="K14" s="964"/>
      <c r="L14" s="978"/>
      <c r="M14" s="964"/>
      <c r="N14" s="965"/>
      <c r="O14" s="964"/>
      <c r="P14" s="964"/>
      <c r="Q14" s="964"/>
      <c r="R14" s="964"/>
      <c r="S14" s="964"/>
      <c r="T14" s="979" t="s">
        <v>248</v>
      </c>
      <c r="U14" s="980"/>
      <c r="V14" s="981"/>
      <c r="W14" s="965"/>
      <c r="X14" s="964"/>
      <c r="Y14" s="964"/>
      <c r="Z14" s="965"/>
      <c r="AA14" s="965"/>
      <c r="AB14" s="965"/>
      <c r="AC14" s="965"/>
      <c r="AD14" s="965"/>
      <c r="AE14" s="965"/>
      <c r="AF14" s="965"/>
      <c r="AG14" s="964"/>
      <c r="AH14" s="964"/>
      <c r="AI14" s="982" t="s">
        <v>248</v>
      </c>
      <c r="AJ14" s="983"/>
      <c r="AK14" s="984"/>
      <c r="AL14" s="964"/>
      <c r="AM14" s="964"/>
      <c r="AN14" s="966"/>
    </row>
    <row r="15" spans="2:40" s="945" customFormat="1" ht="16.5" customHeight="1" thickBot="1" thickTop="1">
      <c r="B15" s="963"/>
      <c r="C15" s="964"/>
      <c r="D15" s="964"/>
      <c r="E15" s="964"/>
      <c r="F15" s="975" t="s">
        <v>71</v>
      </c>
      <c r="G15" s="976">
        <v>46.961</v>
      </c>
      <c r="H15" s="977"/>
      <c r="I15" s="964"/>
      <c r="J15" s="964"/>
      <c r="K15" s="964"/>
      <c r="L15" s="978"/>
      <c r="M15" s="985"/>
      <c r="N15" s="965"/>
      <c r="O15" s="964"/>
      <c r="P15" s="964"/>
      <c r="Q15" s="964"/>
      <c r="R15" s="964"/>
      <c r="S15" s="964"/>
      <c r="T15" s="986" t="s">
        <v>249</v>
      </c>
      <c r="U15" s="987"/>
      <c r="V15" s="988"/>
      <c r="W15" s="944"/>
      <c r="X15" s="989"/>
      <c r="Z15" s="944"/>
      <c r="AA15" s="944"/>
      <c r="AB15" s="944"/>
      <c r="AC15" s="944"/>
      <c r="AD15" s="944"/>
      <c r="AE15" s="944"/>
      <c r="AF15" s="944"/>
      <c r="AI15" s="990" t="s">
        <v>250</v>
      </c>
      <c r="AJ15" s="991"/>
      <c r="AK15" s="992"/>
      <c r="AL15" s="993"/>
      <c r="AM15" s="993"/>
      <c r="AN15" s="994"/>
    </row>
    <row r="16" spans="2:40" s="945" customFormat="1" ht="16.5" customHeight="1" thickBot="1" thickTop="1">
      <c r="B16" s="963"/>
      <c r="C16" s="964"/>
      <c r="D16" s="964"/>
      <c r="E16" s="964"/>
      <c r="F16" s="964"/>
      <c r="G16" s="995"/>
      <c r="H16" s="964"/>
      <c r="I16" s="964"/>
      <c r="J16" s="964"/>
      <c r="K16" s="964"/>
      <c r="L16" s="964"/>
      <c r="M16" s="964"/>
      <c r="N16" s="965"/>
      <c r="O16" s="964"/>
      <c r="P16" s="996"/>
      <c r="Q16" s="964"/>
      <c r="R16" s="964"/>
      <c r="S16" s="964"/>
      <c r="T16" s="997" t="s">
        <v>251</v>
      </c>
      <c r="U16" s="998"/>
      <c r="V16" s="999"/>
      <c r="W16" s="965"/>
      <c r="X16" s="964"/>
      <c r="Y16" s="964"/>
      <c r="Z16" s="965"/>
      <c r="AA16" s="965"/>
      <c r="AB16" s="965"/>
      <c r="AC16" s="965"/>
      <c r="AD16" s="965"/>
      <c r="AE16" s="965"/>
      <c r="AF16" s="965"/>
      <c r="AG16" s="964"/>
      <c r="AH16" s="964"/>
      <c r="AI16" s="1000" t="s">
        <v>252</v>
      </c>
      <c r="AJ16" s="1001"/>
      <c r="AK16" s="1002"/>
      <c r="AL16" s="964"/>
      <c r="AM16" s="964"/>
      <c r="AN16" s="966"/>
    </row>
    <row r="17" spans="2:40" s="945" customFormat="1" ht="40.5" customHeight="1" thickBot="1" thickTop="1">
      <c r="B17" s="963"/>
      <c r="C17" s="964"/>
      <c r="D17" s="1003" t="s">
        <v>253</v>
      </c>
      <c r="E17" s="1004" t="s">
        <v>72</v>
      </c>
      <c r="F17" s="1005" t="s">
        <v>53</v>
      </c>
      <c r="G17" s="1006" t="s">
        <v>73</v>
      </c>
      <c r="H17" s="1007" t="s">
        <v>74</v>
      </c>
      <c r="I17" s="1008" t="s">
        <v>75</v>
      </c>
      <c r="J17" s="1009" t="s">
        <v>76</v>
      </c>
      <c r="K17" s="1010" t="s">
        <v>77</v>
      </c>
      <c r="L17" s="1005" t="s">
        <v>78</v>
      </c>
      <c r="M17" s="1011" t="s">
        <v>79</v>
      </c>
      <c r="N17" s="1012" t="s">
        <v>80</v>
      </c>
      <c r="O17" s="1013" t="s">
        <v>81</v>
      </c>
      <c r="P17" s="1014" t="s">
        <v>82</v>
      </c>
      <c r="Q17" s="1007" t="s">
        <v>83</v>
      </c>
      <c r="R17" s="1011" t="s">
        <v>84</v>
      </c>
      <c r="S17" s="1005" t="s">
        <v>85</v>
      </c>
      <c r="T17" s="1015" t="s">
        <v>88</v>
      </c>
      <c r="U17" s="1016"/>
      <c r="V17" s="1017"/>
      <c r="W17" s="1018" t="s">
        <v>254</v>
      </c>
      <c r="X17" s="1019" t="s">
        <v>255</v>
      </c>
      <c r="Y17" s="1019" t="s">
        <v>256</v>
      </c>
      <c r="Z17" s="1018" t="s">
        <v>257</v>
      </c>
      <c r="AA17" s="1018" t="s">
        <v>258</v>
      </c>
      <c r="AB17" s="1018" t="s">
        <v>259</v>
      </c>
      <c r="AC17" s="1018" t="s">
        <v>260</v>
      </c>
      <c r="AD17" s="1018" t="s">
        <v>261</v>
      </c>
      <c r="AE17" s="1018" t="s">
        <v>262</v>
      </c>
      <c r="AF17" s="1020" t="s">
        <v>263</v>
      </c>
      <c r="AG17" s="1020" t="s">
        <v>264</v>
      </c>
      <c r="AH17" s="1020" t="s">
        <v>265</v>
      </c>
      <c r="AI17" s="1015" t="s">
        <v>88</v>
      </c>
      <c r="AJ17" s="1016"/>
      <c r="AK17" s="1017"/>
      <c r="AL17" s="1018" t="s">
        <v>266</v>
      </c>
      <c r="AM17" s="1019" t="s">
        <v>93</v>
      </c>
      <c r="AN17" s="1021"/>
    </row>
    <row r="18" spans="2:40" s="945" customFormat="1" ht="16.5" customHeight="1" hidden="1" thickTop="1">
      <c r="B18" s="963"/>
      <c r="C18" s="964"/>
      <c r="D18" s="964"/>
      <c r="E18" s="1022"/>
      <c r="F18" s="1023"/>
      <c r="G18" s="1023"/>
      <c r="H18" s="1022"/>
      <c r="I18" s="1022"/>
      <c r="J18" s="1024"/>
      <c r="K18" s="1025"/>
      <c r="L18" s="1022"/>
      <c r="M18" s="1022"/>
      <c r="N18" s="1026"/>
      <c r="O18" s="1027"/>
      <c r="P18" s="1022"/>
      <c r="Q18" s="1022"/>
      <c r="R18" s="1022"/>
      <c r="S18" s="1022"/>
      <c r="T18" s="1028"/>
      <c r="U18" s="1029"/>
      <c r="V18" s="1030"/>
      <c r="W18" s="1031"/>
      <c r="X18" s="1022"/>
      <c r="Y18" s="1032"/>
      <c r="Z18" s="1033"/>
      <c r="AA18" s="1032"/>
      <c r="AB18" s="1032"/>
      <c r="AC18" s="1033"/>
      <c r="AD18" s="1033"/>
      <c r="AE18" s="1034"/>
      <c r="AF18" s="1035"/>
      <c r="AG18" s="1035"/>
      <c r="AH18" s="1035"/>
      <c r="AI18" s="1028"/>
      <c r="AJ18" s="1029"/>
      <c r="AK18" s="1030"/>
      <c r="AL18" s="1033"/>
      <c r="AM18" s="1032"/>
      <c r="AN18" s="966"/>
    </row>
    <row r="19" spans="2:40" s="945" customFormat="1" ht="16.5" customHeight="1" thickBot="1" thickTop="1">
      <c r="B19" s="963"/>
      <c r="C19" s="1036"/>
      <c r="D19" s="1037"/>
      <c r="E19" s="1038"/>
      <c r="F19" s="1039"/>
      <c r="G19" s="1040"/>
      <c r="H19" s="1039"/>
      <c r="I19" s="1039"/>
      <c r="J19" s="1041"/>
      <c r="K19" s="1042"/>
      <c r="L19" s="1043"/>
      <c r="M19" s="1044"/>
      <c r="N19" s="1045"/>
      <c r="O19" s="1045"/>
      <c r="P19" s="1046"/>
      <c r="Q19" s="1045"/>
      <c r="R19" s="1045"/>
      <c r="S19" s="1045"/>
      <c r="T19" s="1047"/>
      <c r="U19" s="1047"/>
      <c r="V19" s="1048"/>
      <c r="W19" s="1049"/>
      <c r="X19" s="1037"/>
      <c r="Y19" s="1050"/>
      <c r="Z19" s="1049"/>
      <c r="AA19" s="1050"/>
      <c r="AB19" s="1049"/>
      <c r="AC19" s="1049"/>
      <c r="AD19" s="1049"/>
      <c r="AE19" s="1051"/>
      <c r="AF19" s="1052"/>
      <c r="AG19" s="1052"/>
      <c r="AH19" s="1052"/>
      <c r="AI19" s="1047"/>
      <c r="AJ19" s="1047"/>
      <c r="AK19" s="1048"/>
      <c r="AL19" s="1049"/>
      <c r="AM19" s="1053"/>
      <c r="AN19" s="966"/>
    </row>
    <row r="20" spans="2:40" s="944" customFormat="1" ht="16.5" customHeight="1">
      <c r="B20" s="1054"/>
      <c r="C20" s="1207" t="s">
        <v>267</v>
      </c>
      <c r="D20" s="1055" t="s">
        <v>281</v>
      </c>
      <c r="E20" s="1056">
        <v>5</v>
      </c>
      <c r="F20" s="1057" t="s">
        <v>7</v>
      </c>
      <c r="G20" s="1058">
        <v>220</v>
      </c>
      <c r="H20" s="1059">
        <v>114</v>
      </c>
      <c r="I20" s="1058" t="s">
        <v>2</v>
      </c>
      <c r="J20" s="1060">
        <f aca="true" t="shared" si="0" ref="J20:J27">IF(I20="A",200,IF(I20="B",60,20))</f>
        <v>20</v>
      </c>
      <c r="K20" s="1061">
        <f aca="true" t="shared" si="1" ref="K20:K27">IF(G20=500,IF(H20&lt;100,100*$G$14/100,H20*$G$14/100),IF(H20&lt;100,100*$G$15/100,H20*$G$15/100))</f>
        <v>53.53554</v>
      </c>
      <c r="L20" s="1062">
        <v>38016.96666666667</v>
      </c>
      <c r="M20" s="1063">
        <v>38026.88958333333</v>
      </c>
      <c r="N20" s="1064">
        <f aca="true" t="shared" si="2" ref="N20:N27">IF(F20="","",(M20-L20)*24)</f>
        <v>238.14999999990687</v>
      </c>
      <c r="O20" s="1065">
        <f aca="true" t="shared" si="3" ref="O20:O27">IF(F20="","",ROUND((M20-L20)*24*60,0))</f>
        <v>14289</v>
      </c>
      <c r="P20" s="1066" t="s">
        <v>206</v>
      </c>
      <c r="Q20" s="1067" t="str">
        <f aca="true" t="shared" si="4" ref="Q20:Q27">IF(F20="","","--")</f>
        <v>--</v>
      </c>
      <c r="R20" s="1068" t="str">
        <f aca="true" t="shared" si="5" ref="R20:R27">IF(F20="","","NO")</f>
        <v>NO</v>
      </c>
      <c r="S20" s="1068" t="str">
        <f aca="true" t="shared" si="6" ref="S20:S27">IF(F20="","",IF(OR(P20="P",P20="RP"),"--","NO"))</f>
        <v>NO</v>
      </c>
      <c r="T20" s="1069">
        <f aca="true" t="shared" si="7" ref="T20:T27">IF(AND(P20="F",S20="NO"),K20*J20*IF(R20="SI",1.2,1),"--")</f>
        <v>1070.7107999999998</v>
      </c>
      <c r="U20" s="1069">
        <f aca="true" t="shared" si="8" ref="U20:U27">IF(AND(P20="F",AF20&gt;=10),K20*J20*IF(R20="SI",1.2,1)*IF(AF20&lt;=300,ROUND(AF20/60,2),5),"--")</f>
        <v>5353.553999999999</v>
      </c>
      <c r="V20" s="1070">
        <f aca="true" t="shared" si="9" ref="V20:V27">IF(AND(P20="F",AF20&gt;300),(ROUND(AF20/60,2)-5)*K20*J20*0.1*IF(R20="SI",1.2,1),"--")</f>
        <v>37239.321624</v>
      </c>
      <c r="W20" s="1071">
        <f aca="true" t="shared" si="10" ref="W20:W27">IF(F20="","",SUM(T20:V20)*IF(X20="SI",1,2))</f>
        <v>43663.586423999994</v>
      </c>
      <c r="X20" s="1072" t="str">
        <f aca="true" t="shared" si="11" ref="X20:X27">IF(F20="","","SI")</f>
        <v>SI</v>
      </c>
      <c r="Y20" s="1073">
        <v>13</v>
      </c>
      <c r="Z20" s="1074">
        <f>IF(F20="","",IF(Y20&lt;=10,48,72))</f>
        <v>72</v>
      </c>
      <c r="AA20" s="1075">
        <v>0</v>
      </c>
      <c r="AB20" s="1076">
        <f>IF(F20="","",0.9)</f>
        <v>0.9</v>
      </c>
      <c r="AC20" s="1077">
        <f>IF(F20="","",Z20+AA20)</f>
        <v>72</v>
      </c>
      <c r="AD20" s="1071">
        <f>IF(F20="","",AB20*24*Y20)</f>
        <v>280.8</v>
      </c>
      <c r="AE20" s="1078">
        <f aca="true" t="shared" si="12" ref="AE20:AE27">IF(F20="","",AD20+AC20)</f>
        <v>352.8</v>
      </c>
      <c r="AF20" s="1079">
        <f aca="true" t="shared" si="13" ref="AF20:AF27">AE20*60</f>
        <v>21168</v>
      </c>
      <c r="AG20" s="1080">
        <f aca="true" t="shared" si="14" ref="AG20:AG27">LOG(W20)/LOG(AD20)</f>
        <v>1.895166187792633</v>
      </c>
      <c r="AH20" s="1080">
        <f aca="true" t="shared" si="15" ref="AH20:AH27">1/(2*Y20)</f>
        <v>0.038461538461538464</v>
      </c>
      <c r="AI20" s="1069">
        <f aca="true" t="shared" si="16" ref="AI20:AI27">IF(AND(P20="F",S20="NO"),K20*J20*IF(R20="SI",1.2,1),"--")</f>
        <v>1070.7107999999998</v>
      </c>
      <c r="AJ20" s="1069">
        <f aca="true" t="shared" si="17" ref="AJ20:AJ27">IF(AND(P20="F",O20&gt;=10),K20*J20*IF(R20="SI",1.2,1)*IF(O20&lt;=300,ROUND(O20/60,2),5),"--")</f>
        <v>5353.553999999999</v>
      </c>
      <c r="AK20" s="1070">
        <f aca="true" t="shared" si="18" ref="AK20:AK27">IF(AND(P20="F",O20&gt;300),(ROUND(O20/60,2)-5)*K20*J20*0.1*IF(R20="SI",1.2,1),"--")</f>
        <v>24963.622302000003</v>
      </c>
      <c r="AL20" s="1071">
        <f aca="true" t="shared" si="19" ref="AL20:AL27">IF(F20="","",SUM(AI20:AK20)*IF(X20="SI",1,2))</f>
        <v>31387.887102</v>
      </c>
      <c r="AM20" s="1081">
        <f aca="true" t="shared" si="20" ref="AM20:AM27">IF(F20=""," ",IF(N20&lt;=AC20,0,(IF(N20&gt;AE20,AL20,(N20-AC20)^AG20*1/(1-AH20*(N20-AE20))))))</f>
        <v>2985.73175040801</v>
      </c>
      <c r="AN20" s="1082"/>
    </row>
    <row r="21" spans="2:40" s="944" customFormat="1" ht="16.5" customHeight="1">
      <c r="B21" s="1054"/>
      <c r="C21" s="1208"/>
      <c r="D21" s="1083" t="s">
        <v>281</v>
      </c>
      <c r="E21" s="1084">
        <v>6</v>
      </c>
      <c r="F21" s="1085" t="s">
        <v>8</v>
      </c>
      <c r="G21" s="1086">
        <v>220</v>
      </c>
      <c r="H21" s="1087">
        <v>114</v>
      </c>
      <c r="I21" s="1086" t="s">
        <v>2</v>
      </c>
      <c r="J21" s="1088">
        <f t="shared" si="0"/>
        <v>20</v>
      </c>
      <c r="K21" s="1089">
        <f t="shared" si="1"/>
        <v>53.53554</v>
      </c>
      <c r="L21" s="1090">
        <v>38016.96666666667</v>
      </c>
      <c r="M21" s="1091">
        <v>38026.89027777778</v>
      </c>
      <c r="N21" s="1092">
        <f t="shared" si="2"/>
        <v>238.16666666662786</v>
      </c>
      <c r="O21" s="1093">
        <f t="shared" si="3"/>
        <v>14290</v>
      </c>
      <c r="P21" s="1094" t="s">
        <v>206</v>
      </c>
      <c r="Q21" s="1095" t="str">
        <f t="shared" si="4"/>
        <v>--</v>
      </c>
      <c r="R21" s="1096" t="str">
        <f t="shared" si="5"/>
        <v>NO</v>
      </c>
      <c r="S21" s="1096" t="str">
        <f t="shared" si="6"/>
        <v>NO</v>
      </c>
      <c r="T21" s="1097">
        <f t="shared" si="7"/>
        <v>1070.7107999999998</v>
      </c>
      <c r="U21" s="1097">
        <f t="shared" si="8"/>
        <v>5353.553999999999</v>
      </c>
      <c r="V21" s="1098">
        <f t="shared" si="9"/>
        <v>37239.321624</v>
      </c>
      <c r="W21" s="1099">
        <f t="shared" si="10"/>
        <v>43663.586423999994</v>
      </c>
      <c r="X21" s="1100" t="str">
        <f t="shared" si="11"/>
        <v>SI</v>
      </c>
      <c r="Y21" s="1101">
        <v>13</v>
      </c>
      <c r="Z21" s="1102">
        <f>IF(F21="","",IF(Y21&lt;=10,48,72))</f>
        <v>72</v>
      </c>
      <c r="AA21" s="1103">
        <v>0</v>
      </c>
      <c r="AB21" s="1104">
        <v>0.9</v>
      </c>
      <c r="AC21" s="1099">
        <f>IF(F21="","",Z21+AA21)</f>
        <v>72</v>
      </c>
      <c r="AD21" s="1099">
        <f>IF(F21="","",IF(N20&lt;=AE20,AB21*Y21*24,AB21*Y21*24))</f>
        <v>280.8</v>
      </c>
      <c r="AE21" s="1105">
        <f t="shared" si="12"/>
        <v>352.8</v>
      </c>
      <c r="AF21" s="1106">
        <f t="shared" si="13"/>
        <v>21168</v>
      </c>
      <c r="AG21" s="1107">
        <f t="shared" si="14"/>
        <v>1.895166187792633</v>
      </c>
      <c r="AH21" s="1107">
        <f t="shared" si="15"/>
        <v>0.038461538461538464</v>
      </c>
      <c r="AI21" s="1108">
        <f t="shared" si="16"/>
        <v>1070.7107999999998</v>
      </c>
      <c r="AJ21" s="1108">
        <f t="shared" si="17"/>
        <v>5353.553999999999</v>
      </c>
      <c r="AK21" s="1109">
        <f t="shared" si="18"/>
        <v>24965.7637236</v>
      </c>
      <c r="AL21" s="1099">
        <f t="shared" si="19"/>
        <v>31390.028523599998</v>
      </c>
      <c r="AM21" s="1110">
        <f t="shared" si="20"/>
        <v>2986.6532920635605</v>
      </c>
      <c r="AN21" s="1082"/>
    </row>
    <row r="22" spans="2:40" s="944" customFormat="1" ht="16.5" customHeight="1">
      <c r="B22" s="1054"/>
      <c r="C22" s="1208"/>
      <c r="D22" s="1083"/>
      <c r="E22" s="1111"/>
      <c r="F22" s="1112"/>
      <c r="G22" s="1113"/>
      <c r="H22" s="1114"/>
      <c r="I22" s="1113"/>
      <c r="J22" s="1088">
        <f t="shared" si="0"/>
        <v>20</v>
      </c>
      <c r="K22" s="1089">
        <f t="shared" si="1"/>
        <v>46.96099999999999</v>
      </c>
      <c r="L22" s="1115"/>
      <c r="M22" s="1115"/>
      <c r="N22" s="1092">
        <f t="shared" si="2"/>
      </c>
      <c r="O22" s="1093">
        <f t="shared" si="3"/>
      </c>
      <c r="P22" s="1116"/>
      <c r="Q22" s="1095">
        <f t="shared" si="4"/>
      </c>
      <c r="R22" s="1096">
        <f t="shared" si="5"/>
      </c>
      <c r="S22" s="1096">
        <f t="shared" si="6"/>
      </c>
      <c r="T22" s="1097" t="str">
        <f t="shared" si="7"/>
        <v>--</v>
      </c>
      <c r="U22" s="1097" t="e">
        <f t="shared" si="8"/>
        <v>#VALUE!</v>
      </c>
      <c r="V22" s="1098" t="e">
        <f t="shared" si="9"/>
        <v>#VALUE!</v>
      </c>
      <c r="W22" s="1117">
        <f t="shared" si="10"/>
      </c>
      <c r="X22" s="1100">
        <f t="shared" si="11"/>
      </c>
      <c r="Y22" s="1118"/>
      <c r="Z22" s="1119">
        <f>IF(F22="","",IF(N21&lt;=AE21,0,IF(Y22&lt;=10,48,72)))</f>
      </c>
      <c r="AA22" s="1103"/>
      <c r="AB22" s="1120">
        <f>IF(F22="","",IF(N21&lt;=AE21,1,0.9))</f>
      </c>
      <c r="AC22" s="1117">
        <f>IF(F22="","",IF(N21&lt;=AE21,N21+AA22,Z22+AA22))</f>
      </c>
      <c r="AD22" s="1099">
        <f>IF(F22="","",IF(N21&lt;=AE21,AB22*Y22*24,AB22*Y22*24))</f>
      </c>
      <c r="AE22" s="1117">
        <f t="shared" si="12"/>
      </c>
      <c r="AF22" s="1121" t="e">
        <f t="shared" si="13"/>
        <v>#VALUE!</v>
      </c>
      <c r="AG22" s="1122" t="e">
        <f t="shared" si="14"/>
        <v>#VALUE!</v>
      </c>
      <c r="AH22" s="1122" t="e">
        <f t="shared" si="15"/>
        <v>#DIV/0!</v>
      </c>
      <c r="AI22" s="1097" t="str">
        <f t="shared" si="16"/>
        <v>--</v>
      </c>
      <c r="AJ22" s="1097" t="str">
        <f t="shared" si="17"/>
        <v>--</v>
      </c>
      <c r="AK22" s="1098" t="str">
        <f t="shared" si="18"/>
        <v>--</v>
      </c>
      <c r="AL22" s="1117">
        <f t="shared" si="19"/>
      </c>
      <c r="AM22" s="1117" t="str">
        <f t="shared" si="20"/>
        <v> </v>
      </c>
      <c r="AN22" s="1082"/>
    </row>
    <row r="23" spans="2:40" s="965" customFormat="1" ht="16.5" customHeight="1" thickBot="1">
      <c r="B23" s="1054"/>
      <c r="C23" s="1209"/>
      <c r="D23" s="1123"/>
      <c r="E23" s="1124"/>
      <c r="F23" s="1125"/>
      <c r="G23" s="1126"/>
      <c r="H23" s="1127"/>
      <c r="I23" s="1126"/>
      <c r="J23" s="1128">
        <f t="shared" si="0"/>
        <v>20</v>
      </c>
      <c r="K23" s="1129">
        <f t="shared" si="1"/>
        <v>46.96099999999999</v>
      </c>
      <c r="L23" s="1130"/>
      <c r="M23" s="1130"/>
      <c r="N23" s="1131">
        <f t="shared" si="2"/>
      </c>
      <c r="O23" s="1132">
        <f t="shared" si="3"/>
      </c>
      <c r="P23" s="1133"/>
      <c r="Q23" s="1134">
        <f t="shared" si="4"/>
      </c>
      <c r="R23" s="1135">
        <f t="shared" si="5"/>
      </c>
      <c r="S23" s="1135">
        <f t="shared" si="6"/>
      </c>
      <c r="T23" s="1047" t="str">
        <f t="shared" si="7"/>
        <v>--</v>
      </c>
      <c r="U23" s="1047" t="e">
        <f t="shared" si="8"/>
        <v>#VALUE!</v>
      </c>
      <c r="V23" s="1048" t="e">
        <f t="shared" si="9"/>
        <v>#VALUE!</v>
      </c>
      <c r="W23" s="1136">
        <f t="shared" si="10"/>
      </c>
      <c r="X23" s="1137">
        <f t="shared" si="11"/>
      </c>
      <c r="Y23" s="1138"/>
      <c r="Z23" s="1139">
        <f>IF(F23="","",IF(N22&lt;=AE22,0,IF(Y23&lt;=10,48,72)))</f>
      </c>
      <c r="AA23" s="1140"/>
      <c r="AB23" s="1120">
        <f>IF(F23="","",IF(N22&lt;=AE22,1,0.9))</f>
      </c>
      <c r="AC23" s="1136">
        <f>IF(F23="","",IF(N22&lt;=AE22,N22+AA23,Z23+AA23))</f>
      </c>
      <c r="AD23" s="1099">
        <f>IF(F23="","",IF(N22&lt;=AE22,AB23*Y23*24,AB23*Y23*24))</f>
      </c>
      <c r="AE23" s="1136">
        <f t="shared" si="12"/>
      </c>
      <c r="AF23" s="1141" t="e">
        <f t="shared" si="13"/>
        <v>#VALUE!</v>
      </c>
      <c r="AG23" s="1142" t="e">
        <f t="shared" si="14"/>
        <v>#VALUE!</v>
      </c>
      <c r="AH23" s="1142" t="e">
        <f t="shared" si="15"/>
        <v>#DIV/0!</v>
      </c>
      <c r="AI23" s="1047" t="str">
        <f t="shared" si="16"/>
        <v>--</v>
      </c>
      <c r="AJ23" s="1047" t="str">
        <f t="shared" si="17"/>
        <v>--</v>
      </c>
      <c r="AK23" s="1048" t="str">
        <f t="shared" si="18"/>
        <v>--</v>
      </c>
      <c r="AL23" s="1136">
        <f t="shared" si="19"/>
      </c>
      <c r="AM23" s="1136" t="str">
        <f t="shared" si="20"/>
        <v> </v>
      </c>
      <c r="AN23" s="1082"/>
    </row>
    <row r="24" spans="2:40" s="944" customFormat="1" ht="16.5" customHeight="1">
      <c r="B24" s="1054"/>
      <c r="C24" s="1207" t="s">
        <v>268</v>
      </c>
      <c r="D24" s="1055"/>
      <c r="E24" s="1143"/>
      <c r="F24" s="1144"/>
      <c r="G24" s="1145"/>
      <c r="H24" s="1146"/>
      <c r="I24" s="1145"/>
      <c r="J24" s="1060">
        <f t="shared" si="0"/>
        <v>20</v>
      </c>
      <c r="K24" s="1061">
        <f t="shared" si="1"/>
        <v>46.96099999999999</v>
      </c>
      <c r="L24" s="1147"/>
      <c r="M24" s="1148"/>
      <c r="N24" s="1064">
        <f t="shared" si="2"/>
      </c>
      <c r="O24" s="1065">
        <f t="shared" si="3"/>
      </c>
      <c r="P24" s="1066"/>
      <c r="Q24" s="1067">
        <f t="shared" si="4"/>
      </c>
      <c r="R24" s="1068">
        <f t="shared" si="5"/>
      </c>
      <c r="S24" s="1068">
        <f t="shared" si="6"/>
      </c>
      <c r="T24" s="1069" t="str">
        <f t="shared" si="7"/>
        <v>--</v>
      </c>
      <c r="U24" s="1069" t="e">
        <f t="shared" si="8"/>
        <v>#VALUE!</v>
      </c>
      <c r="V24" s="1070" t="e">
        <f t="shared" si="9"/>
        <v>#VALUE!</v>
      </c>
      <c r="W24" s="1071">
        <f t="shared" si="10"/>
      </c>
      <c r="X24" s="1072">
        <f t="shared" si="11"/>
      </c>
      <c r="Y24" s="1073"/>
      <c r="Z24" s="1149">
        <f>IF(F24="","",IF(Y24&lt;=10,48,72))</f>
      </c>
      <c r="AA24" s="1150"/>
      <c r="AB24" s="1151">
        <f>IF(F24="","",0.9)</f>
      </c>
      <c r="AC24" s="1071">
        <f>IF(F24="","",Z24+AA24)</f>
      </c>
      <c r="AD24" s="1071">
        <f>IF(F24="","",AB24*24*Y24)</f>
      </c>
      <c r="AE24" s="1078">
        <f t="shared" si="12"/>
      </c>
      <c r="AF24" s="1079" t="e">
        <f t="shared" si="13"/>
        <v>#VALUE!</v>
      </c>
      <c r="AG24" s="1080" t="e">
        <f t="shared" si="14"/>
        <v>#VALUE!</v>
      </c>
      <c r="AH24" s="1080" t="e">
        <f t="shared" si="15"/>
        <v>#DIV/0!</v>
      </c>
      <c r="AI24" s="1069" t="str">
        <f t="shared" si="16"/>
        <v>--</v>
      </c>
      <c r="AJ24" s="1069" t="str">
        <f t="shared" si="17"/>
        <v>--</v>
      </c>
      <c r="AK24" s="1070" t="str">
        <f t="shared" si="18"/>
        <v>--</v>
      </c>
      <c r="AL24" s="1071">
        <f t="shared" si="19"/>
      </c>
      <c r="AM24" s="1081" t="str">
        <f t="shared" si="20"/>
        <v> </v>
      </c>
      <c r="AN24" s="1082"/>
    </row>
    <row r="25" spans="2:40" s="944" customFormat="1" ht="16.5" customHeight="1">
      <c r="B25" s="1054"/>
      <c r="C25" s="1208"/>
      <c r="D25" s="1083"/>
      <c r="E25" s="1111"/>
      <c r="F25" s="1112"/>
      <c r="G25" s="1113"/>
      <c r="H25" s="1114"/>
      <c r="I25" s="1113"/>
      <c r="J25" s="1088">
        <f t="shared" si="0"/>
        <v>20</v>
      </c>
      <c r="K25" s="1089">
        <f t="shared" si="1"/>
        <v>46.96099999999999</v>
      </c>
      <c r="L25" s="1152"/>
      <c r="M25" s="1153"/>
      <c r="N25" s="1092">
        <f t="shared" si="2"/>
      </c>
      <c r="O25" s="1093">
        <f t="shared" si="3"/>
      </c>
      <c r="P25" s="1094"/>
      <c r="Q25" s="1095">
        <f t="shared" si="4"/>
      </c>
      <c r="R25" s="1096">
        <f t="shared" si="5"/>
      </c>
      <c r="S25" s="1096">
        <f t="shared" si="6"/>
      </c>
      <c r="T25" s="1097" t="str">
        <f t="shared" si="7"/>
        <v>--</v>
      </c>
      <c r="U25" s="1097" t="e">
        <f t="shared" si="8"/>
        <v>#VALUE!</v>
      </c>
      <c r="V25" s="1098" t="e">
        <f t="shared" si="9"/>
        <v>#VALUE!</v>
      </c>
      <c r="W25" s="1099">
        <f t="shared" si="10"/>
      </c>
      <c r="X25" s="1100">
        <f t="shared" si="11"/>
      </c>
      <c r="Y25" s="1101"/>
      <c r="Z25" s="1119">
        <f>IF(F25="","",IF(N24&lt;=AE24,0,IF(Y25&lt;=10,48,72)))</f>
      </c>
      <c r="AA25" s="1154"/>
      <c r="AB25" s="1120">
        <f>IF(F25="","",IF(N24&lt;=AE24,1,0.9))</f>
      </c>
      <c r="AC25" s="1099">
        <f>IF(F25="","",IF(N24&lt;=AE24,N24+AA25,Z25+AA25))</f>
      </c>
      <c r="AD25" s="1099">
        <f>IF(F25="","",IF(N24&lt;=AE24,AB25*Y25*24,AB25*Y25*24))</f>
      </c>
      <c r="AE25" s="1105">
        <f t="shared" si="12"/>
      </c>
      <c r="AF25" s="1106" t="e">
        <f t="shared" si="13"/>
        <v>#VALUE!</v>
      </c>
      <c r="AG25" s="1107" t="e">
        <f t="shared" si="14"/>
        <v>#VALUE!</v>
      </c>
      <c r="AH25" s="1107" t="e">
        <f t="shared" si="15"/>
        <v>#DIV/0!</v>
      </c>
      <c r="AI25" s="1108" t="str">
        <f t="shared" si="16"/>
        <v>--</v>
      </c>
      <c r="AJ25" s="1108" t="str">
        <f t="shared" si="17"/>
        <v>--</v>
      </c>
      <c r="AK25" s="1109" t="str">
        <f t="shared" si="18"/>
        <v>--</v>
      </c>
      <c r="AL25" s="1099">
        <f t="shared" si="19"/>
      </c>
      <c r="AM25" s="1110" t="str">
        <f t="shared" si="20"/>
        <v> </v>
      </c>
      <c r="AN25" s="1082"/>
    </row>
    <row r="26" spans="2:40" s="944" customFormat="1" ht="16.5" customHeight="1">
      <c r="B26" s="1054"/>
      <c r="C26" s="1208"/>
      <c r="D26" s="1083"/>
      <c r="E26" s="1111"/>
      <c r="F26" s="1112"/>
      <c r="G26" s="1113"/>
      <c r="H26" s="1114"/>
      <c r="I26" s="1113"/>
      <c r="J26" s="1088">
        <f t="shared" si="0"/>
        <v>20</v>
      </c>
      <c r="K26" s="1089">
        <f t="shared" si="1"/>
        <v>46.96099999999999</v>
      </c>
      <c r="L26" s="1115"/>
      <c r="M26" s="1115"/>
      <c r="N26" s="1092">
        <f t="shared" si="2"/>
      </c>
      <c r="O26" s="1093">
        <f t="shared" si="3"/>
      </c>
      <c r="P26" s="1116"/>
      <c r="Q26" s="1095">
        <f t="shared" si="4"/>
      </c>
      <c r="R26" s="1096">
        <f t="shared" si="5"/>
      </c>
      <c r="S26" s="1096">
        <f t="shared" si="6"/>
      </c>
      <c r="T26" s="1097" t="str">
        <f t="shared" si="7"/>
        <v>--</v>
      </c>
      <c r="U26" s="1097" t="e">
        <f t="shared" si="8"/>
        <v>#VALUE!</v>
      </c>
      <c r="V26" s="1098" t="e">
        <f t="shared" si="9"/>
        <v>#VALUE!</v>
      </c>
      <c r="W26" s="1117">
        <f t="shared" si="10"/>
      </c>
      <c r="X26" s="1100">
        <f t="shared" si="11"/>
      </c>
      <c r="Y26" s="1118"/>
      <c r="Z26" s="1102">
        <f>IF(F26="","",IF(N25&lt;=AE25,0,IF(Y26&lt;=10,48,72)))</f>
      </c>
      <c r="AA26" s="1103"/>
      <c r="AB26" s="1120">
        <f>IF(F26="","",IF(N25&lt;=AE25,1,0.9))</f>
      </c>
      <c r="AC26" s="1117">
        <f>IF(F26="","",IF(N25&lt;=AE25,N25+AA26,Z26+AA26))</f>
      </c>
      <c r="AD26" s="1099">
        <f>IF(F26="","",IF(N25&lt;=AE25,AB26*Y26*24,AB26*Y26*24))</f>
      </c>
      <c r="AE26" s="1117">
        <f t="shared" si="12"/>
      </c>
      <c r="AF26" s="1121" t="e">
        <f t="shared" si="13"/>
        <v>#VALUE!</v>
      </c>
      <c r="AG26" s="1122" t="e">
        <f t="shared" si="14"/>
        <v>#VALUE!</v>
      </c>
      <c r="AH26" s="1122" t="e">
        <f t="shared" si="15"/>
        <v>#DIV/0!</v>
      </c>
      <c r="AI26" s="1097" t="str">
        <f t="shared" si="16"/>
        <v>--</v>
      </c>
      <c r="AJ26" s="1097" t="str">
        <f t="shared" si="17"/>
        <v>--</v>
      </c>
      <c r="AK26" s="1098" t="str">
        <f t="shared" si="18"/>
        <v>--</v>
      </c>
      <c r="AL26" s="1117">
        <f t="shared" si="19"/>
      </c>
      <c r="AM26" s="1117" t="str">
        <f t="shared" si="20"/>
        <v> </v>
      </c>
      <c r="AN26" s="1082"/>
    </row>
    <row r="27" spans="2:40" s="965" customFormat="1" ht="16.5" customHeight="1" thickBot="1">
      <c r="B27" s="1054"/>
      <c r="C27" s="1209"/>
      <c r="D27" s="1123"/>
      <c r="E27" s="1124"/>
      <c r="F27" s="1125"/>
      <c r="G27" s="1126"/>
      <c r="H27" s="1127"/>
      <c r="I27" s="1126"/>
      <c r="J27" s="1128">
        <f t="shared" si="0"/>
        <v>20</v>
      </c>
      <c r="K27" s="1129">
        <f t="shared" si="1"/>
        <v>46.96099999999999</v>
      </c>
      <c r="L27" s="1130"/>
      <c r="M27" s="1130"/>
      <c r="N27" s="1131">
        <f t="shared" si="2"/>
      </c>
      <c r="O27" s="1132">
        <f t="shared" si="3"/>
      </c>
      <c r="P27" s="1133"/>
      <c r="Q27" s="1134">
        <f t="shared" si="4"/>
      </c>
      <c r="R27" s="1135">
        <f t="shared" si="5"/>
      </c>
      <c r="S27" s="1135">
        <f t="shared" si="6"/>
      </c>
      <c r="T27" s="1047" t="str">
        <f t="shared" si="7"/>
        <v>--</v>
      </c>
      <c r="U27" s="1047" t="e">
        <f t="shared" si="8"/>
        <v>#VALUE!</v>
      </c>
      <c r="V27" s="1048" t="e">
        <f t="shared" si="9"/>
        <v>#VALUE!</v>
      </c>
      <c r="W27" s="1136">
        <f t="shared" si="10"/>
      </c>
      <c r="X27" s="1137">
        <f t="shared" si="11"/>
      </c>
      <c r="Y27" s="1138"/>
      <c r="Z27" s="1139">
        <f>IF(F27="","",IF(N26&lt;=AE26,0,IF(Y27&lt;=10,48,72)))</f>
      </c>
      <c r="AA27" s="1140"/>
      <c r="AB27" s="1155">
        <f>IF(F27="","",IF(N26&lt;=AE26,1,0.9))</f>
      </c>
      <c r="AC27" s="1136">
        <f>IF(F27="","",IF(N26&lt;=AE26,N26+AA27,Z27+AA27))</f>
      </c>
      <c r="AD27" s="1156">
        <f>IF(F27="","",IF(N26&lt;=AE26,AB27*Y27*24,AB27*Y27*24))</f>
      </c>
      <c r="AE27" s="1136">
        <f t="shared" si="12"/>
      </c>
      <c r="AF27" s="1141" t="e">
        <f t="shared" si="13"/>
        <v>#VALUE!</v>
      </c>
      <c r="AG27" s="1142" t="e">
        <f t="shared" si="14"/>
        <v>#VALUE!</v>
      </c>
      <c r="AH27" s="1142" t="e">
        <f t="shared" si="15"/>
        <v>#DIV/0!</v>
      </c>
      <c r="AI27" s="1047" t="str">
        <f t="shared" si="16"/>
        <v>--</v>
      </c>
      <c r="AJ27" s="1047" t="str">
        <f t="shared" si="17"/>
        <v>--</v>
      </c>
      <c r="AK27" s="1048" t="str">
        <f t="shared" si="18"/>
        <v>--</v>
      </c>
      <c r="AL27" s="1136">
        <f t="shared" si="19"/>
      </c>
      <c r="AM27" s="1136" t="str">
        <f t="shared" si="20"/>
        <v> </v>
      </c>
      <c r="AN27" s="1082"/>
    </row>
    <row r="28" spans="1:41" s="944" customFormat="1" ht="16.5" customHeight="1" thickBot="1">
      <c r="A28" s="945"/>
      <c r="B28" s="963"/>
      <c r="C28" s="1157"/>
      <c r="D28" s="1158"/>
      <c r="E28" s="1159"/>
      <c r="F28" s="1160"/>
      <c r="G28" s="1161"/>
      <c r="H28" s="1160"/>
      <c r="I28" s="1162"/>
      <c r="J28" s="1163"/>
      <c r="K28" s="1164"/>
      <c r="L28" s="1165"/>
      <c r="M28" s="1165"/>
      <c r="N28" s="1166"/>
      <c r="O28" s="1166"/>
      <c r="P28" s="1165"/>
      <c r="Q28" s="1167"/>
      <c r="R28" s="1166"/>
      <c r="S28" s="1166"/>
      <c r="T28" s="1168"/>
      <c r="U28" s="1168"/>
      <c r="V28" s="1169"/>
      <c r="W28" s="1170"/>
      <c r="X28" s="1171"/>
      <c r="Y28" s="1172"/>
      <c r="Z28" s="1173"/>
      <c r="AA28" s="1174"/>
      <c r="AB28" s="1175"/>
      <c r="AC28" s="1173"/>
      <c r="AD28" s="1173"/>
      <c r="AE28" s="1173"/>
      <c r="AF28" s="1176"/>
      <c r="AG28" s="1177"/>
      <c r="AH28" s="1177"/>
      <c r="AI28" s="1178"/>
      <c r="AJ28" s="1178"/>
      <c r="AK28" s="1179"/>
      <c r="AL28" s="1173"/>
      <c r="AM28" s="1180"/>
      <c r="AN28" s="1082"/>
      <c r="AO28" s="945"/>
    </row>
    <row r="29" spans="2:40" s="945" customFormat="1" ht="16.5" customHeight="1" thickBot="1" thickTop="1">
      <c r="B29" s="963"/>
      <c r="C29" s="964"/>
      <c r="D29" s="964"/>
      <c r="E29" s="1181"/>
      <c r="F29" s="1182"/>
      <c r="G29" s="1183"/>
      <c r="H29" s="995"/>
      <c r="I29" s="1184"/>
      <c r="J29" s="995"/>
      <c r="K29" s="1185"/>
      <c r="L29" s="1185"/>
      <c r="M29" s="1185"/>
      <c r="N29" s="1186"/>
      <c r="O29" s="1185"/>
      <c r="P29" s="1185"/>
      <c r="Q29" s="1187"/>
      <c r="R29" s="1185"/>
      <c r="S29" s="1185"/>
      <c r="T29" s="1188">
        <f>SUM(T18:T28)</f>
        <v>2141.4215999999997</v>
      </c>
      <c r="U29" s="1188" t="e">
        <f>SUM(U18:U28)</f>
        <v>#VALUE!</v>
      </c>
      <c r="V29" s="1188" t="e">
        <f>SUM(V18:V28)</f>
        <v>#VALUE!</v>
      </c>
      <c r="W29" s="1189"/>
      <c r="X29" s="1190"/>
      <c r="Y29" s="1189"/>
      <c r="Z29" s="1189"/>
      <c r="AA29" s="1189"/>
      <c r="AB29" s="1189"/>
      <c r="AC29" s="1189"/>
      <c r="AD29" s="1189"/>
      <c r="AE29" s="1189"/>
      <c r="AF29" s="1189"/>
      <c r="AG29" s="1189"/>
      <c r="AH29" s="1189"/>
      <c r="AI29" s="1188">
        <f>SUM(AI18:AI28)</f>
        <v>2141.4215999999997</v>
      </c>
      <c r="AJ29" s="1188">
        <f>SUM(AJ18:AJ28)</f>
        <v>10707.107999999998</v>
      </c>
      <c r="AK29" s="1188">
        <f>SUM(AK18:AK28)</f>
        <v>49929.386025600004</v>
      </c>
      <c r="AL29" s="1189"/>
      <c r="AM29" s="1191">
        <f>ROUND(SUM(AM18:AM28),2)</f>
        <v>5972.39</v>
      </c>
      <c r="AN29" s="1082"/>
    </row>
    <row r="30" spans="2:40" ht="13.5" thickTop="1">
      <c r="B30" s="1193"/>
      <c r="C30" s="1194"/>
      <c r="D30" s="1194"/>
      <c r="E30" s="1192" t="s">
        <v>269</v>
      </c>
      <c r="F30" s="1195" t="s">
        <v>270</v>
      </c>
      <c r="AN30" s="1198"/>
    </row>
    <row r="31" spans="2:40" ht="12.75">
      <c r="B31" s="1193"/>
      <c r="C31" s="1194"/>
      <c r="D31" s="1194"/>
      <c r="E31" s="1192" t="s">
        <v>271</v>
      </c>
      <c r="F31" s="1195" t="s">
        <v>272</v>
      </c>
      <c r="AN31" s="1198"/>
    </row>
    <row r="32" spans="2:40" ht="12.75">
      <c r="B32" s="1193"/>
      <c r="C32" s="1194"/>
      <c r="D32" s="1194"/>
      <c r="E32" s="1195" t="s">
        <v>273</v>
      </c>
      <c r="F32" s="1195" t="s">
        <v>274</v>
      </c>
      <c r="AN32" s="1198"/>
    </row>
    <row r="33" spans="2:40" ht="12.75">
      <c r="B33" s="1193"/>
      <c r="C33" s="1194"/>
      <c r="D33" s="1194"/>
      <c r="E33" s="1195" t="s">
        <v>275</v>
      </c>
      <c r="F33" s="1195" t="s">
        <v>276</v>
      </c>
      <c r="AN33" s="1198"/>
    </row>
    <row r="34" spans="2:40" s="945" customFormat="1" ht="16.5" customHeight="1" thickBot="1">
      <c r="B34" s="1199"/>
      <c r="C34" s="1200"/>
      <c r="D34" s="1200"/>
      <c r="E34" s="1204" t="s">
        <v>281</v>
      </c>
      <c r="F34" s="1204" t="s">
        <v>280</v>
      </c>
      <c r="G34" s="1204"/>
      <c r="H34" s="1204"/>
      <c r="I34" s="1204"/>
      <c r="J34" s="1204"/>
      <c r="K34" s="1204"/>
      <c r="L34" s="1204"/>
      <c r="M34" s="1204"/>
      <c r="N34" s="1205"/>
      <c r="O34" s="1204"/>
      <c r="P34" s="1204"/>
      <c r="Q34" s="1204"/>
      <c r="R34" s="1204"/>
      <c r="S34" s="1204"/>
      <c r="T34" s="1204"/>
      <c r="U34" s="1204"/>
      <c r="V34" s="1204"/>
      <c r="W34" s="1205"/>
      <c r="X34" s="1204"/>
      <c r="Y34" s="1204"/>
      <c r="Z34" s="1205"/>
      <c r="AA34" s="1205"/>
      <c r="AB34" s="1205"/>
      <c r="AC34" s="1205"/>
      <c r="AD34" s="1205"/>
      <c r="AE34" s="1205"/>
      <c r="AF34" s="1205"/>
      <c r="AG34" s="1204"/>
      <c r="AH34" s="1204"/>
      <c r="AI34" s="1204"/>
      <c r="AJ34" s="1204"/>
      <c r="AK34" s="1204"/>
      <c r="AL34" s="1204"/>
      <c r="AM34" s="1204"/>
      <c r="AN34" s="1201"/>
    </row>
    <row r="35" spans="2:40" ht="16.5" customHeight="1" thickTop="1">
      <c r="B35" s="1194"/>
      <c r="C35" s="1194"/>
      <c r="D35" s="1194"/>
      <c r="AN35" s="1194"/>
    </row>
    <row r="36" spans="6:15" ht="15.75">
      <c r="F36" s="1202"/>
      <c r="G36" s="1202"/>
      <c r="H36" s="1202"/>
      <c r="I36" s="1202"/>
      <c r="J36" s="1202"/>
      <c r="K36" s="1202"/>
      <c r="L36" s="1202"/>
      <c r="M36" s="1202"/>
      <c r="N36" s="1203"/>
      <c r="O36" s="1202"/>
    </row>
    <row r="37" spans="6:15" ht="15.75">
      <c r="F37" s="1202"/>
      <c r="G37" s="1202"/>
      <c r="H37" s="1202"/>
      <c r="I37" s="1202"/>
      <c r="J37" s="1202"/>
      <c r="K37" s="1202"/>
      <c r="L37" s="1202"/>
      <c r="M37" s="1202"/>
      <c r="N37" s="1203"/>
      <c r="O37" s="1202"/>
    </row>
    <row r="38" spans="6:15" ht="15.75">
      <c r="F38" s="1202"/>
      <c r="G38" s="1202"/>
      <c r="H38" s="1202"/>
      <c r="I38" s="1202"/>
      <c r="J38" s="1202"/>
      <c r="K38" s="1202"/>
      <c r="L38" s="1202"/>
      <c r="M38" s="1202"/>
      <c r="N38" s="1203"/>
      <c r="O38" s="1202"/>
    </row>
    <row r="39" spans="6:15" ht="15.75">
      <c r="F39" s="1202"/>
      <c r="G39" s="1202"/>
      <c r="H39" s="1202"/>
      <c r="I39" s="1202"/>
      <c r="J39" s="1202"/>
      <c r="K39" s="1202"/>
      <c r="L39" s="1202"/>
      <c r="M39" s="1202"/>
      <c r="N39" s="1203"/>
      <c r="O39" s="1202"/>
    </row>
  </sheetData>
  <mergeCells count="2">
    <mergeCell ref="C20:C23"/>
    <mergeCell ref="C24:C2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C157"/>
  <sheetViews>
    <sheetView zoomScale="75" zoomScaleNormal="75" workbookViewId="0" topLeftCell="D1">
      <selection activeCell="Z22" sqref="Z22:AA26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94" customFormat="1" ht="26.2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760"/>
    </row>
    <row r="2" spans="1:28" s="94" customFormat="1" ht="26.25">
      <c r="A2" s="144"/>
      <c r="B2" s="190" t="str">
        <f>+'tot-0401'!B2</f>
        <v>ANEXO I-1a a la Resolución ENRE N° 686/2007.-</v>
      </c>
      <c r="C2" s="190"/>
      <c r="D2" s="190"/>
      <c r="E2" s="95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</row>
    <row r="3" spans="1:28" s="16" customFormat="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s="101" customFormat="1" ht="11.25">
      <c r="A4" s="214" t="s">
        <v>100</v>
      </c>
      <c r="B4" s="215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s="101" customFormat="1" ht="11.25">
      <c r="A5" s="214" t="s">
        <v>51</v>
      </c>
      <c r="B5" s="215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</row>
    <row r="6" spans="1:28" s="16" customFormat="1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s="16" customFormat="1" ht="13.5" thickTop="1">
      <c r="A7" s="64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48"/>
    </row>
    <row r="8" spans="1:28" s="10" customFormat="1" ht="20.25">
      <c r="A8" s="192"/>
      <c r="B8" s="193"/>
      <c r="C8" s="192"/>
      <c r="D8" s="195" t="s">
        <v>67</v>
      </c>
      <c r="E8" s="192"/>
      <c r="F8" s="192"/>
      <c r="G8" s="194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42"/>
      <c r="S8" s="42"/>
      <c r="T8" s="42"/>
      <c r="U8" s="42"/>
      <c r="V8" s="42"/>
      <c r="W8" s="42"/>
      <c r="X8" s="42"/>
      <c r="Y8" s="42"/>
      <c r="Z8" s="42"/>
      <c r="AA8" s="42"/>
      <c r="AB8" s="161"/>
    </row>
    <row r="9" spans="1:28" s="16" customFormat="1" ht="12.75">
      <c r="A9" s="64"/>
      <c r="B9" s="182"/>
      <c r="C9" s="64"/>
      <c r="D9" s="65"/>
      <c r="E9" s="188"/>
      <c r="F9" s="64"/>
      <c r="G9" s="65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65"/>
      <c r="T9" s="65"/>
      <c r="U9" s="65"/>
      <c r="V9" s="65"/>
      <c r="W9" s="65"/>
      <c r="X9" s="65"/>
      <c r="Y9" s="65"/>
      <c r="Z9" s="65"/>
      <c r="AA9" s="65"/>
      <c r="AB9" s="149"/>
    </row>
    <row r="10" spans="1:28" s="10" customFormat="1" ht="20.25">
      <c r="A10" s="192"/>
      <c r="B10" s="193"/>
      <c r="C10" s="192"/>
      <c r="D10" s="195" t="s">
        <v>101</v>
      </c>
      <c r="E10" s="192"/>
      <c r="F10" s="67"/>
      <c r="G10" s="4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161"/>
    </row>
    <row r="11" spans="1:28" s="16" customFormat="1" ht="12.75">
      <c r="A11" s="64"/>
      <c r="B11" s="182"/>
      <c r="C11" s="64"/>
      <c r="D11" s="65"/>
      <c r="E11" s="65"/>
      <c r="F11" s="65"/>
      <c r="G11" s="65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149"/>
    </row>
    <row r="12" spans="1:28" s="16" customFormat="1" ht="20.25">
      <c r="A12" s="192"/>
      <c r="B12" s="193"/>
      <c r="C12" s="192"/>
      <c r="D12" s="196" t="s">
        <v>102</v>
      </c>
      <c r="E12" s="192"/>
      <c r="F12" s="192"/>
      <c r="G12" s="192"/>
      <c r="H12" s="189"/>
      <c r="I12" s="189"/>
      <c r="J12" s="189"/>
      <c r="K12" s="189"/>
      <c r="L12" s="189"/>
      <c r="M12" s="64"/>
      <c r="N12" s="64"/>
      <c r="O12" s="64"/>
      <c r="P12" s="6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149"/>
    </row>
    <row r="13" spans="1:28" s="16" customFormat="1" ht="12.75">
      <c r="A13" s="64"/>
      <c r="B13" s="182"/>
      <c r="C13" s="64"/>
      <c r="D13" s="65"/>
      <c r="E13" s="65"/>
      <c r="F13" s="65"/>
      <c r="G13" s="183"/>
      <c r="H13" s="65"/>
      <c r="I13" s="65"/>
      <c r="J13" s="65"/>
      <c r="K13" s="65"/>
      <c r="L13" s="65"/>
      <c r="M13" s="64"/>
      <c r="N13" s="64"/>
      <c r="O13" s="64"/>
      <c r="P13" s="64"/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149"/>
    </row>
    <row r="14" spans="1:28" s="15" customFormat="1" ht="19.5">
      <c r="A14" s="197"/>
      <c r="B14" s="198" t="str">
        <f>+'tot-0401'!B14</f>
        <v>Desde el 01 al 31 de enero de 2004</v>
      </c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199"/>
      <c r="N14" s="199"/>
      <c r="O14" s="199"/>
      <c r="P14" s="199"/>
      <c r="Q14" s="199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1"/>
    </row>
    <row r="15" spans="1:28" s="16" customFormat="1" ht="13.5" thickBot="1">
      <c r="A15" s="64"/>
      <c r="B15" s="182"/>
      <c r="C15" s="64"/>
      <c r="D15" s="65"/>
      <c r="E15" s="65"/>
      <c r="F15" s="65"/>
      <c r="G15" s="183"/>
      <c r="H15" s="65"/>
      <c r="I15" s="65"/>
      <c r="J15" s="65"/>
      <c r="K15" s="65"/>
      <c r="L15" s="65"/>
      <c r="M15" s="64"/>
      <c r="N15" s="64"/>
      <c r="O15" s="64"/>
      <c r="P15" s="64"/>
      <c r="Q15" s="64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149"/>
    </row>
    <row r="16" spans="1:28" s="16" customFormat="1" ht="16.5" customHeight="1" thickBot="1" thickTop="1">
      <c r="A16" s="64"/>
      <c r="B16" s="182"/>
      <c r="C16" s="64"/>
      <c r="D16" s="354" t="s">
        <v>103</v>
      </c>
      <c r="E16" s="355"/>
      <c r="F16" s="356">
        <v>0.154</v>
      </c>
      <c r="H16" s="64"/>
      <c r="I16" s="64"/>
      <c r="J16" s="64"/>
      <c r="K16" s="64"/>
      <c r="L16" s="64"/>
      <c r="M16" s="64"/>
      <c r="N16" s="6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149"/>
    </row>
    <row r="17" spans="1:28" s="16" customFormat="1" ht="16.5" customHeight="1" thickBot="1" thickTop="1">
      <c r="A17" s="64"/>
      <c r="B17" s="182"/>
      <c r="C17" s="64"/>
      <c r="D17" s="202" t="s">
        <v>104</v>
      </c>
      <c r="E17" s="203"/>
      <c r="F17" s="204">
        <v>200</v>
      </c>
      <c r="G17"/>
      <c r="H17" s="65"/>
      <c r="I17" s="762"/>
      <c r="J17" s="763"/>
      <c r="K17" s="14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6"/>
      <c r="Y17" s="66"/>
      <c r="Z17" s="66"/>
      <c r="AA17" s="64"/>
      <c r="AB17" s="149"/>
    </row>
    <row r="18" spans="1:28" s="16" customFormat="1" ht="16.5" customHeight="1" thickBot="1" thickTop="1">
      <c r="A18" s="64"/>
      <c r="B18" s="182"/>
      <c r="C18" s="64"/>
      <c r="D18" s="65"/>
      <c r="E18" s="65"/>
      <c r="F18" s="65"/>
      <c r="G18" s="1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149"/>
    </row>
    <row r="19" spans="1:28" s="16" customFormat="1" ht="33.75" customHeight="1" thickBot="1" thickTop="1">
      <c r="A19" s="64"/>
      <c r="B19" s="182"/>
      <c r="C19" s="205" t="s">
        <v>72</v>
      </c>
      <c r="D19" s="208" t="s">
        <v>105</v>
      </c>
      <c r="E19" s="206" t="s">
        <v>45</v>
      </c>
      <c r="F19" s="209" t="s">
        <v>106</v>
      </c>
      <c r="G19" s="210" t="s">
        <v>73</v>
      </c>
      <c r="H19" s="350" t="s">
        <v>77</v>
      </c>
      <c r="I19" s="206" t="s">
        <v>78</v>
      </c>
      <c r="J19" s="206" t="s">
        <v>79</v>
      </c>
      <c r="K19" s="208" t="s">
        <v>107</v>
      </c>
      <c r="L19" s="208" t="s">
        <v>81</v>
      </c>
      <c r="M19" s="173" t="s">
        <v>82</v>
      </c>
      <c r="N19" s="173" t="s">
        <v>83</v>
      </c>
      <c r="O19" s="207" t="s">
        <v>85</v>
      </c>
      <c r="P19" s="206" t="s">
        <v>108</v>
      </c>
      <c r="Q19" s="448" t="s">
        <v>76</v>
      </c>
      <c r="R19" s="453" t="s">
        <v>86</v>
      </c>
      <c r="S19" s="459" t="s">
        <v>87</v>
      </c>
      <c r="T19" s="347" t="s">
        <v>109</v>
      </c>
      <c r="U19" s="349"/>
      <c r="V19" s="475" t="s">
        <v>110</v>
      </c>
      <c r="W19" s="476"/>
      <c r="X19" s="488" t="s">
        <v>90</v>
      </c>
      <c r="Y19" s="493" t="s">
        <v>91</v>
      </c>
      <c r="Z19" s="176" t="s">
        <v>92</v>
      </c>
      <c r="AA19" s="210" t="s">
        <v>93</v>
      </c>
      <c r="AB19" s="149"/>
    </row>
    <row r="20" spans="1:28" s="16" customFormat="1" ht="16.5" customHeight="1" hidden="1" thickTop="1">
      <c r="A20" s="64"/>
      <c r="B20" s="182"/>
      <c r="C20" s="445"/>
      <c r="D20" s="445"/>
      <c r="E20" s="445"/>
      <c r="F20" s="445"/>
      <c r="G20" s="446"/>
      <c r="H20" s="444"/>
      <c r="I20" s="445"/>
      <c r="J20" s="445"/>
      <c r="K20" s="445"/>
      <c r="L20" s="445"/>
      <c r="M20" s="445"/>
      <c r="N20" s="419"/>
      <c r="O20" s="447"/>
      <c r="P20" s="445"/>
      <c r="Q20" s="449"/>
      <c r="R20" s="454"/>
      <c r="S20" s="460"/>
      <c r="T20" s="465"/>
      <c r="U20" s="466"/>
      <c r="V20" s="477"/>
      <c r="W20" s="478"/>
      <c r="X20" s="489"/>
      <c r="Y20" s="494"/>
      <c r="Z20" s="447"/>
      <c r="AA20" s="634"/>
      <c r="AB20" s="149"/>
    </row>
    <row r="21" spans="1:28" s="16" customFormat="1" ht="16.5" customHeight="1" thickTop="1">
      <c r="A21" s="64"/>
      <c r="B21" s="182"/>
      <c r="C21" s="44"/>
      <c r="D21" s="44"/>
      <c r="E21" s="44"/>
      <c r="F21" s="44"/>
      <c r="G21" s="45"/>
      <c r="H21" s="358"/>
      <c r="I21" s="44"/>
      <c r="J21" s="44"/>
      <c r="K21" s="44"/>
      <c r="L21" s="44"/>
      <c r="M21" s="44"/>
      <c r="N21" s="18"/>
      <c r="O21" s="46"/>
      <c r="P21" s="44"/>
      <c r="Q21" s="450"/>
      <c r="R21" s="455"/>
      <c r="S21" s="461"/>
      <c r="T21" s="467"/>
      <c r="U21" s="468"/>
      <c r="V21" s="479"/>
      <c r="W21" s="480"/>
      <c r="X21" s="490"/>
      <c r="Y21" s="495"/>
      <c r="Z21" s="46"/>
      <c r="AA21" s="211"/>
      <c r="AB21" s="149"/>
    </row>
    <row r="22" spans="1:28" s="16" customFormat="1" ht="16.5" customHeight="1">
      <c r="A22" s="64"/>
      <c r="B22" s="182"/>
      <c r="C22" s="775">
        <v>10</v>
      </c>
      <c r="D22" s="821" t="s">
        <v>20</v>
      </c>
      <c r="E22" s="822" t="s">
        <v>15</v>
      </c>
      <c r="F22" s="823">
        <v>300</v>
      </c>
      <c r="G22" s="824" t="s">
        <v>12</v>
      </c>
      <c r="H22" s="631">
        <f aca="true" t="shared" si="0" ref="H22:H41">F22*$F$16</f>
        <v>46.2</v>
      </c>
      <c r="I22" s="830">
        <v>37987</v>
      </c>
      <c r="J22" s="830">
        <v>38017.99930555555</v>
      </c>
      <c r="K22" s="55">
        <f aca="true" t="shared" si="1" ref="K22:K41">IF(D22="","",(J22-I22)*24)</f>
        <v>743.983333333279</v>
      </c>
      <c r="L22" s="56">
        <f aca="true" t="shared" si="2" ref="L22:L41">IF(D22="","",ROUND((J22-I22)*24*60,0))</f>
        <v>44639</v>
      </c>
      <c r="M22" s="832" t="s">
        <v>222</v>
      </c>
      <c r="N22" s="820" t="str">
        <f aca="true" t="shared" si="3" ref="N22:N41">IF(D22="","","--")</f>
        <v>--</v>
      </c>
      <c r="O22" s="833" t="str">
        <f aca="true" t="shared" si="4" ref="O22:O41">IF(D22="","",IF(OR(M22="P",M22="RP"),"--","NO"))</f>
        <v>NO</v>
      </c>
      <c r="P22" s="796" t="str">
        <f aca="true" t="shared" si="5" ref="P22:P41">IF(D22="","","NO")</f>
        <v>NO</v>
      </c>
      <c r="Q22" s="451">
        <f aca="true" t="shared" si="6" ref="Q22:Q41">$F$17*IF(OR(M22="P",M22="RP"),0.1,1)*IF(P22="SI",1,0.1)</f>
        <v>20</v>
      </c>
      <c r="R22" s="456" t="str">
        <f aca="true" t="shared" si="7" ref="R22:R41">IF(M22="P",H22*Q22*ROUND(L22/60,2),"--")</f>
        <v>--</v>
      </c>
      <c r="S22" s="462" t="str">
        <f aca="true" t="shared" si="8" ref="S22:S41">IF(M22="RP",H22*Q22*N22/100*ROUND(L22/60,2),"--")</f>
        <v>--</v>
      </c>
      <c r="T22" s="469" t="str">
        <f aca="true" t="shared" si="9" ref="T22:T41">IF(AND(M22="F",O22="NO"),H22*Q22,"--")</f>
        <v>--</v>
      </c>
      <c r="U22" s="470" t="str">
        <f aca="true" t="shared" si="10" ref="U22:U41">IF(M22="F",H22*Q22*ROUND(L22/60,2),"--")</f>
        <v>--</v>
      </c>
      <c r="V22" s="481" t="str">
        <f aca="true" t="shared" si="11" ref="V22:V41">IF(AND(M22="R",O22="NO"),H22*Q22*N22/100,"--")</f>
        <v>--</v>
      </c>
      <c r="W22" s="482" t="str">
        <f aca="true" t="shared" si="12" ref="W22:W41">IF(M22="R",H22*Q22*N22/100*ROUND(L22/60,2),"--")</f>
        <v>--</v>
      </c>
      <c r="X22" s="491">
        <f aca="true" t="shared" si="13" ref="X22:X41">IF(M22="RF",H22*Q22*ROUND(L22/60,2),"--")</f>
        <v>687437.52</v>
      </c>
      <c r="Y22" s="496" t="str">
        <f aca="true" t="shared" si="14" ref="Y22:Y41">IF(M22="RR",H22*Q22*N22/100*ROUND(L22/60,2),"--")</f>
        <v>--</v>
      </c>
      <c r="Z22" s="58" t="str">
        <f aca="true" t="shared" si="15" ref="Z22:Z41">IF(D22="","","SI")</f>
        <v>SI</v>
      </c>
      <c r="AA22" s="212">
        <f aca="true" t="shared" si="16" ref="AA22:AA41">IF(D22="","",SUM(R22:Y22)*IF(Z22="SI",1,2))</f>
        <v>687437.52</v>
      </c>
      <c r="AB22" s="149"/>
    </row>
    <row r="23" spans="1:28" s="16" customFormat="1" ht="16.5" customHeight="1">
      <c r="A23" s="64"/>
      <c r="B23" s="182"/>
      <c r="C23" s="775">
        <v>11</v>
      </c>
      <c r="D23" s="821" t="s">
        <v>23</v>
      </c>
      <c r="E23" s="822" t="s">
        <v>21</v>
      </c>
      <c r="F23" s="823">
        <v>200</v>
      </c>
      <c r="G23" s="824" t="s">
        <v>22</v>
      </c>
      <c r="H23" s="631">
        <f t="shared" si="0"/>
        <v>30.8</v>
      </c>
      <c r="I23" s="830">
        <v>37990.33888888889</v>
      </c>
      <c r="J23" s="830">
        <v>37990.66875</v>
      </c>
      <c r="K23" s="55">
        <f t="shared" si="1"/>
        <v>7.916666666627862</v>
      </c>
      <c r="L23" s="56">
        <f t="shared" si="2"/>
        <v>475</v>
      </c>
      <c r="M23" s="832" t="s">
        <v>216</v>
      </c>
      <c r="N23" s="820" t="str">
        <f t="shared" si="3"/>
        <v>--</v>
      </c>
      <c r="O23" s="833" t="str">
        <f t="shared" si="4"/>
        <v>--</v>
      </c>
      <c r="P23" s="796" t="str">
        <f t="shared" si="5"/>
        <v>NO</v>
      </c>
      <c r="Q23" s="451">
        <f t="shared" si="6"/>
        <v>2</v>
      </c>
      <c r="R23" s="456">
        <f t="shared" si="7"/>
        <v>487.872</v>
      </c>
      <c r="S23" s="462" t="str">
        <f t="shared" si="8"/>
        <v>--</v>
      </c>
      <c r="T23" s="469" t="str">
        <f t="shared" si="9"/>
        <v>--</v>
      </c>
      <c r="U23" s="470" t="str">
        <f t="shared" si="10"/>
        <v>--</v>
      </c>
      <c r="V23" s="481" t="str">
        <f t="shared" si="11"/>
        <v>--</v>
      </c>
      <c r="W23" s="482" t="str">
        <f t="shared" si="12"/>
        <v>--</v>
      </c>
      <c r="X23" s="491" t="str">
        <f t="shared" si="13"/>
        <v>--</v>
      </c>
      <c r="Y23" s="496" t="str">
        <f t="shared" si="14"/>
        <v>--</v>
      </c>
      <c r="Z23" s="58" t="str">
        <f t="shared" si="15"/>
        <v>SI</v>
      </c>
      <c r="AA23" s="212">
        <f t="shared" si="16"/>
        <v>487.872</v>
      </c>
      <c r="AB23" s="149"/>
    </row>
    <row r="24" spans="1:28" s="16" customFormat="1" ht="16.5" customHeight="1">
      <c r="A24" s="64"/>
      <c r="B24" s="182"/>
      <c r="C24" s="775">
        <v>12</v>
      </c>
      <c r="D24" s="821" t="s">
        <v>18</v>
      </c>
      <c r="E24" s="822" t="s">
        <v>14</v>
      </c>
      <c r="F24" s="823">
        <v>800</v>
      </c>
      <c r="G24" s="824" t="s">
        <v>19</v>
      </c>
      <c r="H24" s="631">
        <f t="shared" si="0"/>
        <v>123.2</v>
      </c>
      <c r="I24" s="830">
        <v>37994.07083333333</v>
      </c>
      <c r="J24" s="830">
        <v>37994.25902777778</v>
      </c>
      <c r="K24" s="55">
        <f t="shared" si="1"/>
        <v>4.516666666720994</v>
      </c>
      <c r="L24" s="56">
        <f t="shared" si="2"/>
        <v>271</v>
      </c>
      <c r="M24" s="832" t="s">
        <v>216</v>
      </c>
      <c r="N24" s="820" t="str">
        <f t="shared" si="3"/>
        <v>--</v>
      </c>
      <c r="O24" s="833" t="str">
        <f t="shared" si="4"/>
        <v>--</v>
      </c>
      <c r="P24" s="796" t="str">
        <f t="shared" si="5"/>
        <v>NO</v>
      </c>
      <c r="Q24" s="451">
        <f t="shared" si="6"/>
        <v>2</v>
      </c>
      <c r="R24" s="456">
        <f t="shared" si="7"/>
        <v>1113.7279999999998</v>
      </c>
      <c r="S24" s="462" t="str">
        <f t="shared" si="8"/>
        <v>--</v>
      </c>
      <c r="T24" s="469" t="str">
        <f t="shared" si="9"/>
        <v>--</v>
      </c>
      <c r="U24" s="470" t="str">
        <f t="shared" si="10"/>
        <v>--</v>
      </c>
      <c r="V24" s="481" t="str">
        <f t="shared" si="11"/>
        <v>--</v>
      </c>
      <c r="W24" s="482" t="str">
        <f t="shared" si="12"/>
        <v>--</v>
      </c>
      <c r="X24" s="491" t="str">
        <f t="shared" si="13"/>
        <v>--</v>
      </c>
      <c r="Y24" s="496" t="str">
        <f t="shared" si="14"/>
        <v>--</v>
      </c>
      <c r="Z24" s="58" t="str">
        <f t="shared" si="15"/>
        <v>SI</v>
      </c>
      <c r="AA24" s="212">
        <f t="shared" si="16"/>
        <v>1113.7279999999998</v>
      </c>
      <c r="AB24" s="149"/>
    </row>
    <row r="25" spans="1:28" s="16" customFormat="1" ht="16.5" customHeight="1">
      <c r="A25" s="64"/>
      <c r="B25" s="182"/>
      <c r="C25" s="775">
        <v>13</v>
      </c>
      <c r="D25" s="821" t="s">
        <v>26</v>
      </c>
      <c r="E25" s="822" t="s">
        <v>15</v>
      </c>
      <c r="F25" s="823">
        <v>300</v>
      </c>
      <c r="G25" s="824" t="s">
        <v>12</v>
      </c>
      <c r="H25" s="631">
        <f t="shared" si="0"/>
        <v>46.2</v>
      </c>
      <c r="I25" s="830">
        <v>37995.305555555555</v>
      </c>
      <c r="J25" s="830">
        <v>37995.36597222222</v>
      </c>
      <c r="K25" s="55">
        <f t="shared" si="1"/>
        <v>1.4500000000116415</v>
      </c>
      <c r="L25" s="56">
        <f t="shared" si="2"/>
        <v>87</v>
      </c>
      <c r="M25" s="832" t="s">
        <v>216</v>
      </c>
      <c r="N25" s="820" t="str">
        <f t="shared" si="3"/>
        <v>--</v>
      </c>
      <c r="O25" s="833" t="str">
        <f t="shared" si="4"/>
        <v>--</v>
      </c>
      <c r="P25" s="796" t="str">
        <f t="shared" si="5"/>
        <v>NO</v>
      </c>
      <c r="Q25" s="451">
        <f t="shared" si="6"/>
        <v>2</v>
      </c>
      <c r="R25" s="456">
        <f t="shared" si="7"/>
        <v>133.98000000000002</v>
      </c>
      <c r="S25" s="462" t="str">
        <f t="shared" si="8"/>
        <v>--</v>
      </c>
      <c r="T25" s="469" t="str">
        <f t="shared" si="9"/>
        <v>--</v>
      </c>
      <c r="U25" s="470" t="str">
        <f t="shared" si="10"/>
        <v>--</v>
      </c>
      <c r="V25" s="481" t="str">
        <f t="shared" si="11"/>
        <v>--</v>
      </c>
      <c r="W25" s="482" t="str">
        <f t="shared" si="12"/>
        <v>--</v>
      </c>
      <c r="X25" s="491" t="str">
        <f t="shared" si="13"/>
        <v>--</v>
      </c>
      <c r="Y25" s="496" t="str">
        <f t="shared" si="14"/>
        <v>--</v>
      </c>
      <c r="Z25" s="58" t="str">
        <f t="shared" si="15"/>
        <v>SI</v>
      </c>
      <c r="AA25" s="212">
        <f t="shared" si="16"/>
        <v>133.98000000000002</v>
      </c>
      <c r="AB25" s="149"/>
    </row>
    <row r="26" spans="1:28" s="16" customFormat="1" ht="16.5" customHeight="1">
      <c r="A26" s="64"/>
      <c r="B26" s="182"/>
      <c r="C26" s="775">
        <v>14</v>
      </c>
      <c r="D26" s="821" t="s">
        <v>18</v>
      </c>
      <c r="E26" s="822" t="s">
        <v>14</v>
      </c>
      <c r="F26" s="823">
        <v>800</v>
      </c>
      <c r="G26" s="824" t="s">
        <v>19</v>
      </c>
      <c r="H26" s="631">
        <f t="shared" si="0"/>
        <v>123.2</v>
      </c>
      <c r="I26" s="830">
        <v>37997.302777777775</v>
      </c>
      <c r="J26" s="830">
        <v>37997.65347222222</v>
      </c>
      <c r="K26" s="55">
        <f t="shared" si="1"/>
        <v>8.41666666668607</v>
      </c>
      <c r="L26" s="56">
        <f t="shared" si="2"/>
        <v>505</v>
      </c>
      <c r="M26" s="832" t="s">
        <v>216</v>
      </c>
      <c r="N26" s="820" t="str">
        <f t="shared" si="3"/>
        <v>--</v>
      </c>
      <c r="O26" s="833" t="str">
        <f t="shared" si="4"/>
        <v>--</v>
      </c>
      <c r="P26" s="796" t="str">
        <f t="shared" si="5"/>
        <v>NO</v>
      </c>
      <c r="Q26" s="451">
        <f t="shared" si="6"/>
        <v>2</v>
      </c>
      <c r="R26" s="456">
        <f t="shared" si="7"/>
        <v>2074.688</v>
      </c>
      <c r="S26" s="462" t="str">
        <f t="shared" si="8"/>
        <v>--</v>
      </c>
      <c r="T26" s="469" t="str">
        <f t="shared" si="9"/>
        <v>--</v>
      </c>
      <c r="U26" s="470" t="str">
        <f t="shared" si="10"/>
        <v>--</v>
      </c>
      <c r="V26" s="481" t="str">
        <f t="shared" si="11"/>
        <v>--</v>
      </c>
      <c r="W26" s="482" t="str">
        <f t="shared" si="12"/>
        <v>--</v>
      </c>
      <c r="X26" s="491" t="str">
        <f t="shared" si="13"/>
        <v>--</v>
      </c>
      <c r="Y26" s="496" t="str">
        <f t="shared" si="14"/>
        <v>--</v>
      </c>
      <c r="Z26" s="58" t="str">
        <f t="shared" si="15"/>
        <v>SI</v>
      </c>
      <c r="AA26" s="212">
        <f t="shared" si="16"/>
        <v>2074.688</v>
      </c>
      <c r="AB26" s="149"/>
    </row>
    <row r="27" spans="1:28" s="16" customFormat="1" ht="16.5" customHeight="1">
      <c r="A27" s="64"/>
      <c r="B27" s="182"/>
      <c r="C27" s="775"/>
      <c r="D27" s="821"/>
      <c r="E27" s="822"/>
      <c r="F27" s="823"/>
      <c r="G27" s="824"/>
      <c r="H27" s="631">
        <f t="shared" si="0"/>
        <v>0</v>
      </c>
      <c r="I27" s="830"/>
      <c r="J27" s="830"/>
      <c r="K27" s="55">
        <f t="shared" si="1"/>
      </c>
      <c r="L27" s="56">
        <f t="shared" si="2"/>
      </c>
      <c r="M27" s="832"/>
      <c r="N27" s="820">
        <f t="shared" si="3"/>
      </c>
      <c r="O27" s="833">
        <f t="shared" si="4"/>
      </c>
      <c r="P27" s="796">
        <f t="shared" si="5"/>
      </c>
      <c r="Q27" s="451">
        <f t="shared" si="6"/>
        <v>20</v>
      </c>
      <c r="R27" s="456" t="str">
        <f t="shared" si="7"/>
        <v>--</v>
      </c>
      <c r="S27" s="462" t="str">
        <f t="shared" si="8"/>
        <v>--</v>
      </c>
      <c r="T27" s="469" t="str">
        <f t="shared" si="9"/>
        <v>--</v>
      </c>
      <c r="U27" s="470" t="str">
        <f t="shared" si="10"/>
        <v>--</v>
      </c>
      <c r="V27" s="481" t="str">
        <f t="shared" si="11"/>
        <v>--</v>
      </c>
      <c r="W27" s="482" t="str">
        <f t="shared" si="12"/>
        <v>--</v>
      </c>
      <c r="X27" s="491" t="str">
        <f t="shared" si="13"/>
        <v>--</v>
      </c>
      <c r="Y27" s="496" t="str">
        <f t="shared" si="14"/>
        <v>--</v>
      </c>
      <c r="Z27" s="58">
        <f t="shared" si="15"/>
      </c>
      <c r="AA27" s="212">
        <f t="shared" si="16"/>
      </c>
      <c r="AB27" s="149"/>
    </row>
    <row r="28" spans="1:29" s="16" customFormat="1" ht="16.5" customHeight="1">
      <c r="A28" s="64"/>
      <c r="B28" s="182"/>
      <c r="C28" s="775"/>
      <c r="D28" s="821"/>
      <c r="E28" s="822"/>
      <c r="F28" s="823"/>
      <c r="G28" s="824"/>
      <c r="H28" s="631">
        <f t="shared" si="0"/>
        <v>0</v>
      </c>
      <c r="I28" s="830"/>
      <c r="J28" s="830"/>
      <c r="K28" s="55">
        <f t="shared" si="1"/>
      </c>
      <c r="L28" s="56">
        <f t="shared" si="2"/>
      </c>
      <c r="M28" s="832"/>
      <c r="N28" s="820">
        <f t="shared" si="3"/>
      </c>
      <c r="O28" s="833">
        <f t="shared" si="4"/>
      </c>
      <c r="P28" s="796">
        <f t="shared" si="5"/>
      </c>
      <c r="Q28" s="451">
        <f t="shared" si="6"/>
        <v>20</v>
      </c>
      <c r="R28" s="456" t="str">
        <f t="shared" si="7"/>
        <v>--</v>
      </c>
      <c r="S28" s="462" t="str">
        <f t="shared" si="8"/>
        <v>--</v>
      </c>
      <c r="T28" s="469" t="str">
        <f t="shared" si="9"/>
        <v>--</v>
      </c>
      <c r="U28" s="470" t="str">
        <f t="shared" si="10"/>
        <v>--</v>
      </c>
      <c r="V28" s="481" t="str">
        <f t="shared" si="11"/>
        <v>--</v>
      </c>
      <c r="W28" s="482" t="str">
        <f t="shared" si="12"/>
        <v>--</v>
      </c>
      <c r="X28" s="491" t="str">
        <f t="shared" si="13"/>
        <v>--</v>
      </c>
      <c r="Y28" s="496" t="str">
        <f t="shared" si="14"/>
        <v>--</v>
      </c>
      <c r="Z28" s="58">
        <f t="shared" si="15"/>
      </c>
      <c r="AA28" s="212">
        <f t="shared" si="16"/>
      </c>
      <c r="AB28" s="149"/>
      <c r="AC28" s="65"/>
    </row>
    <row r="29" spans="1:28" s="16" customFormat="1" ht="16.5" customHeight="1">
      <c r="A29" s="64"/>
      <c r="B29" s="182"/>
      <c r="C29" s="775"/>
      <c r="D29" s="821"/>
      <c r="E29" s="822"/>
      <c r="F29" s="823"/>
      <c r="G29" s="824"/>
      <c r="H29" s="631">
        <f t="shared" si="0"/>
        <v>0</v>
      </c>
      <c r="I29" s="830"/>
      <c r="J29" s="830"/>
      <c r="K29" s="55">
        <f t="shared" si="1"/>
      </c>
      <c r="L29" s="56">
        <f t="shared" si="2"/>
      </c>
      <c r="M29" s="832"/>
      <c r="N29" s="820">
        <f t="shared" si="3"/>
      </c>
      <c r="O29" s="833">
        <f t="shared" si="4"/>
      </c>
      <c r="P29" s="796">
        <f t="shared" si="5"/>
      </c>
      <c r="Q29" s="451">
        <f t="shared" si="6"/>
        <v>20</v>
      </c>
      <c r="R29" s="456" t="str">
        <f t="shared" si="7"/>
        <v>--</v>
      </c>
      <c r="S29" s="462" t="str">
        <f t="shared" si="8"/>
        <v>--</v>
      </c>
      <c r="T29" s="469" t="str">
        <f t="shared" si="9"/>
        <v>--</v>
      </c>
      <c r="U29" s="470" t="str">
        <f t="shared" si="10"/>
        <v>--</v>
      </c>
      <c r="V29" s="481" t="str">
        <f t="shared" si="11"/>
        <v>--</v>
      </c>
      <c r="W29" s="482" t="str">
        <f t="shared" si="12"/>
        <v>--</v>
      </c>
      <c r="X29" s="491" t="str">
        <f t="shared" si="13"/>
        <v>--</v>
      </c>
      <c r="Y29" s="496" t="str">
        <f t="shared" si="14"/>
        <v>--</v>
      </c>
      <c r="Z29" s="58">
        <f t="shared" si="15"/>
      </c>
      <c r="AA29" s="212">
        <f t="shared" si="16"/>
      </c>
      <c r="AB29" s="149"/>
    </row>
    <row r="30" spans="1:28" s="16" customFormat="1" ht="16.5" customHeight="1">
      <c r="A30" s="64"/>
      <c r="B30" s="182"/>
      <c r="C30" s="775"/>
      <c r="D30" s="821"/>
      <c r="E30" s="822"/>
      <c r="F30" s="823"/>
      <c r="G30" s="824"/>
      <c r="H30" s="631">
        <f t="shared" si="0"/>
        <v>0</v>
      </c>
      <c r="I30" s="830"/>
      <c r="J30" s="830"/>
      <c r="K30" s="55">
        <f t="shared" si="1"/>
      </c>
      <c r="L30" s="56">
        <f t="shared" si="2"/>
      </c>
      <c r="M30" s="832"/>
      <c r="N30" s="820">
        <f t="shared" si="3"/>
      </c>
      <c r="O30" s="833">
        <f t="shared" si="4"/>
      </c>
      <c r="P30" s="796">
        <f t="shared" si="5"/>
      </c>
      <c r="Q30" s="451">
        <f t="shared" si="6"/>
        <v>20</v>
      </c>
      <c r="R30" s="456" t="str">
        <f t="shared" si="7"/>
        <v>--</v>
      </c>
      <c r="S30" s="462" t="str">
        <f t="shared" si="8"/>
        <v>--</v>
      </c>
      <c r="T30" s="469" t="str">
        <f t="shared" si="9"/>
        <v>--</v>
      </c>
      <c r="U30" s="470" t="str">
        <f t="shared" si="10"/>
        <v>--</v>
      </c>
      <c r="V30" s="481" t="str">
        <f t="shared" si="11"/>
        <v>--</v>
      </c>
      <c r="W30" s="482" t="str">
        <f t="shared" si="12"/>
        <v>--</v>
      </c>
      <c r="X30" s="491" t="str">
        <f t="shared" si="13"/>
        <v>--</v>
      </c>
      <c r="Y30" s="496" t="str">
        <f t="shared" si="14"/>
        <v>--</v>
      </c>
      <c r="Z30" s="58">
        <f t="shared" si="15"/>
      </c>
      <c r="AA30" s="212">
        <f t="shared" si="16"/>
      </c>
      <c r="AB30" s="149"/>
    </row>
    <row r="31" spans="1:28" s="16" customFormat="1" ht="16.5" customHeight="1">
      <c r="A31" s="64"/>
      <c r="B31" s="182"/>
      <c r="C31" s="775"/>
      <c r="D31" s="821"/>
      <c r="E31" s="822"/>
      <c r="F31" s="823"/>
      <c r="G31" s="824"/>
      <c r="H31" s="631">
        <f t="shared" si="0"/>
        <v>0</v>
      </c>
      <c r="I31" s="830"/>
      <c r="J31" s="830"/>
      <c r="K31" s="55">
        <f t="shared" si="1"/>
      </c>
      <c r="L31" s="56">
        <f t="shared" si="2"/>
      </c>
      <c r="M31" s="832"/>
      <c r="N31" s="820">
        <f t="shared" si="3"/>
      </c>
      <c r="O31" s="833">
        <f t="shared" si="4"/>
      </c>
      <c r="P31" s="796">
        <f t="shared" si="5"/>
      </c>
      <c r="Q31" s="451">
        <f t="shared" si="6"/>
        <v>20</v>
      </c>
      <c r="R31" s="456" t="str">
        <f t="shared" si="7"/>
        <v>--</v>
      </c>
      <c r="S31" s="462" t="str">
        <f t="shared" si="8"/>
        <v>--</v>
      </c>
      <c r="T31" s="469" t="str">
        <f t="shared" si="9"/>
        <v>--</v>
      </c>
      <c r="U31" s="470" t="str">
        <f t="shared" si="10"/>
        <v>--</v>
      </c>
      <c r="V31" s="481" t="str">
        <f t="shared" si="11"/>
        <v>--</v>
      </c>
      <c r="W31" s="482" t="str">
        <f t="shared" si="12"/>
        <v>--</v>
      </c>
      <c r="X31" s="491" t="str">
        <f t="shared" si="13"/>
        <v>--</v>
      </c>
      <c r="Y31" s="496" t="str">
        <f t="shared" si="14"/>
        <v>--</v>
      </c>
      <c r="Z31" s="58">
        <f t="shared" si="15"/>
      </c>
      <c r="AA31" s="212">
        <f t="shared" si="16"/>
      </c>
      <c r="AB31" s="149"/>
    </row>
    <row r="32" spans="1:28" s="16" customFormat="1" ht="16.5" customHeight="1">
      <c r="A32" s="64"/>
      <c r="B32" s="182"/>
      <c r="C32" s="775"/>
      <c r="D32" s="821"/>
      <c r="E32" s="825"/>
      <c r="F32" s="823"/>
      <c r="G32" s="824"/>
      <c r="H32" s="631">
        <f t="shared" si="0"/>
        <v>0</v>
      </c>
      <c r="I32" s="830"/>
      <c r="J32" s="830"/>
      <c r="K32" s="55">
        <f t="shared" si="1"/>
      </c>
      <c r="L32" s="56">
        <f t="shared" si="2"/>
      </c>
      <c r="M32" s="832"/>
      <c r="N32" s="820">
        <f t="shared" si="3"/>
      </c>
      <c r="O32" s="833">
        <f t="shared" si="4"/>
      </c>
      <c r="P32" s="796">
        <f t="shared" si="5"/>
      </c>
      <c r="Q32" s="451">
        <f t="shared" si="6"/>
        <v>20</v>
      </c>
      <c r="R32" s="456" t="str">
        <f t="shared" si="7"/>
        <v>--</v>
      </c>
      <c r="S32" s="462" t="str">
        <f t="shared" si="8"/>
        <v>--</v>
      </c>
      <c r="T32" s="469" t="str">
        <f t="shared" si="9"/>
        <v>--</v>
      </c>
      <c r="U32" s="470" t="str">
        <f t="shared" si="10"/>
        <v>--</v>
      </c>
      <c r="V32" s="481" t="str">
        <f t="shared" si="11"/>
        <v>--</v>
      </c>
      <c r="W32" s="482" t="str">
        <f t="shared" si="12"/>
        <v>--</v>
      </c>
      <c r="X32" s="491" t="str">
        <f t="shared" si="13"/>
        <v>--</v>
      </c>
      <c r="Y32" s="496" t="str">
        <f t="shared" si="14"/>
        <v>--</v>
      </c>
      <c r="Z32" s="58">
        <f t="shared" si="15"/>
      </c>
      <c r="AA32" s="212">
        <f t="shared" si="16"/>
      </c>
      <c r="AB32" s="149"/>
    </row>
    <row r="33" spans="1:28" s="16" customFormat="1" ht="16.5" customHeight="1">
      <c r="A33" s="64"/>
      <c r="B33" s="182"/>
      <c r="C33" s="775"/>
      <c r="D33" s="821"/>
      <c r="E33" s="825"/>
      <c r="F33" s="823"/>
      <c r="G33" s="824"/>
      <c r="H33" s="631">
        <f t="shared" si="0"/>
        <v>0</v>
      </c>
      <c r="I33" s="830"/>
      <c r="J33" s="830"/>
      <c r="K33" s="55">
        <f t="shared" si="1"/>
      </c>
      <c r="L33" s="56">
        <f t="shared" si="2"/>
      </c>
      <c r="M33" s="832"/>
      <c r="N33" s="820">
        <f t="shared" si="3"/>
      </c>
      <c r="O33" s="833">
        <f t="shared" si="4"/>
      </c>
      <c r="P33" s="796">
        <f t="shared" si="5"/>
      </c>
      <c r="Q33" s="451">
        <f t="shared" si="6"/>
        <v>20</v>
      </c>
      <c r="R33" s="456" t="str">
        <f t="shared" si="7"/>
        <v>--</v>
      </c>
      <c r="S33" s="462" t="str">
        <f t="shared" si="8"/>
        <v>--</v>
      </c>
      <c r="T33" s="469" t="str">
        <f t="shared" si="9"/>
        <v>--</v>
      </c>
      <c r="U33" s="470" t="str">
        <f t="shared" si="10"/>
        <v>--</v>
      </c>
      <c r="V33" s="481" t="str">
        <f t="shared" si="11"/>
        <v>--</v>
      </c>
      <c r="W33" s="482" t="str">
        <f t="shared" si="12"/>
        <v>--</v>
      </c>
      <c r="X33" s="491" t="str">
        <f t="shared" si="13"/>
        <v>--</v>
      </c>
      <c r="Y33" s="496" t="str">
        <f t="shared" si="14"/>
        <v>--</v>
      </c>
      <c r="Z33" s="58">
        <f t="shared" si="15"/>
      </c>
      <c r="AA33" s="212">
        <f t="shared" si="16"/>
      </c>
      <c r="AB33" s="149"/>
    </row>
    <row r="34" spans="1:28" s="16" customFormat="1" ht="16.5" customHeight="1">
      <c r="A34" s="64"/>
      <c r="B34" s="182"/>
      <c r="C34" s="775"/>
      <c r="D34" s="821"/>
      <c r="E34" s="825"/>
      <c r="F34" s="823"/>
      <c r="G34" s="824"/>
      <c r="H34" s="631">
        <f t="shared" si="0"/>
        <v>0</v>
      </c>
      <c r="I34" s="830"/>
      <c r="J34" s="830"/>
      <c r="K34" s="55">
        <f t="shared" si="1"/>
      </c>
      <c r="L34" s="56">
        <f t="shared" si="2"/>
      </c>
      <c r="M34" s="832"/>
      <c r="N34" s="820">
        <f t="shared" si="3"/>
      </c>
      <c r="O34" s="833">
        <f t="shared" si="4"/>
      </c>
      <c r="P34" s="796">
        <f t="shared" si="5"/>
      </c>
      <c r="Q34" s="451">
        <f t="shared" si="6"/>
        <v>20</v>
      </c>
      <c r="R34" s="456" t="str">
        <f t="shared" si="7"/>
        <v>--</v>
      </c>
      <c r="S34" s="462" t="str">
        <f t="shared" si="8"/>
        <v>--</v>
      </c>
      <c r="T34" s="469" t="str">
        <f t="shared" si="9"/>
        <v>--</v>
      </c>
      <c r="U34" s="470" t="str">
        <f t="shared" si="10"/>
        <v>--</v>
      </c>
      <c r="V34" s="481" t="str">
        <f t="shared" si="11"/>
        <v>--</v>
      </c>
      <c r="W34" s="482" t="str">
        <f t="shared" si="12"/>
        <v>--</v>
      </c>
      <c r="X34" s="491" t="str">
        <f t="shared" si="13"/>
        <v>--</v>
      </c>
      <c r="Y34" s="496" t="str">
        <f t="shared" si="14"/>
        <v>--</v>
      </c>
      <c r="Z34" s="58">
        <f t="shared" si="15"/>
      </c>
      <c r="AA34" s="212">
        <f t="shared" si="16"/>
      </c>
      <c r="AB34" s="149"/>
    </row>
    <row r="35" spans="1:28" s="16" customFormat="1" ht="16.5" customHeight="1">
      <c r="A35" s="64"/>
      <c r="B35" s="182"/>
      <c r="C35" s="775"/>
      <c r="D35" s="821"/>
      <c r="E35" s="825"/>
      <c r="F35" s="823"/>
      <c r="G35" s="824"/>
      <c r="H35" s="631">
        <f t="shared" si="0"/>
        <v>0</v>
      </c>
      <c r="I35" s="830"/>
      <c r="J35" s="830"/>
      <c r="K35" s="55">
        <f t="shared" si="1"/>
      </c>
      <c r="L35" s="56">
        <f t="shared" si="2"/>
      </c>
      <c r="M35" s="832"/>
      <c r="N35" s="820">
        <f t="shared" si="3"/>
      </c>
      <c r="O35" s="833">
        <f t="shared" si="4"/>
      </c>
      <c r="P35" s="796">
        <f t="shared" si="5"/>
      </c>
      <c r="Q35" s="451">
        <f t="shared" si="6"/>
        <v>20</v>
      </c>
      <c r="R35" s="456" t="str">
        <f t="shared" si="7"/>
        <v>--</v>
      </c>
      <c r="S35" s="462" t="str">
        <f t="shared" si="8"/>
        <v>--</v>
      </c>
      <c r="T35" s="469" t="str">
        <f t="shared" si="9"/>
        <v>--</v>
      </c>
      <c r="U35" s="470" t="str">
        <f t="shared" si="10"/>
        <v>--</v>
      </c>
      <c r="V35" s="481" t="str">
        <f t="shared" si="11"/>
        <v>--</v>
      </c>
      <c r="W35" s="482" t="str">
        <f t="shared" si="12"/>
        <v>--</v>
      </c>
      <c r="X35" s="491" t="str">
        <f t="shared" si="13"/>
        <v>--</v>
      </c>
      <c r="Y35" s="496" t="str">
        <f t="shared" si="14"/>
        <v>--</v>
      </c>
      <c r="Z35" s="58">
        <f t="shared" si="15"/>
      </c>
      <c r="AA35" s="212">
        <f t="shared" si="16"/>
      </c>
      <c r="AB35" s="149"/>
    </row>
    <row r="36" spans="1:28" s="16" customFormat="1" ht="16.5" customHeight="1">
      <c r="A36" s="64"/>
      <c r="B36" s="182"/>
      <c r="C36" s="775"/>
      <c r="D36" s="821"/>
      <c r="E36" s="825"/>
      <c r="F36" s="823"/>
      <c r="G36" s="824"/>
      <c r="H36" s="631">
        <f t="shared" si="0"/>
        <v>0</v>
      </c>
      <c r="I36" s="830"/>
      <c r="J36" s="830"/>
      <c r="K36" s="55">
        <f t="shared" si="1"/>
      </c>
      <c r="L36" s="56">
        <f t="shared" si="2"/>
      </c>
      <c r="M36" s="832"/>
      <c r="N36" s="820">
        <f t="shared" si="3"/>
      </c>
      <c r="O36" s="833">
        <f t="shared" si="4"/>
      </c>
      <c r="P36" s="796">
        <f t="shared" si="5"/>
      </c>
      <c r="Q36" s="451">
        <f t="shared" si="6"/>
        <v>20</v>
      </c>
      <c r="R36" s="456" t="str">
        <f t="shared" si="7"/>
        <v>--</v>
      </c>
      <c r="S36" s="462" t="str">
        <f t="shared" si="8"/>
        <v>--</v>
      </c>
      <c r="T36" s="469" t="str">
        <f t="shared" si="9"/>
        <v>--</v>
      </c>
      <c r="U36" s="470" t="str">
        <f t="shared" si="10"/>
        <v>--</v>
      </c>
      <c r="V36" s="481" t="str">
        <f t="shared" si="11"/>
        <v>--</v>
      </c>
      <c r="W36" s="482" t="str">
        <f t="shared" si="12"/>
        <v>--</v>
      </c>
      <c r="X36" s="491" t="str">
        <f t="shared" si="13"/>
        <v>--</v>
      </c>
      <c r="Y36" s="496" t="str">
        <f t="shared" si="14"/>
        <v>--</v>
      </c>
      <c r="Z36" s="58">
        <f t="shared" si="15"/>
      </c>
      <c r="AA36" s="212">
        <f t="shared" si="16"/>
      </c>
      <c r="AB36" s="149"/>
    </row>
    <row r="37" spans="1:28" s="16" customFormat="1" ht="16.5" customHeight="1">
      <c r="A37" s="64"/>
      <c r="B37" s="182"/>
      <c r="C37" s="775"/>
      <c r="D37" s="821"/>
      <c r="E37" s="825"/>
      <c r="F37" s="823"/>
      <c r="G37" s="824"/>
      <c r="H37" s="631">
        <f t="shared" si="0"/>
        <v>0</v>
      </c>
      <c r="I37" s="830"/>
      <c r="J37" s="830"/>
      <c r="K37" s="55">
        <f t="shared" si="1"/>
      </c>
      <c r="L37" s="56">
        <f t="shared" si="2"/>
      </c>
      <c r="M37" s="832"/>
      <c r="N37" s="820">
        <f t="shared" si="3"/>
      </c>
      <c r="O37" s="833">
        <f t="shared" si="4"/>
      </c>
      <c r="P37" s="796">
        <f t="shared" si="5"/>
      </c>
      <c r="Q37" s="451">
        <f t="shared" si="6"/>
        <v>20</v>
      </c>
      <c r="R37" s="456" t="str">
        <f t="shared" si="7"/>
        <v>--</v>
      </c>
      <c r="S37" s="462" t="str">
        <f t="shared" si="8"/>
        <v>--</v>
      </c>
      <c r="T37" s="469" t="str">
        <f t="shared" si="9"/>
        <v>--</v>
      </c>
      <c r="U37" s="470" t="str">
        <f t="shared" si="10"/>
        <v>--</v>
      </c>
      <c r="V37" s="481" t="str">
        <f t="shared" si="11"/>
        <v>--</v>
      </c>
      <c r="W37" s="482" t="str">
        <f t="shared" si="12"/>
        <v>--</v>
      </c>
      <c r="X37" s="491" t="str">
        <f t="shared" si="13"/>
        <v>--</v>
      </c>
      <c r="Y37" s="496" t="str">
        <f t="shared" si="14"/>
        <v>--</v>
      </c>
      <c r="Z37" s="58">
        <f t="shared" si="15"/>
      </c>
      <c r="AA37" s="212">
        <f t="shared" si="16"/>
      </c>
      <c r="AB37" s="149"/>
    </row>
    <row r="38" spans="1:28" s="16" customFormat="1" ht="16.5" customHeight="1">
      <c r="A38" s="64"/>
      <c r="B38" s="182"/>
      <c r="C38" s="775"/>
      <c r="D38" s="821"/>
      <c r="E38" s="825"/>
      <c r="F38" s="823"/>
      <c r="G38" s="824"/>
      <c r="H38" s="631">
        <f t="shared" si="0"/>
        <v>0</v>
      </c>
      <c r="I38" s="830"/>
      <c r="J38" s="830"/>
      <c r="K38" s="55">
        <f t="shared" si="1"/>
      </c>
      <c r="L38" s="56">
        <f t="shared" si="2"/>
      </c>
      <c r="M38" s="832"/>
      <c r="N38" s="820">
        <f t="shared" si="3"/>
      </c>
      <c r="O38" s="833">
        <f t="shared" si="4"/>
      </c>
      <c r="P38" s="796">
        <f t="shared" si="5"/>
      </c>
      <c r="Q38" s="451">
        <f t="shared" si="6"/>
        <v>20</v>
      </c>
      <c r="R38" s="456" t="str">
        <f t="shared" si="7"/>
        <v>--</v>
      </c>
      <c r="S38" s="462" t="str">
        <f t="shared" si="8"/>
        <v>--</v>
      </c>
      <c r="T38" s="469" t="str">
        <f t="shared" si="9"/>
        <v>--</v>
      </c>
      <c r="U38" s="470" t="str">
        <f t="shared" si="10"/>
        <v>--</v>
      </c>
      <c r="V38" s="481" t="str">
        <f t="shared" si="11"/>
        <v>--</v>
      </c>
      <c r="W38" s="482" t="str">
        <f t="shared" si="12"/>
        <v>--</v>
      </c>
      <c r="X38" s="491" t="str">
        <f t="shared" si="13"/>
        <v>--</v>
      </c>
      <c r="Y38" s="496" t="str">
        <f t="shared" si="14"/>
        <v>--</v>
      </c>
      <c r="Z38" s="58">
        <f t="shared" si="15"/>
      </c>
      <c r="AA38" s="212">
        <f t="shared" si="16"/>
      </c>
      <c r="AB38" s="149"/>
    </row>
    <row r="39" spans="1:28" s="16" customFormat="1" ht="16.5" customHeight="1">
      <c r="A39" s="64"/>
      <c r="B39" s="182"/>
      <c r="C39" s="775"/>
      <c r="D39" s="821"/>
      <c r="E39" s="825"/>
      <c r="F39" s="823"/>
      <c r="G39" s="824"/>
      <c r="H39" s="631">
        <f t="shared" si="0"/>
        <v>0</v>
      </c>
      <c r="I39" s="830"/>
      <c r="J39" s="830"/>
      <c r="K39" s="55">
        <f t="shared" si="1"/>
      </c>
      <c r="L39" s="56">
        <f t="shared" si="2"/>
      </c>
      <c r="M39" s="832"/>
      <c r="N39" s="820">
        <f t="shared" si="3"/>
      </c>
      <c r="O39" s="833">
        <f t="shared" si="4"/>
      </c>
      <c r="P39" s="796">
        <f t="shared" si="5"/>
      </c>
      <c r="Q39" s="451">
        <f t="shared" si="6"/>
        <v>20</v>
      </c>
      <c r="R39" s="456" t="str">
        <f t="shared" si="7"/>
        <v>--</v>
      </c>
      <c r="S39" s="462" t="str">
        <f t="shared" si="8"/>
        <v>--</v>
      </c>
      <c r="T39" s="469" t="str">
        <f t="shared" si="9"/>
        <v>--</v>
      </c>
      <c r="U39" s="470" t="str">
        <f t="shared" si="10"/>
        <v>--</v>
      </c>
      <c r="V39" s="481" t="str">
        <f t="shared" si="11"/>
        <v>--</v>
      </c>
      <c r="W39" s="482" t="str">
        <f t="shared" si="12"/>
        <v>--</v>
      </c>
      <c r="X39" s="491" t="str">
        <f t="shared" si="13"/>
        <v>--</v>
      </c>
      <c r="Y39" s="496" t="str">
        <f t="shared" si="14"/>
        <v>--</v>
      </c>
      <c r="Z39" s="58">
        <f t="shared" si="15"/>
      </c>
      <c r="AA39" s="212">
        <f t="shared" si="16"/>
      </c>
      <c r="AB39" s="149"/>
    </row>
    <row r="40" spans="1:28" s="16" customFormat="1" ht="16.5" customHeight="1">
      <c r="A40" s="64"/>
      <c r="B40" s="182"/>
      <c r="C40" s="775"/>
      <c r="D40" s="821"/>
      <c r="E40" s="825"/>
      <c r="F40" s="823"/>
      <c r="G40" s="824"/>
      <c r="H40" s="631">
        <f t="shared" si="0"/>
        <v>0</v>
      </c>
      <c r="I40" s="830"/>
      <c r="J40" s="830"/>
      <c r="K40" s="55">
        <f t="shared" si="1"/>
      </c>
      <c r="L40" s="56">
        <f t="shared" si="2"/>
      </c>
      <c r="M40" s="832"/>
      <c r="N40" s="820">
        <f t="shared" si="3"/>
      </c>
      <c r="O40" s="833">
        <f t="shared" si="4"/>
      </c>
      <c r="P40" s="796">
        <f t="shared" si="5"/>
      </c>
      <c r="Q40" s="451">
        <f t="shared" si="6"/>
        <v>20</v>
      </c>
      <c r="R40" s="456" t="str">
        <f t="shared" si="7"/>
        <v>--</v>
      </c>
      <c r="S40" s="462" t="str">
        <f t="shared" si="8"/>
        <v>--</v>
      </c>
      <c r="T40" s="469" t="str">
        <f t="shared" si="9"/>
        <v>--</v>
      </c>
      <c r="U40" s="470" t="str">
        <f t="shared" si="10"/>
        <v>--</v>
      </c>
      <c r="V40" s="481" t="str">
        <f t="shared" si="11"/>
        <v>--</v>
      </c>
      <c r="W40" s="482" t="str">
        <f t="shared" si="12"/>
        <v>--</v>
      </c>
      <c r="X40" s="491" t="str">
        <f t="shared" si="13"/>
        <v>--</v>
      </c>
      <c r="Y40" s="496" t="str">
        <f t="shared" si="14"/>
        <v>--</v>
      </c>
      <c r="Z40" s="58">
        <f t="shared" si="15"/>
      </c>
      <c r="AA40" s="212">
        <f t="shared" si="16"/>
      </c>
      <c r="AB40" s="149"/>
    </row>
    <row r="41" spans="1:28" s="16" customFormat="1" ht="16.5" customHeight="1">
      <c r="A41" s="64"/>
      <c r="B41" s="182"/>
      <c r="C41" s="775"/>
      <c r="D41" s="821"/>
      <c r="E41" s="825"/>
      <c r="F41" s="823"/>
      <c r="G41" s="824"/>
      <c r="H41" s="631">
        <f t="shared" si="0"/>
        <v>0</v>
      </c>
      <c r="I41" s="830"/>
      <c r="J41" s="830"/>
      <c r="K41" s="55">
        <f t="shared" si="1"/>
      </c>
      <c r="L41" s="56">
        <f t="shared" si="2"/>
      </c>
      <c r="M41" s="832"/>
      <c r="N41" s="820">
        <f t="shared" si="3"/>
      </c>
      <c r="O41" s="833">
        <f t="shared" si="4"/>
      </c>
      <c r="P41" s="796">
        <f t="shared" si="5"/>
      </c>
      <c r="Q41" s="451">
        <f t="shared" si="6"/>
        <v>20</v>
      </c>
      <c r="R41" s="456" t="str">
        <f t="shared" si="7"/>
        <v>--</v>
      </c>
      <c r="S41" s="462" t="str">
        <f t="shared" si="8"/>
        <v>--</v>
      </c>
      <c r="T41" s="469" t="str">
        <f t="shared" si="9"/>
        <v>--</v>
      </c>
      <c r="U41" s="470" t="str">
        <f t="shared" si="10"/>
        <v>--</v>
      </c>
      <c r="V41" s="481" t="str">
        <f t="shared" si="11"/>
        <v>--</v>
      </c>
      <c r="W41" s="482" t="str">
        <f t="shared" si="12"/>
        <v>--</v>
      </c>
      <c r="X41" s="491" t="str">
        <f t="shared" si="13"/>
        <v>--</v>
      </c>
      <c r="Y41" s="496" t="str">
        <f t="shared" si="14"/>
        <v>--</v>
      </c>
      <c r="Z41" s="58">
        <f t="shared" si="15"/>
      </c>
      <c r="AA41" s="212">
        <f t="shared" si="16"/>
      </c>
      <c r="AB41" s="149"/>
    </row>
    <row r="42" spans="1:28" s="16" customFormat="1" ht="16.5" customHeight="1" thickBot="1">
      <c r="A42" s="64"/>
      <c r="B42" s="182"/>
      <c r="C42" s="826"/>
      <c r="D42" s="827"/>
      <c r="E42" s="828"/>
      <c r="F42" s="827"/>
      <c r="G42" s="829"/>
      <c r="H42" s="352"/>
      <c r="I42" s="826"/>
      <c r="J42" s="831"/>
      <c r="K42" s="61"/>
      <c r="L42" s="62"/>
      <c r="M42" s="834"/>
      <c r="N42" s="808"/>
      <c r="O42" s="835"/>
      <c r="P42" s="834"/>
      <c r="Q42" s="452"/>
      <c r="R42" s="457"/>
      <c r="S42" s="463"/>
      <c r="T42" s="471"/>
      <c r="U42" s="472"/>
      <c r="V42" s="483"/>
      <c r="W42" s="484"/>
      <c r="X42" s="492"/>
      <c r="Y42" s="497"/>
      <c r="Z42" s="63"/>
      <c r="AA42" s="213"/>
      <c r="AB42" s="149"/>
    </row>
    <row r="43" spans="1:28" s="16" customFormat="1" ht="16.5" customHeight="1" thickBot="1" thickTop="1">
      <c r="A43" s="64"/>
      <c r="B43" s="182"/>
      <c r="C43" s="271" t="s">
        <v>94</v>
      </c>
      <c r="D43" s="272" t="s">
        <v>95</v>
      </c>
      <c r="E43" s="65"/>
      <c r="F43" s="65"/>
      <c r="G43" s="65"/>
      <c r="H43" s="65"/>
      <c r="I43" s="65"/>
      <c r="J43" s="66"/>
      <c r="K43" s="65"/>
      <c r="L43" s="65"/>
      <c r="M43" s="65"/>
      <c r="N43" s="65"/>
      <c r="O43" s="65"/>
      <c r="P43" s="65"/>
      <c r="Q43" s="65"/>
      <c r="R43" s="458">
        <f aca="true" t="shared" si="17" ref="R43:Y43">SUM(R20:R42)</f>
        <v>3810.268</v>
      </c>
      <c r="S43" s="464">
        <f t="shared" si="17"/>
        <v>0</v>
      </c>
      <c r="T43" s="473">
        <f t="shared" si="17"/>
        <v>0</v>
      </c>
      <c r="U43" s="474">
        <f t="shared" si="17"/>
        <v>0</v>
      </c>
      <c r="V43" s="485">
        <f t="shared" si="17"/>
        <v>0</v>
      </c>
      <c r="W43" s="486">
        <f t="shared" si="17"/>
        <v>0</v>
      </c>
      <c r="X43" s="537">
        <f t="shared" si="17"/>
        <v>687437.52</v>
      </c>
      <c r="Y43" s="538">
        <f t="shared" si="17"/>
        <v>0</v>
      </c>
      <c r="Z43" s="64"/>
      <c r="AA43" s="867">
        <f>ROUND(SUM(AA20:AA42),2)</f>
        <v>691247.79</v>
      </c>
      <c r="AB43" s="149"/>
    </row>
    <row r="44" spans="1:28" s="275" customFormat="1" ht="9.75" thickTop="1">
      <c r="A44" s="285"/>
      <c r="B44" s="286"/>
      <c r="C44" s="273"/>
      <c r="D44" s="274" t="s">
        <v>96</v>
      </c>
      <c r="E44" s="287"/>
      <c r="F44" s="287"/>
      <c r="G44" s="287"/>
      <c r="H44" s="287"/>
      <c r="I44" s="287"/>
      <c r="J44" s="288"/>
      <c r="K44" s="287"/>
      <c r="L44" s="287"/>
      <c r="M44" s="287"/>
      <c r="N44" s="287"/>
      <c r="O44" s="287"/>
      <c r="P44" s="287"/>
      <c r="Q44" s="287"/>
      <c r="R44" s="290"/>
      <c r="S44" s="290"/>
      <c r="T44" s="290"/>
      <c r="U44" s="290"/>
      <c r="V44" s="290"/>
      <c r="W44" s="290"/>
      <c r="X44" s="290"/>
      <c r="Y44" s="290"/>
      <c r="Z44" s="285"/>
      <c r="AA44" s="289"/>
      <c r="AB44" s="291"/>
    </row>
    <row r="45" spans="1:28" s="16" customFormat="1" ht="16.5" customHeight="1" thickBot="1">
      <c r="A45" s="64"/>
      <c r="B45" s="185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7"/>
    </row>
    <row r="46" spans="1:29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4:29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4:29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6.5" customHeight="1">
      <c r="AC154" s="5"/>
    </row>
    <row r="155" ht="16.5" customHeight="1">
      <c r="AC155" s="5"/>
    </row>
    <row r="156" ht="16.5" customHeight="1">
      <c r="AC156" s="5"/>
    </row>
    <row r="157" ht="16.5" customHeight="1">
      <c r="AC157" s="5"/>
    </row>
    <row r="158" ht="16.5" customHeight="1"/>
    <row r="159" ht="16.5" customHeight="1"/>
    <row r="160" ht="16.5" customHeight="1"/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W160"/>
  <sheetViews>
    <sheetView zoomScale="75" zoomScaleNormal="75" workbookViewId="0" topLeftCell="F16">
      <selection activeCell="W26" sqref="W26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94" customFormat="1" ht="26.25">
      <c r="A1" s="144"/>
      <c r="U1" s="759"/>
    </row>
    <row r="2" spans="1:21" s="94" customFormat="1" ht="26.25">
      <c r="A2" s="144"/>
      <c r="B2" s="95" t="str">
        <f>+'tot-0401'!B2</f>
        <v>ANEXO I-1a a la Resolución ENRE N° 686/2007.-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="16" customFormat="1" ht="12.75">
      <c r="A3" s="64"/>
    </row>
    <row r="4" spans="1:2" s="101" customFormat="1" ht="11.25">
      <c r="A4" s="99" t="s">
        <v>50</v>
      </c>
      <c r="B4" s="178"/>
    </row>
    <row r="5" spans="1:2" s="101" customFormat="1" ht="11.25">
      <c r="A5" s="99" t="s">
        <v>51</v>
      </c>
      <c r="B5" s="178"/>
    </row>
    <row r="6" s="16" customFormat="1" ht="13.5" thickBot="1"/>
    <row r="7" spans="2:21" s="16" customFormat="1" ht="13.5" thickTop="1"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216"/>
    </row>
    <row r="8" spans="2:21" s="10" customFormat="1" ht="20.25">
      <c r="B8" s="159"/>
      <c r="C8" s="11"/>
      <c r="D8" s="67" t="s">
        <v>67</v>
      </c>
      <c r="L8" s="192"/>
      <c r="M8" s="192"/>
      <c r="N8" s="42"/>
      <c r="O8" s="11"/>
      <c r="P8" s="11"/>
      <c r="Q8" s="11"/>
      <c r="R8" s="11"/>
      <c r="S8" s="11"/>
      <c r="T8" s="11"/>
      <c r="U8" s="225"/>
    </row>
    <row r="9" spans="2:21" s="16" customFormat="1" ht="12.75">
      <c r="B9" s="126"/>
      <c r="C9" s="1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4"/>
      <c r="P9" s="14"/>
      <c r="Q9" s="14"/>
      <c r="R9" s="14"/>
      <c r="S9" s="14"/>
      <c r="T9" s="14"/>
      <c r="U9" s="130"/>
    </row>
    <row r="10" spans="2:21" s="10" customFormat="1" ht="20.25">
      <c r="B10" s="159"/>
      <c r="C10" s="11"/>
      <c r="D10" s="196" t="s">
        <v>111</v>
      </c>
      <c r="E10" s="43"/>
      <c r="F10" s="192"/>
      <c r="G10" s="226"/>
      <c r="I10" s="226"/>
      <c r="J10" s="226"/>
      <c r="K10" s="226"/>
      <c r="L10" s="226"/>
      <c r="M10" s="226"/>
      <c r="N10" s="226"/>
      <c r="O10" s="11"/>
      <c r="P10" s="11"/>
      <c r="Q10" s="11"/>
      <c r="R10" s="11"/>
      <c r="S10" s="11"/>
      <c r="T10" s="11"/>
      <c r="U10" s="225"/>
    </row>
    <row r="11" spans="2:21" s="16" customFormat="1" ht="13.5">
      <c r="B11" s="126"/>
      <c r="C11" s="14"/>
      <c r="D11" s="224"/>
      <c r="E11" s="224"/>
      <c r="F11" s="64"/>
      <c r="G11" s="217"/>
      <c r="H11" s="128"/>
      <c r="I11" s="217"/>
      <c r="J11" s="217"/>
      <c r="K11" s="217"/>
      <c r="L11" s="217"/>
      <c r="M11" s="217"/>
      <c r="N11" s="217"/>
      <c r="O11" s="14"/>
      <c r="P11" s="14"/>
      <c r="Q11" s="14"/>
      <c r="R11" s="14"/>
      <c r="S11" s="14"/>
      <c r="T11" s="14"/>
      <c r="U11" s="130"/>
    </row>
    <row r="12" spans="2:21" s="10" customFormat="1" ht="20.25">
      <c r="B12" s="159"/>
      <c r="C12" s="11"/>
      <c r="D12" s="196" t="s">
        <v>112</v>
      </c>
      <c r="E12" s="43"/>
      <c r="F12" s="192"/>
      <c r="G12" s="226"/>
      <c r="I12" s="226"/>
      <c r="J12" s="226"/>
      <c r="K12" s="226"/>
      <c r="L12" s="226"/>
      <c r="M12" s="226"/>
      <c r="N12" s="226"/>
      <c r="O12" s="11"/>
      <c r="P12" s="11"/>
      <c r="Q12" s="11"/>
      <c r="R12" s="11"/>
      <c r="S12" s="11"/>
      <c r="T12" s="11"/>
      <c r="U12" s="225"/>
    </row>
    <row r="13" spans="2:21" s="16" customFormat="1" ht="13.5">
      <c r="B13" s="126"/>
      <c r="C13" s="14"/>
      <c r="D13" s="224"/>
      <c r="E13" s="224"/>
      <c r="F13" s="64"/>
      <c r="G13" s="217"/>
      <c r="H13" s="128"/>
      <c r="I13" s="217"/>
      <c r="J13" s="217"/>
      <c r="K13" s="217"/>
      <c r="L13" s="217"/>
      <c r="M13" s="217"/>
      <c r="N13" s="217"/>
      <c r="O13" s="14"/>
      <c r="P13" s="14"/>
      <c r="Q13" s="14"/>
      <c r="R13" s="14"/>
      <c r="S13" s="14"/>
      <c r="T13" s="14"/>
      <c r="U13" s="130"/>
    </row>
    <row r="14" spans="2:21" s="16" customFormat="1" ht="19.5">
      <c r="B14" s="114" t="str">
        <f>+'tot-0401'!B14</f>
        <v>Desde el 01 al 31 de enero de 2004</v>
      </c>
      <c r="C14" s="117"/>
      <c r="D14" s="117"/>
      <c r="E14" s="117"/>
      <c r="F14" s="117"/>
      <c r="G14" s="227"/>
      <c r="H14" s="227"/>
      <c r="I14" s="227"/>
      <c r="J14" s="227"/>
      <c r="K14" s="227"/>
      <c r="L14" s="227"/>
      <c r="M14" s="227"/>
      <c r="N14" s="227"/>
      <c r="O14" s="117"/>
      <c r="P14" s="117"/>
      <c r="Q14" s="117"/>
      <c r="R14" s="117"/>
      <c r="S14" s="117"/>
      <c r="T14" s="117"/>
      <c r="U14" s="228"/>
    </row>
    <row r="15" spans="2:21" s="16" customFormat="1" ht="14.25" thickBot="1">
      <c r="B15" s="229"/>
      <c r="C15" s="230"/>
      <c r="D15" s="230"/>
      <c r="E15" s="230"/>
      <c r="F15" s="230"/>
      <c r="G15" s="231"/>
      <c r="H15" s="231"/>
      <c r="I15" s="231"/>
      <c r="J15" s="231"/>
      <c r="K15" s="231"/>
      <c r="L15" s="231"/>
      <c r="M15" s="231"/>
      <c r="N15" s="231"/>
      <c r="O15" s="230"/>
      <c r="P15" s="230"/>
      <c r="Q15" s="230"/>
      <c r="R15" s="230"/>
      <c r="S15" s="230"/>
      <c r="T15" s="230"/>
      <c r="U15" s="232"/>
    </row>
    <row r="16" spans="2:21" s="16" customFormat="1" ht="15" thickBot="1" thickTop="1">
      <c r="B16" s="126"/>
      <c r="C16" s="14"/>
      <c r="D16" s="233"/>
      <c r="E16" s="233"/>
      <c r="F16" s="234" t="s">
        <v>113</v>
      </c>
      <c r="G16" s="14"/>
      <c r="H16" s="12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0"/>
    </row>
    <row r="17" spans="2:21" s="16" customFormat="1" ht="16.5" customHeight="1" thickBot="1" thickTop="1">
      <c r="B17" s="126"/>
      <c r="C17" s="14"/>
      <c r="D17" s="765" t="s">
        <v>114</v>
      </c>
      <c r="E17" s="766">
        <v>30.733</v>
      </c>
      <c r="F17" s="767">
        <v>200</v>
      </c>
      <c r="T17" s="151"/>
      <c r="U17" s="130"/>
    </row>
    <row r="18" spans="2:21" s="16" customFormat="1" ht="16.5" customHeight="1" thickBot="1" thickTop="1">
      <c r="B18" s="126"/>
      <c r="C18" s="14"/>
      <c r="D18" s="768" t="s">
        <v>115</v>
      </c>
      <c r="E18" s="769">
        <v>27.658</v>
      </c>
      <c r="F18" s="767">
        <v>100</v>
      </c>
      <c r="M18" s="14"/>
      <c r="N18" s="14"/>
      <c r="O18" s="14"/>
      <c r="P18" s="14"/>
      <c r="Q18" s="14"/>
      <c r="R18" s="14"/>
      <c r="S18" s="14"/>
      <c r="T18" s="14"/>
      <c r="U18" s="130"/>
    </row>
    <row r="19" spans="2:21" s="16" customFormat="1" ht="16.5" customHeight="1" thickBot="1" thickTop="1">
      <c r="B19" s="126"/>
      <c r="C19" s="14"/>
      <c r="D19" s="770" t="s">
        <v>116</v>
      </c>
      <c r="E19" s="769">
        <v>24.587</v>
      </c>
      <c r="F19" s="767">
        <v>40</v>
      </c>
      <c r="I19" s="762"/>
      <c r="J19" s="763"/>
      <c r="K19" s="14"/>
      <c r="M19" s="14"/>
      <c r="O19" s="14"/>
      <c r="P19" s="14"/>
      <c r="Q19" s="14"/>
      <c r="R19" s="14"/>
      <c r="S19" s="14"/>
      <c r="T19" s="14"/>
      <c r="U19" s="130"/>
    </row>
    <row r="20" spans="2:21" s="16" customFormat="1" ht="16.5" customHeight="1" thickBot="1" thickTop="1">
      <c r="B20" s="126"/>
      <c r="C20" s="21"/>
      <c r="D20" s="82"/>
      <c r="E20" s="82"/>
      <c r="F20" s="218"/>
      <c r="G20" s="219"/>
      <c r="H20" s="219"/>
      <c r="I20" s="219"/>
      <c r="J20" s="219"/>
      <c r="K20" s="219"/>
      <c r="L20" s="219"/>
      <c r="M20" s="219"/>
      <c r="N20" s="74"/>
      <c r="O20" s="220"/>
      <c r="P20" s="221"/>
      <c r="Q20" s="221"/>
      <c r="R20" s="221"/>
      <c r="S20" s="222"/>
      <c r="T20" s="223"/>
      <c r="U20" s="130"/>
    </row>
    <row r="21" spans="2:21" s="16" customFormat="1" ht="33.75" customHeight="1" thickBot="1" thickTop="1">
      <c r="B21" s="126"/>
      <c r="C21" s="166" t="s">
        <v>72</v>
      </c>
      <c r="D21" s="174" t="s">
        <v>105</v>
      </c>
      <c r="E21" s="170" t="s">
        <v>45</v>
      </c>
      <c r="F21" s="236" t="s">
        <v>73</v>
      </c>
      <c r="G21" s="350" t="s">
        <v>77</v>
      </c>
      <c r="H21" s="168" t="s">
        <v>78</v>
      </c>
      <c r="I21" s="170" t="s">
        <v>79</v>
      </c>
      <c r="J21" s="237" t="s">
        <v>80</v>
      </c>
      <c r="K21" s="237" t="s">
        <v>81</v>
      </c>
      <c r="L21" s="173" t="s">
        <v>82</v>
      </c>
      <c r="M21" s="169" t="s">
        <v>85</v>
      </c>
      <c r="N21" s="499" t="s">
        <v>76</v>
      </c>
      <c r="O21" s="487" t="s">
        <v>98</v>
      </c>
      <c r="P21" s="506" t="s">
        <v>117</v>
      </c>
      <c r="Q21" s="507"/>
      <c r="R21" s="516" t="s">
        <v>90</v>
      </c>
      <c r="S21" s="176" t="s">
        <v>92</v>
      </c>
      <c r="T21" s="210" t="s">
        <v>93</v>
      </c>
      <c r="U21" s="130"/>
    </row>
    <row r="22" spans="2:21" s="16" customFormat="1" ht="16.5" customHeight="1" hidden="1" thickTop="1">
      <c r="B22" s="126"/>
      <c r="C22" s="20"/>
      <c r="D22" s="69"/>
      <c r="E22" s="69"/>
      <c r="F22" s="69"/>
      <c r="G22" s="359"/>
      <c r="H22" s="69"/>
      <c r="I22" s="69"/>
      <c r="J22" s="69"/>
      <c r="K22" s="69"/>
      <c r="L22" s="69"/>
      <c r="M22" s="69"/>
      <c r="N22" s="501"/>
      <c r="O22" s="504"/>
      <c r="P22" s="508"/>
      <c r="Q22" s="509"/>
      <c r="R22" s="517"/>
      <c r="S22" s="69"/>
      <c r="T22" s="635"/>
      <c r="U22" s="130"/>
    </row>
    <row r="23" spans="2:21" s="16" customFormat="1" ht="16.5" customHeight="1" thickTop="1">
      <c r="B23" s="126"/>
      <c r="C23" s="20"/>
      <c r="D23" s="70"/>
      <c r="E23" s="70"/>
      <c r="F23" s="70"/>
      <c r="G23" s="360"/>
      <c r="H23" s="70"/>
      <c r="I23" s="70"/>
      <c r="J23" s="70"/>
      <c r="K23" s="70"/>
      <c r="L23" s="70"/>
      <c r="M23" s="70"/>
      <c r="N23" s="498"/>
      <c r="O23" s="502"/>
      <c r="P23" s="510"/>
      <c r="Q23" s="511"/>
      <c r="R23" s="514"/>
      <c r="S23" s="70"/>
      <c r="T23" s="238"/>
      <c r="U23" s="130"/>
    </row>
    <row r="24" spans="2:21" s="16" customFormat="1" ht="16.5" customHeight="1">
      <c r="B24" s="126"/>
      <c r="C24" s="774">
        <v>15</v>
      </c>
      <c r="D24" s="836" t="s">
        <v>27</v>
      </c>
      <c r="E24" s="836" t="s">
        <v>283</v>
      </c>
      <c r="F24" s="837">
        <v>132</v>
      </c>
      <c r="G24" s="351">
        <f aca="true" t="shared" si="0" ref="G24:G43">IF(F24=500,$E$17,IF(F24=220,$E$18,$E$19))</f>
        <v>24.587</v>
      </c>
      <c r="H24" s="839">
        <v>37988.364583333336</v>
      </c>
      <c r="I24" s="840">
        <v>37988.49930555555</v>
      </c>
      <c r="J24" s="73">
        <f aca="true" t="shared" si="1" ref="J24:J43">IF(D24="","",(I24-H24)*24)</f>
        <v>3.2333333332207985</v>
      </c>
      <c r="K24" s="31">
        <f aca="true" t="shared" si="2" ref="K24:K43">IF(D24="","",ROUND((I24-H24)*24*60,0))</f>
        <v>194</v>
      </c>
      <c r="L24" s="794" t="s">
        <v>216</v>
      </c>
      <c r="M24" s="796" t="str">
        <f aca="true" t="shared" si="3" ref="M24:M43">IF(D24="","",IF(L24="P","--","NO"))</f>
        <v>--</v>
      </c>
      <c r="N24" s="842">
        <f aca="true" t="shared" si="4" ref="N24:N43">IF(F24=500,$F$17,IF(F24=220,$F$18,$F$19))</f>
        <v>40</v>
      </c>
      <c r="O24" s="843">
        <f aca="true" t="shared" si="5" ref="O24:O43">IF(L24="P",G24*N24*ROUND(K24/60,2)*0.1,"--")</f>
        <v>317.66404000000006</v>
      </c>
      <c r="P24" s="844" t="str">
        <f aca="true" t="shared" si="6" ref="P24:P43">IF(AND(L24="F",M24="NO"),G24*N24,"--")</f>
        <v>--</v>
      </c>
      <c r="Q24" s="845" t="str">
        <f aca="true" t="shared" si="7" ref="Q24:Q43">IF(L24="F",G24*N24*ROUND(K24/60,2),"--")</f>
        <v>--</v>
      </c>
      <c r="R24" s="846" t="str">
        <f aca="true" t="shared" si="8" ref="R24:R43">IF(L24="RF",G24*N24*ROUND(K24/60,2),"--")</f>
        <v>--</v>
      </c>
      <c r="S24" s="796" t="str">
        <f aca="true" t="shared" si="9" ref="S24:S43">IF(D24="","","SI")</f>
        <v>SI</v>
      </c>
      <c r="T24" s="76">
        <f aca="true" t="shared" si="10" ref="T24:T43">IF(D24="","",SUM(O24:R24)*IF(S24="SI",1,2))</f>
        <v>317.66404000000006</v>
      </c>
      <c r="U24" s="130"/>
    </row>
    <row r="25" spans="2:21" s="16" customFormat="1" ht="16.5" customHeight="1">
      <c r="B25" s="126"/>
      <c r="C25" s="774">
        <v>16</v>
      </c>
      <c r="D25" s="836" t="s">
        <v>36</v>
      </c>
      <c r="E25" s="836" t="s">
        <v>37</v>
      </c>
      <c r="F25" s="837">
        <v>132</v>
      </c>
      <c r="G25" s="351">
        <f t="shared" si="0"/>
        <v>24.587</v>
      </c>
      <c r="H25" s="839">
        <v>37988.907638888886</v>
      </c>
      <c r="I25" s="840">
        <v>37988.910416666666</v>
      </c>
      <c r="J25" s="73">
        <f t="shared" si="1"/>
        <v>0.06666666670935228</v>
      </c>
      <c r="K25" s="31">
        <f t="shared" si="2"/>
        <v>4</v>
      </c>
      <c r="L25" s="794" t="s">
        <v>206</v>
      </c>
      <c r="M25" s="796" t="str">
        <f t="shared" si="3"/>
        <v>NO</v>
      </c>
      <c r="N25" s="842">
        <f t="shared" si="4"/>
        <v>40</v>
      </c>
      <c r="O25" s="843" t="str">
        <f t="shared" si="5"/>
        <v>--</v>
      </c>
      <c r="P25" s="844">
        <f t="shared" si="6"/>
        <v>983.48</v>
      </c>
      <c r="Q25" s="845">
        <f t="shared" si="7"/>
        <v>68.84360000000001</v>
      </c>
      <c r="R25" s="846" t="str">
        <f t="shared" si="8"/>
        <v>--</v>
      </c>
      <c r="S25" s="796" t="str">
        <f t="shared" si="9"/>
        <v>SI</v>
      </c>
      <c r="T25" s="76">
        <f t="shared" si="10"/>
        <v>1052.3236</v>
      </c>
      <c r="U25" s="130"/>
    </row>
    <row r="26" spans="2:21" s="16" customFormat="1" ht="16.5" customHeight="1">
      <c r="B26" s="126"/>
      <c r="C26" s="774">
        <v>17</v>
      </c>
      <c r="D26" s="836" t="s">
        <v>31</v>
      </c>
      <c r="E26" s="836" t="s">
        <v>32</v>
      </c>
      <c r="F26" s="837">
        <v>500</v>
      </c>
      <c r="G26" s="351">
        <f t="shared" si="0"/>
        <v>30.733</v>
      </c>
      <c r="H26" s="839">
        <v>37990.28611111111</v>
      </c>
      <c r="I26" s="840">
        <v>37990.76875</v>
      </c>
      <c r="J26" s="73">
        <f t="shared" si="1"/>
        <v>11.583333333372138</v>
      </c>
      <c r="K26" s="31">
        <f t="shared" si="2"/>
        <v>695</v>
      </c>
      <c r="L26" s="794" t="s">
        <v>216</v>
      </c>
      <c r="M26" s="796" t="str">
        <f t="shared" si="3"/>
        <v>--</v>
      </c>
      <c r="N26" s="842">
        <f t="shared" si="4"/>
        <v>200</v>
      </c>
      <c r="O26" s="843">
        <f t="shared" si="5"/>
        <v>7117.762800000001</v>
      </c>
      <c r="P26" s="844" t="str">
        <f t="shared" si="6"/>
        <v>--</v>
      </c>
      <c r="Q26" s="845" t="str">
        <f t="shared" si="7"/>
        <v>--</v>
      </c>
      <c r="R26" s="846" t="str">
        <f t="shared" si="8"/>
        <v>--</v>
      </c>
      <c r="S26" s="796" t="str">
        <f t="shared" si="9"/>
        <v>SI</v>
      </c>
      <c r="T26" s="76">
        <f t="shared" si="10"/>
        <v>7117.762800000001</v>
      </c>
      <c r="U26" s="130"/>
    </row>
    <row r="27" spans="2:21" s="16" customFormat="1" ht="16.5" customHeight="1">
      <c r="B27" s="126"/>
      <c r="C27" s="774">
        <v>18</v>
      </c>
      <c r="D27" s="836" t="s">
        <v>17</v>
      </c>
      <c r="E27" s="836" t="s">
        <v>203</v>
      </c>
      <c r="F27" s="837">
        <v>132</v>
      </c>
      <c r="G27" s="351">
        <f t="shared" si="0"/>
        <v>24.587</v>
      </c>
      <c r="H27" s="839">
        <v>37992.353472222225</v>
      </c>
      <c r="I27" s="840">
        <v>37992.697916666664</v>
      </c>
      <c r="J27" s="73">
        <f t="shared" si="1"/>
        <v>8.26666666654637</v>
      </c>
      <c r="K27" s="31">
        <f t="shared" si="2"/>
        <v>496</v>
      </c>
      <c r="L27" s="794" t="s">
        <v>216</v>
      </c>
      <c r="M27" s="796" t="str">
        <f t="shared" si="3"/>
        <v>--</v>
      </c>
      <c r="N27" s="842">
        <f t="shared" si="4"/>
        <v>40</v>
      </c>
      <c r="O27" s="843">
        <f t="shared" si="5"/>
        <v>813.33796</v>
      </c>
      <c r="P27" s="844" t="str">
        <f t="shared" si="6"/>
        <v>--</v>
      </c>
      <c r="Q27" s="845" t="str">
        <f t="shared" si="7"/>
        <v>--</v>
      </c>
      <c r="R27" s="846" t="str">
        <f t="shared" si="8"/>
        <v>--</v>
      </c>
      <c r="S27" s="796" t="str">
        <f t="shared" si="9"/>
        <v>SI</v>
      </c>
      <c r="T27" s="76">
        <f t="shared" si="10"/>
        <v>813.33796</v>
      </c>
      <c r="U27" s="130"/>
    </row>
    <row r="28" spans="2:21" s="16" customFormat="1" ht="16.5" customHeight="1">
      <c r="B28" s="126"/>
      <c r="C28" s="774">
        <v>19</v>
      </c>
      <c r="D28" s="836" t="s">
        <v>26</v>
      </c>
      <c r="E28" s="836" t="s">
        <v>42</v>
      </c>
      <c r="F28" s="837">
        <v>132</v>
      </c>
      <c r="G28" s="351">
        <f t="shared" si="0"/>
        <v>24.587</v>
      </c>
      <c r="H28" s="839">
        <v>37993.24097222222</v>
      </c>
      <c r="I28" s="840">
        <v>37993.31597222222</v>
      </c>
      <c r="J28" s="73">
        <f t="shared" si="1"/>
        <v>1.7999999999301508</v>
      </c>
      <c r="K28" s="31">
        <f t="shared" si="2"/>
        <v>108</v>
      </c>
      <c r="L28" s="794" t="s">
        <v>216</v>
      </c>
      <c r="M28" s="796" t="str">
        <f t="shared" si="3"/>
        <v>--</v>
      </c>
      <c r="N28" s="842">
        <f t="shared" si="4"/>
        <v>40</v>
      </c>
      <c r="O28" s="843">
        <f t="shared" si="5"/>
        <v>177.02640000000002</v>
      </c>
      <c r="P28" s="844" t="str">
        <f t="shared" si="6"/>
        <v>--</v>
      </c>
      <c r="Q28" s="845" t="str">
        <f t="shared" si="7"/>
        <v>--</v>
      </c>
      <c r="R28" s="846" t="str">
        <f t="shared" si="8"/>
        <v>--</v>
      </c>
      <c r="S28" s="796" t="str">
        <f t="shared" si="9"/>
        <v>SI</v>
      </c>
      <c r="T28" s="76">
        <f t="shared" si="10"/>
        <v>177.02640000000002</v>
      </c>
      <c r="U28" s="130"/>
    </row>
    <row r="29" spans="2:21" s="16" customFormat="1" ht="16.5" customHeight="1">
      <c r="B29" s="126"/>
      <c r="C29" s="774">
        <v>20</v>
      </c>
      <c r="D29" s="836" t="s">
        <v>17</v>
      </c>
      <c r="E29" s="836" t="s">
        <v>203</v>
      </c>
      <c r="F29" s="837">
        <v>132</v>
      </c>
      <c r="G29" s="351">
        <f t="shared" si="0"/>
        <v>24.587</v>
      </c>
      <c r="H29" s="839">
        <v>37993.375</v>
      </c>
      <c r="I29" s="840">
        <v>37993.67847222222</v>
      </c>
      <c r="J29" s="73">
        <f t="shared" si="1"/>
        <v>7.283333333325572</v>
      </c>
      <c r="K29" s="31">
        <f t="shared" si="2"/>
        <v>437</v>
      </c>
      <c r="L29" s="794" t="s">
        <v>216</v>
      </c>
      <c r="M29" s="796" t="str">
        <f t="shared" si="3"/>
        <v>--</v>
      </c>
      <c r="N29" s="842">
        <f t="shared" si="4"/>
        <v>40</v>
      </c>
      <c r="O29" s="843">
        <f t="shared" si="5"/>
        <v>715.9734400000001</v>
      </c>
      <c r="P29" s="844" t="str">
        <f t="shared" si="6"/>
        <v>--</v>
      </c>
      <c r="Q29" s="845" t="str">
        <f t="shared" si="7"/>
        <v>--</v>
      </c>
      <c r="R29" s="846" t="str">
        <f t="shared" si="8"/>
        <v>--</v>
      </c>
      <c r="S29" s="796" t="str">
        <f t="shared" si="9"/>
        <v>SI</v>
      </c>
      <c r="T29" s="76">
        <f t="shared" si="10"/>
        <v>715.9734400000001</v>
      </c>
      <c r="U29" s="130"/>
    </row>
    <row r="30" spans="2:21" s="16" customFormat="1" ht="16.5" customHeight="1">
      <c r="B30" s="126"/>
      <c r="C30" s="774">
        <v>21</v>
      </c>
      <c r="D30" s="836" t="s">
        <v>11</v>
      </c>
      <c r="E30" s="836" t="s">
        <v>33</v>
      </c>
      <c r="F30" s="837">
        <v>132</v>
      </c>
      <c r="G30" s="351">
        <f t="shared" si="0"/>
        <v>24.587</v>
      </c>
      <c r="H30" s="839">
        <v>37997.208333333336</v>
      </c>
      <c r="I30" s="840">
        <v>37997.50486111111</v>
      </c>
      <c r="J30" s="73">
        <f t="shared" si="1"/>
        <v>7.116666666639503</v>
      </c>
      <c r="K30" s="31">
        <f t="shared" si="2"/>
        <v>427</v>
      </c>
      <c r="L30" s="794" t="s">
        <v>216</v>
      </c>
      <c r="M30" s="796" t="str">
        <f t="shared" si="3"/>
        <v>--</v>
      </c>
      <c r="N30" s="842">
        <f t="shared" si="4"/>
        <v>40</v>
      </c>
      <c r="O30" s="843">
        <f t="shared" si="5"/>
        <v>700.23776</v>
      </c>
      <c r="P30" s="844" t="str">
        <f t="shared" si="6"/>
        <v>--</v>
      </c>
      <c r="Q30" s="845" t="str">
        <f t="shared" si="7"/>
        <v>--</v>
      </c>
      <c r="R30" s="846" t="str">
        <f t="shared" si="8"/>
        <v>--</v>
      </c>
      <c r="S30" s="796" t="str">
        <f t="shared" si="9"/>
        <v>SI</v>
      </c>
      <c r="T30" s="76">
        <f t="shared" si="10"/>
        <v>700.23776</v>
      </c>
      <c r="U30" s="130"/>
    </row>
    <row r="31" spans="2:21" s="16" customFormat="1" ht="16.5" customHeight="1">
      <c r="B31" s="126"/>
      <c r="C31" s="774">
        <v>22</v>
      </c>
      <c r="D31" s="836" t="s">
        <v>27</v>
      </c>
      <c r="E31" s="836" t="s">
        <v>213</v>
      </c>
      <c r="F31" s="837">
        <v>132</v>
      </c>
      <c r="G31" s="351">
        <f t="shared" si="0"/>
        <v>24.587</v>
      </c>
      <c r="H31" s="839">
        <v>37998.37222222222</v>
      </c>
      <c r="I31" s="840">
        <v>37998.739583333336</v>
      </c>
      <c r="J31" s="73">
        <f t="shared" si="1"/>
        <v>8.81666666676756</v>
      </c>
      <c r="K31" s="31">
        <f t="shared" si="2"/>
        <v>529</v>
      </c>
      <c r="L31" s="794" t="s">
        <v>216</v>
      </c>
      <c r="M31" s="796" t="str">
        <f t="shared" si="3"/>
        <v>--</v>
      </c>
      <c r="N31" s="842">
        <f t="shared" si="4"/>
        <v>40</v>
      </c>
      <c r="O31" s="843">
        <f t="shared" si="5"/>
        <v>867.4293600000001</v>
      </c>
      <c r="P31" s="844" t="str">
        <f t="shared" si="6"/>
        <v>--</v>
      </c>
      <c r="Q31" s="845" t="str">
        <f t="shared" si="7"/>
        <v>--</v>
      </c>
      <c r="R31" s="846" t="str">
        <f t="shared" si="8"/>
        <v>--</v>
      </c>
      <c r="S31" s="796" t="str">
        <f t="shared" si="9"/>
        <v>SI</v>
      </c>
      <c r="T31" s="76">
        <f t="shared" si="10"/>
        <v>867.4293600000001</v>
      </c>
      <c r="U31" s="130"/>
    </row>
    <row r="32" spans="2:21" s="16" customFormat="1" ht="16.5" customHeight="1">
      <c r="B32" s="126"/>
      <c r="C32" s="774">
        <v>23</v>
      </c>
      <c r="D32" s="836" t="s">
        <v>27</v>
      </c>
      <c r="E32" s="836" t="s">
        <v>213</v>
      </c>
      <c r="F32" s="837">
        <v>132</v>
      </c>
      <c r="G32" s="351">
        <f t="shared" si="0"/>
        <v>24.587</v>
      </c>
      <c r="H32" s="839">
        <v>37999.3625</v>
      </c>
      <c r="I32" s="840">
        <v>37999.78194444445</v>
      </c>
      <c r="J32" s="73">
        <f t="shared" si="1"/>
        <v>10.066666666651145</v>
      </c>
      <c r="K32" s="31">
        <f t="shared" si="2"/>
        <v>604</v>
      </c>
      <c r="L32" s="794" t="s">
        <v>216</v>
      </c>
      <c r="M32" s="796" t="str">
        <f t="shared" si="3"/>
        <v>--</v>
      </c>
      <c r="N32" s="842">
        <f t="shared" si="4"/>
        <v>40</v>
      </c>
      <c r="O32" s="843">
        <f t="shared" si="5"/>
        <v>990.3643600000001</v>
      </c>
      <c r="P32" s="844" t="str">
        <f t="shared" si="6"/>
        <v>--</v>
      </c>
      <c r="Q32" s="845" t="str">
        <f t="shared" si="7"/>
        <v>--</v>
      </c>
      <c r="R32" s="846" t="str">
        <f t="shared" si="8"/>
        <v>--</v>
      </c>
      <c r="S32" s="796" t="str">
        <f t="shared" si="9"/>
        <v>SI</v>
      </c>
      <c r="T32" s="76">
        <f t="shared" si="10"/>
        <v>990.3643600000001</v>
      </c>
      <c r="U32" s="130"/>
    </row>
    <row r="33" spans="2:21" s="16" customFormat="1" ht="16.5" customHeight="1">
      <c r="B33" s="126"/>
      <c r="C33" s="774">
        <v>24</v>
      </c>
      <c r="D33" s="836" t="s">
        <v>13</v>
      </c>
      <c r="E33" s="836" t="s">
        <v>197</v>
      </c>
      <c r="F33" s="837">
        <v>132</v>
      </c>
      <c r="G33" s="351">
        <f t="shared" si="0"/>
        <v>24.587</v>
      </c>
      <c r="H33" s="839">
        <v>38000.20972222222</v>
      </c>
      <c r="I33" s="840">
        <v>38000.34166666667</v>
      </c>
      <c r="J33" s="73">
        <f t="shared" si="1"/>
        <v>3.166666666686069</v>
      </c>
      <c r="K33" s="31">
        <f t="shared" si="2"/>
        <v>190</v>
      </c>
      <c r="L33" s="794" t="s">
        <v>216</v>
      </c>
      <c r="M33" s="796" t="str">
        <f t="shared" si="3"/>
        <v>--</v>
      </c>
      <c r="N33" s="842">
        <f t="shared" si="4"/>
        <v>40</v>
      </c>
      <c r="O33" s="843">
        <f t="shared" si="5"/>
        <v>311.76316</v>
      </c>
      <c r="P33" s="844" t="str">
        <f t="shared" si="6"/>
        <v>--</v>
      </c>
      <c r="Q33" s="845" t="str">
        <f t="shared" si="7"/>
        <v>--</v>
      </c>
      <c r="R33" s="846" t="str">
        <f t="shared" si="8"/>
        <v>--</v>
      </c>
      <c r="S33" s="796" t="str">
        <f t="shared" si="9"/>
        <v>SI</v>
      </c>
      <c r="T33" s="76">
        <f t="shared" si="10"/>
        <v>311.76316</v>
      </c>
      <c r="U33" s="130"/>
    </row>
    <row r="34" spans="2:21" s="16" customFormat="1" ht="16.5" customHeight="1">
      <c r="B34" s="126"/>
      <c r="C34" s="774">
        <v>25</v>
      </c>
      <c r="D34" s="836" t="s">
        <v>27</v>
      </c>
      <c r="E34" s="836" t="s">
        <v>213</v>
      </c>
      <c r="F34" s="837">
        <v>132</v>
      </c>
      <c r="G34" s="351">
        <f t="shared" si="0"/>
        <v>24.587</v>
      </c>
      <c r="H34" s="839">
        <v>38000.42847222222</v>
      </c>
      <c r="I34" s="840">
        <v>38000.55069444444</v>
      </c>
      <c r="J34" s="73">
        <f t="shared" si="1"/>
        <v>2.9333333332906477</v>
      </c>
      <c r="K34" s="31">
        <f t="shared" si="2"/>
        <v>176</v>
      </c>
      <c r="L34" s="794" t="s">
        <v>216</v>
      </c>
      <c r="M34" s="796" t="str">
        <f t="shared" si="3"/>
        <v>--</v>
      </c>
      <c r="N34" s="842">
        <f t="shared" si="4"/>
        <v>40</v>
      </c>
      <c r="O34" s="843">
        <f t="shared" si="5"/>
        <v>288.15964</v>
      </c>
      <c r="P34" s="844" t="str">
        <f t="shared" si="6"/>
        <v>--</v>
      </c>
      <c r="Q34" s="845" t="str">
        <f t="shared" si="7"/>
        <v>--</v>
      </c>
      <c r="R34" s="846" t="str">
        <f t="shared" si="8"/>
        <v>--</v>
      </c>
      <c r="S34" s="796" t="str">
        <f t="shared" si="9"/>
        <v>SI</v>
      </c>
      <c r="T34" s="76">
        <f t="shared" si="10"/>
        <v>288.15964</v>
      </c>
      <c r="U34" s="130"/>
    </row>
    <row r="35" spans="2:21" s="16" customFormat="1" ht="16.5" customHeight="1">
      <c r="B35" s="126"/>
      <c r="C35" s="774">
        <v>26</v>
      </c>
      <c r="D35" s="836" t="s">
        <v>24</v>
      </c>
      <c r="E35" s="836" t="s">
        <v>40</v>
      </c>
      <c r="F35" s="837">
        <v>132</v>
      </c>
      <c r="G35" s="351">
        <f t="shared" si="0"/>
        <v>24.587</v>
      </c>
      <c r="H35" s="839">
        <v>38004.34444444445</v>
      </c>
      <c r="I35" s="840">
        <v>38004.425</v>
      </c>
      <c r="J35" s="73">
        <f t="shared" si="1"/>
        <v>1.9333333333488554</v>
      </c>
      <c r="K35" s="31">
        <f t="shared" si="2"/>
        <v>116</v>
      </c>
      <c r="L35" s="794" t="s">
        <v>216</v>
      </c>
      <c r="M35" s="796" t="str">
        <f t="shared" si="3"/>
        <v>--</v>
      </c>
      <c r="N35" s="842">
        <f t="shared" si="4"/>
        <v>40</v>
      </c>
      <c r="O35" s="843">
        <f t="shared" si="5"/>
        <v>189.81164</v>
      </c>
      <c r="P35" s="844" t="str">
        <f t="shared" si="6"/>
        <v>--</v>
      </c>
      <c r="Q35" s="845" t="str">
        <f t="shared" si="7"/>
        <v>--</v>
      </c>
      <c r="R35" s="846" t="str">
        <f t="shared" si="8"/>
        <v>--</v>
      </c>
      <c r="S35" s="796" t="str">
        <f t="shared" si="9"/>
        <v>SI</v>
      </c>
      <c r="T35" s="76">
        <f t="shared" si="10"/>
        <v>189.81164</v>
      </c>
      <c r="U35" s="130"/>
    </row>
    <row r="36" spans="2:21" s="16" customFormat="1" ht="16.5" customHeight="1">
      <c r="B36" s="126"/>
      <c r="C36" s="774">
        <v>27</v>
      </c>
      <c r="D36" s="836" t="s">
        <v>36</v>
      </c>
      <c r="E36" s="836" t="s">
        <v>37</v>
      </c>
      <c r="F36" s="837">
        <v>132</v>
      </c>
      <c r="G36" s="351">
        <f t="shared" si="0"/>
        <v>24.587</v>
      </c>
      <c r="H36" s="839">
        <v>38006.354166666664</v>
      </c>
      <c r="I36" s="840">
        <v>38006.67083333333</v>
      </c>
      <c r="J36" s="73">
        <f t="shared" si="1"/>
        <v>7.599999999976717</v>
      </c>
      <c r="K36" s="31">
        <f t="shared" si="2"/>
        <v>456</v>
      </c>
      <c r="L36" s="794" t="s">
        <v>216</v>
      </c>
      <c r="M36" s="796" t="str">
        <f t="shared" si="3"/>
        <v>--</v>
      </c>
      <c r="N36" s="842">
        <f t="shared" si="4"/>
        <v>40</v>
      </c>
      <c r="O36" s="843">
        <f t="shared" si="5"/>
        <v>747.4448</v>
      </c>
      <c r="P36" s="844" t="str">
        <f t="shared" si="6"/>
        <v>--</v>
      </c>
      <c r="Q36" s="845" t="str">
        <f t="shared" si="7"/>
        <v>--</v>
      </c>
      <c r="R36" s="846" t="str">
        <f t="shared" si="8"/>
        <v>--</v>
      </c>
      <c r="S36" s="796" t="str">
        <f t="shared" si="9"/>
        <v>SI</v>
      </c>
      <c r="T36" s="76">
        <f t="shared" si="10"/>
        <v>747.4448</v>
      </c>
      <c r="U36" s="130"/>
    </row>
    <row r="37" spans="2:21" s="16" customFormat="1" ht="16.5" customHeight="1">
      <c r="B37" s="126"/>
      <c r="C37" s="774">
        <v>28</v>
      </c>
      <c r="D37" s="836" t="s">
        <v>36</v>
      </c>
      <c r="E37" s="836" t="s">
        <v>37</v>
      </c>
      <c r="F37" s="837">
        <v>132</v>
      </c>
      <c r="G37" s="351">
        <f t="shared" si="0"/>
        <v>24.587</v>
      </c>
      <c r="H37" s="839">
        <v>38007.35833333333</v>
      </c>
      <c r="I37" s="840">
        <v>38007.67222222222</v>
      </c>
      <c r="J37" s="73">
        <f t="shared" si="1"/>
        <v>7.533333333441988</v>
      </c>
      <c r="K37" s="31">
        <f t="shared" si="2"/>
        <v>452</v>
      </c>
      <c r="L37" s="794" t="s">
        <v>216</v>
      </c>
      <c r="M37" s="796" t="str">
        <f t="shared" si="3"/>
        <v>--</v>
      </c>
      <c r="N37" s="842">
        <f t="shared" si="4"/>
        <v>40</v>
      </c>
      <c r="O37" s="843">
        <f t="shared" si="5"/>
        <v>740.5604400000001</v>
      </c>
      <c r="P37" s="844" t="str">
        <f t="shared" si="6"/>
        <v>--</v>
      </c>
      <c r="Q37" s="845" t="str">
        <f t="shared" si="7"/>
        <v>--</v>
      </c>
      <c r="R37" s="846" t="str">
        <f t="shared" si="8"/>
        <v>--</v>
      </c>
      <c r="S37" s="796" t="str">
        <f t="shared" si="9"/>
        <v>SI</v>
      </c>
      <c r="T37" s="76">
        <f t="shared" si="10"/>
        <v>740.5604400000001</v>
      </c>
      <c r="U37" s="130"/>
    </row>
    <row r="38" spans="2:21" s="16" customFormat="1" ht="16.5" customHeight="1">
      <c r="B38" s="126"/>
      <c r="C38" s="774">
        <v>29</v>
      </c>
      <c r="D38" s="836" t="s">
        <v>17</v>
      </c>
      <c r="E38" s="836" t="s">
        <v>39</v>
      </c>
      <c r="F38" s="837">
        <v>132</v>
      </c>
      <c r="G38" s="351">
        <f t="shared" si="0"/>
        <v>24.587</v>
      </c>
      <c r="H38" s="839">
        <v>38007.60555555556</v>
      </c>
      <c r="I38" s="840">
        <v>38007.61111111111</v>
      </c>
      <c r="J38" s="73">
        <f t="shared" si="1"/>
        <v>0.1333333332440816</v>
      </c>
      <c r="K38" s="31">
        <f t="shared" si="2"/>
        <v>8</v>
      </c>
      <c r="L38" s="794" t="s">
        <v>206</v>
      </c>
      <c r="M38" s="796" t="str">
        <f t="shared" si="3"/>
        <v>NO</v>
      </c>
      <c r="N38" s="842">
        <f t="shared" si="4"/>
        <v>40</v>
      </c>
      <c r="O38" s="843" t="str">
        <f t="shared" si="5"/>
        <v>--</v>
      </c>
      <c r="P38" s="844">
        <f t="shared" si="6"/>
        <v>983.48</v>
      </c>
      <c r="Q38" s="845">
        <f t="shared" si="7"/>
        <v>127.8524</v>
      </c>
      <c r="R38" s="846" t="str">
        <f t="shared" si="8"/>
        <v>--</v>
      </c>
      <c r="S38" s="796" t="str">
        <f t="shared" si="9"/>
        <v>SI</v>
      </c>
      <c r="T38" s="76">
        <f t="shared" si="10"/>
        <v>1111.3324</v>
      </c>
      <c r="U38" s="130"/>
    </row>
    <row r="39" spans="2:21" s="16" customFormat="1" ht="16.5" customHeight="1">
      <c r="B39" s="126"/>
      <c r="C39" s="774">
        <v>30</v>
      </c>
      <c r="D39" s="836" t="s">
        <v>25</v>
      </c>
      <c r="E39" s="836" t="s">
        <v>41</v>
      </c>
      <c r="F39" s="837">
        <v>132</v>
      </c>
      <c r="G39" s="351">
        <f t="shared" si="0"/>
        <v>24.587</v>
      </c>
      <c r="H39" s="839">
        <v>38008.345138888886</v>
      </c>
      <c r="I39" s="840">
        <v>38008.77291666667</v>
      </c>
      <c r="J39" s="73">
        <f t="shared" si="1"/>
        <v>10.266666666779201</v>
      </c>
      <c r="K39" s="31">
        <f t="shared" si="2"/>
        <v>616</v>
      </c>
      <c r="L39" s="794" t="s">
        <v>216</v>
      </c>
      <c r="M39" s="796" t="str">
        <f t="shared" si="3"/>
        <v>--</v>
      </c>
      <c r="N39" s="842">
        <f t="shared" si="4"/>
        <v>40</v>
      </c>
      <c r="O39" s="843">
        <f t="shared" si="5"/>
        <v>1010.03396</v>
      </c>
      <c r="P39" s="844" t="str">
        <f t="shared" si="6"/>
        <v>--</v>
      </c>
      <c r="Q39" s="845" t="str">
        <f t="shared" si="7"/>
        <v>--</v>
      </c>
      <c r="R39" s="846" t="str">
        <f t="shared" si="8"/>
        <v>--</v>
      </c>
      <c r="S39" s="796" t="str">
        <f t="shared" si="9"/>
        <v>SI</v>
      </c>
      <c r="T39" s="76">
        <f t="shared" si="10"/>
        <v>1010.03396</v>
      </c>
      <c r="U39" s="130"/>
    </row>
    <row r="40" spans="2:21" s="16" customFormat="1" ht="16.5" customHeight="1">
      <c r="B40" s="126"/>
      <c r="C40" s="774">
        <v>31</v>
      </c>
      <c r="D40" s="836" t="s">
        <v>17</v>
      </c>
      <c r="E40" s="836" t="s">
        <v>38</v>
      </c>
      <c r="F40" s="837">
        <v>132</v>
      </c>
      <c r="G40" s="351">
        <f t="shared" si="0"/>
        <v>24.587</v>
      </c>
      <c r="H40" s="839">
        <v>38009.34166666667</v>
      </c>
      <c r="I40" s="840">
        <v>38009.38333333333</v>
      </c>
      <c r="J40" s="73">
        <f t="shared" si="1"/>
        <v>0.9999999999417923</v>
      </c>
      <c r="K40" s="31">
        <f t="shared" si="2"/>
        <v>60</v>
      </c>
      <c r="L40" s="794" t="s">
        <v>216</v>
      </c>
      <c r="M40" s="796" t="str">
        <f t="shared" si="3"/>
        <v>--</v>
      </c>
      <c r="N40" s="842">
        <f t="shared" si="4"/>
        <v>40</v>
      </c>
      <c r="O40" s="843">
        <f t="shared" si="5"/>
        <v>98.34800000000001</v>
      </c>
      <c r="P40" s="844" t="str">
        <f t="shared" si="6"/>
        <v>--</v>
      </c>
      <c r="Q40" s="845" t="str">
        <f t="shared" si="7"/>
        <v>--</v>
      </c>
      <c r="R40" s="846" t="str">
        <f t="shared" si="8"/>
        <v>--</v>
      </c>
      <c r="S40" s="796" t="str">
        <f t="shared" si="9"/>
        <v>SI</v>
      </c>
      <c r="T40" s="76">
        <f t="shared" si="10"/>
        <v>98.34800000000001</v>
      </c>
      <c r="U40" s="130"/>
    </row>
    <row r="41" spans="2:21" s="16" customFormat="1" ht="16.5" customHeight="1">
      <c r="B41" s="126"/>
      <c r="C41" s="774">
        <v>32</v>
      </c>
      <c r="D41" s="836" t="s">
        <v>25</v>
      </c>
      <c r="E41" s="836" t="s">
        <v>41</v>
      </c>
      <c r="F41" s="837">
        <v>132</v>
      </c>
      <c r="G41" s="351">
        <f t="shared" si="0"/>
        <v>24.587</v>
      </c>
      <c r="H41" s="839">
        <v>38009.34305555555</v>
      </c>
      <c r="I41" s="840">
        <v>38009.77291666667</v>
      </c>
      <c r="J41" s="73">
        <f t="shared" si="1"/>
        <v>10.31666666676756</v>
      </c>
      <c r="K41" s="31">
        <f t="shared" si="2"/>
        <v>619</v>
      </c>
      <c r="L41" s="794" t="s">
        <v>216</v>
      </c>
      <c r="M41" s="796" t="str">
        <f t="shared" si="3"/>
        <v>--</v>
      </c>
      <c r="N41" s="842">
        <f t="shared" si="4"/>
        <v>40</v>
      </c>
      <c r="O41" s="843">
        <f t="shared" si="5"/>
        <v>1014.95136</v>
      </c>
      <c r="P41" s="844" t="str">
        <f t="shared" si="6"/>
        <v>--</v>
      </c>
      <c r="Q41" s="845" t="str">
        <f t="shared" si="7"/>
        <v>--</v>
      </c>
      <c r="R41" s="846" t="str">
        <f t="shared" si="8"/>
        <v>--</v>
      </c>
      <c r="S41" s="796" t="str">
        <f t="shared" si="9"/>
        <v>SI</v>
      </c>
      <c r="T41" s="76">
        <f t="shared" si="10"/>
        <v>1014.95136</v>
      </c>
      <c r="U41" s="130"/>
    </row>
    <row r="42" spans="2:21" s="16" customFormat="1" ht="16.5" customHeight="1">
      <c r="B42" s="126"/>
      <c r="C42" s="774">
        <v>33</v>
      </c>
      <c r="D42" s="836" t="s">
        <v>13</v>
      </c>
      <c r="E42" s="836" t="s">
        <v>35</v>
      </c>
      <c r="F42" s="837">
        <v>132</v>
      </c>
      <c r="G42" s="351">
        <f t="shared" si="0"/>
        <v>24.587</v>
      </c>
      <c r="H42" s="839">
        <v>38011.288194444445</v>
      </c>
      <c r="I42" s="840">
        <v>38011.37291666667</v>
      </c>
      <c r="J42" s="73">
        <f t="shared" si="1"/>
        <v>2.0333333333255723</v>
      </c>
      <c r="K42" s="31">
        <f t="shared" si="2"/>
        <v>122</v>
      </c>
      <c r="L42" s="794" t="s">
        <v>216</v>
      </c>
      <c r="M42" s="796" t="str">
        <f t="shared" si="3"/>
        <v>--</v>
      </c>
      <c r="N42" s="842">
        <f t="shared" si="4"/>
        <v>40</v>
      </c>
      <c r="O42" s="843">
        <f t="shared" si="5"/>
        <v>199.64643999999998</v>
      </c>
      <c r="P42" s="844" t="str">
        <f t="shared" si="6"/>
        <v>--</v>
      </c>
      <c r="Q42" s="845" t="str">
        <f t="shared" si="7"/>
        <v>--</v>
      </c>
      <c r="R42" s="846" t="str">
        <f t="shared" si="8"/>
        <v>--</v>
      </c>
      <c r="S42" s="796" t="str">
        <f t="shared" si="9"/>
        <v>SI</v>
      </c>
      <c r="T42" s="76">
        <f t="shared" si="10"/>
        <v>199.64643999999998</v>
      </c>
      <c r="U42" s="130"/>
    </row>
    <row r="43" spans="2:21" s="16" customFormat="1" ht="16.5" customHeight="1">
      <c r="B43" s="126"/>
      <c r="C43" s="774">
        <v>34</v>
      </c>
      <c r="D43" s="836" t="s">
        <v>24</v>
      </c>
      <c r="E43" s="836" t="s">
        <v>196</v>
      </c>
      <c r="F43" s="837">
        <v>132</v>
      </c>
      <c r="G43" s="351">
        <f t="shared" si="0"/>
        <v>24.587</v>
      </c>
      <c r="H43" s="839">
        <v>38011.40833333333</v>
      </c>
      <c r="I43" s="840">
        <v>38011.46875</v>
      </c>
      <c r="J43" s="73">
        <f t="shared" si="1"/>
        <v>1.4500000000116415</v>
      </c>
      <c r="K43" s="31">
        <f t="shared" si="2"/>
        <v>87</v>
      </c>
      <c r="L43" s="794" t="s">
        <v>216</v>
      </c>
      <c r="M43" s="796" t="str">
        <f t="shared" si="3"/>
        <v>--</v>
      </c>
      <c r="N43" s="842">
        <f t="shared" si="4"/>
        <v>40</v>
      </c>
      <c r="O43" s="843">
        <f t="shared" si="5"/>
        <v>142.6046</v>
      </c>
      <c r="P43" s="844" t="str">
        <f t="shared" si="6"/>
        <v>--</v>
      </c>
      <c r="Q43" s="845" t="str">
        <f t="shared" si="7"/>
        <v>--</v>
      </c>
      <c r="R43" s="846" t="str">
        <f t="shared" si="8"/>
        <v>--</v>
      </c>
      <c r="S43" s="796" t="str">
        <f t="shared" si="9"/>
        <v>SI</v>
      </c>
      <c r="T43" s="76">
        <f t="shared" si="10"/>
        <v>142.6046</v>
      </c>
      <c r="U43" s="130"/>
    </row>
    <row r="44" spans="2:21" s="16" customFormat="1" ht="16.5" customHeight="1" thickBot="1">
      <c r="B44" s="126"/>
      <c r="C44" s="783"/>
      <c r="D44" s="838"/>
      <c r="E44" s="838"/>
      <c r="F44" s="784"/>
      <c r="G44" s="352"/>
      <c r="H44" s="841"/>
      <c r="I44" s="841"/>
      <c r="J44" s="77"/>
      <c r="K44" s="77"/>
      <c r="L44" s="841"/>
      <c r="M44" s="793"/>
      <c r="N44" s="847"/>
      <c r="O44" s="848"/>
      <c r="P44" s="849"/>
      <c r="Q44" s="850"/>
      <c r="R44" s="851"/>
      <c r="S44" s="793"/>
      <c r="T44" s="239"/>
      <c r="U44" s="130"/>
    </row>
    <row r="45" spans="2:21" s="16" customFormat="1" ht="16.5" customHeight="1" thickBot="1" thickTop="1">
      <c r="B45" s="126"/>
      <c r="C45" s="271" t="s">
        <v>94</v>
      </c>
      <c r="D45" s="272" t="s">
        <v>95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05">
        <f>SUM(O22:O44)</f>
        <v>16443.12016</v>
      </c>
      <c r="P45" s="512">
        <f>SUM(P22:P44)</f>
        <v>1966.96</v>
      </c>
      <c r="Q45" s="513">
        <f>SUM(Q22:Q44)</f>
        <v>196.69600000000003</v>
      </c>
      <c r="R45" s="515">
        <f>SUM(R22:R44)</f>
        <v>0</v>
      </c>
      <c r="S45" s="78"/>
      <c r="T45" s="93">
        <f>ROUND(SUM(T22:T44),2)</f>
        <v>18606.78</v>
      </c>
      <c r="U45" s="130"/>
    </row>
    <row r="46" spans="2:21" s="275" customFormat="1" ht="13.5" thickTop="1">
      <c r="B46" s="276"/>
      <c r="C46" s="273"/>
      <c r="D46" s="274" t="s">
        <v>96</v>
      </c>
      <c r="E46"/>
      <c r="F46" s="292"/>
      <c r="G46" s="292"/>
      <c r="H46" s="292"/>
      <c r="I46" s="292"/>
      <c r="J46" s="292"/>
      <c r="K46" s="292"/>
      <c r="L46" s="292"/>
      <c r="M46" s="292"/>
      <c r="N46" s="292"/>
      <c r="O46" s="290"/>
      <c r="P46" s="290"/>
      <c r="Q46" s="290"/>
      <c r="R46" s="290"/>
      <c r="S46" s="290"/>
      <c r="T46" s="293"/>
      <c r="U46" s="294"/>
    </row>
    <row r="47" spans="2:21" s="16" customFormat="1" ht="16.5" customHeight="1" thickBot="1"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7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W160"/>
  <sheetViews>
    <sheetView zoomScale="75" zoomScaleNormal="75" workbookViewId="0" topLeftCell="D1">
      <selection activeCell="S24" sqref="S24:T26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0" width="17.8515625" style="0" customWidth="1"/>
    <col min="21" max="21" width="15.7109375" style="0" customWidth="1"/>
  </cols>
  <sheetData>
    <row r="1" spans="1:21" s="94" customFormat="1" ht="26.25">
      <c r="A1" s="144"/>
      <c r="U1" s="759"/>
    </row>
    <row r="2" spans="1:21" s="94" customFormat="1" ht="26.25">
      <c r="A2" s="144"/>
      <c r="B2" s="95" t="str">
        <f>+'tot-0401'!B2</f>
        <v>ANEXO I-1a a la Resolución ENRE N° 686/2007.-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="16" customFormat="1" ht="12.75">
      <c r="A3" s="64"/>
    </row>
    <row r="4" spans="1:2" s="101" customFormat="1" ht="11.25">
      <c r="A4" s="99" t="s">
        <v>50</v>
      </c>
      <c r="B4" s="178"/>
    </row>
    <row r="5" spans="1:2" s="101" customFormat="1" ht="11.25">
      <c r="A5" s="99" t="s">
        <v>51</v>
      </c>
      <c r="B5" s="178"/>
    </row>
    <row r="6" s="16" customFormat="1" ht="13.5" thickBot="1"/>
    <row r="7" spans="2:21" s="16" customFormat="1" ht="13.5" thickTop="1"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216"/>
    </row>
    <row r="8" spans="2:21" s="10" customFormat="1" ht="20.25">
      <c r="B8" s="159"/>
      <c r="C8" s="11"/>
      <c r="D8" s="67" t="s">
        <v>67</v>
      </c>
      <c r="L8" s="192"/>
      <c r="M8" s="192"/>
      <c r="N8" s="42"/>
      <c r="O8" s="11"/>
      <c r="P8" s="11"/>
      <c r="Q8" s="11"/>
      <c r="R8" s="11"/>
      <c r="S8" s="11"/>
      <c r="T8" s="11"/>
      <c r="U8" s="225"/>
    </row>
    <row r="9" spans="2:21" s="16" customFormat="1" ht="12.75">
      <c r="B9" s="126"/>
      <c r="C9" s="1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4"/>
      <c r="P9" s="14"/>
      <c r="Q9" s="14"/>
      <c r="R9" s="14"/>
      <c r="S9" s="14"/>
      <c r="T9" s="14"/>
      <c r="U9" s="130"/>
    </row>
    <row r="10" spans="2:21" s="10" customFormat="1" ht="20.25">
      <c r="B10" s="159"/>
      <c r="C10" s="11"/>
      <c r="D10" s="196" t="s">
        <v>111</v>
      </c>
      <c r="E10" s="43"/>
      <c r="F10" s="192"/>
      <c r="G10" s="226"/>
      <c r="I10" s="226"/>
      <c r="J10" s="226"/>
      <c r="K10" s="226"/>
      <c r="L10" s="226"/>
      <c r="M10" s="226"/>
      <c r="N10" s="226"/>
      <c r="O10" s="11"/>
      <c r="P10" s="11"/>
      <c r="Q10" s="11"/>
      <c r="R10" s="11"/>
      <c r="S10" s="11"/>
      <c r="T10" s="11"/>
      <c r="U10" s="225"/>
    </row>
    <row r="11" spans="2:21" s="16" customFormat="1" ht="13.5">
      <c r="B11" s="126"/>
      <c r="C11" s="14"/>
      <c r="D11" s="224"/>
      <c r="E11" s="224"/>
      <c r="F11" s="64"/>
      <c r="G11" s="217"/>
      <c r="H11" s="128"/>
      <c r="I11" s="217"/>
      <c r="J11" s="217"/>
      <c r="K11" s="217"/>
      <c r="L11" s="217"/>
      <c r="M11" s="217"/>
      <c r="N11" s="217"/>
      <c r="O11" s="14"/>
      <c r="P11" s="14"/>
      <c r="Q11" s="14"/>
      <c r="R11" s="14"/>
      <c r="S11" s="14"/>
      <c r="T11" s="14"/>
      <c r="U11" s="130"/>
    </row>
    <row r="12" spans="2:21" s="10" customFormat="1" ht="20.25">
      <c r="B12" s="159"/>
      <c r="C12" s="11"/>
      <c r="D12" s="196" t="s">
        <v>112</v>
      </c>
      <c r="E12" s="43"/>
      <c r="F12" s="192"/>
      <c r="G12" s="226"/>
      <c r="I12" s="226"/>
      <c r="J12" s="226"/>
      <c r="K12" s="226"/>
      <c r="L12" s="226"/>
      <c r="M12" s="226"/>
      <c r="N12" s="226"/>
      <c r="O12" s="11"/>
      <c r="P12" s="11"/>
      <c r="Q12" s="11"/>
      <c r="R12" s="11"/>
      <c r="S12" s="11"/>
      <c r="T12" s="11"/>
      <c r="U12" s="225"/>
    </row>
    <row r="13" spans="2:21" s="16" customFormat="1" ht="13.5">
      <c r="B13" s="126"/>
      <c r="C13" s="14"/>
      <c r="D13" s="224"/>
      <c r="E13" s="224"/>
      <c r="F13" s="64"/>
      <c r="G13" s="217"/>
      <c r="H13" s="128"/>
      <c r="I13" s="217"/>
      <c r="J13" s="217"/>
      <c r="K13" s="217"/>
      <c r="L13" s="217"/>
      <c r="M13" s="217"/>
      <c r="N13" s="217"/>
      <c r="O13" s="14"/>
      <c r="P13" s="14"/>
      <c r="Q13" s="14"/>
      <c r="R13" s="14"/>
      <c r="S13" s="14"/>
      <c r="T13" s="14"/>
      <c r="U13" s="130"/>
    </row>
    <row r="14" spans="2:21" s="16" customFormat="1" ht="19.5">
      <c r="B14" s="114" t="str">
        <f>+'tot-0401'!B14</f>
        <v>Desde el 01 al 31 de enero de 2004</v>
      </c>
      <c r="C14" s="117"/>
      <c r="D14" s="117"/>
      <c r="E14" s="117"/>
      <c r="F14" s="117"/>
      <c r="G14" s="227"/>
      <c r="H14" s="227"/>
      <c r="I14" s="227"/>
      <c r="J14" s="227"/>
      <c r="K14" s="227"/>
      <c r="L14" s="227"/>
      <c r="M14" s="227"/>
      <c r="N14" s="227"/>
      <c r="O14" s="117"/>
      <c r="P14" s="117"/>
      <c r="Q14" s="117"/>
      <c r="R14" s="117"/>
      <c r="S14" s="117"/>
      <c r="T14" s="117"/>
      <c r="U14" s="228"/>
    </row>
    <row r="15" spans="2:21" s="16" customFormat="1" ht="14.25" thickBot="1">
      <c r="B15" s="229"/>
      <c r="C15" s="230"/>
      <c r="D15" s="230"/>
      <c r="E15" s="230"/>
      <c r="F15" s="230"/>
      <c r="G15" s="231"/>
      <c r="H15" s="231"/>
      <c r="I15" s="231"/>
      <c r="J15" s="231"/>
      <c r="K15" s="231"/>
      <c r="L15" s="231"/>
      <c r="M15" s="231"/>
      <c r="N15" s="231"/>
      <c r="O15" s="230"/>
      <c r="P15" s="230"/>
      <c r="Q15" s="230"/>
      <c r="R15" s="230"/>
      <c r="S15" s="230"/>
      <c r="T15" s="230"/>
      <c r="U15" s="232"/>
    </row>
    <row r="16" spans="2:21" s="16" customFormat="1" ht="15" thickBot="1" thickTop="1">
      <c r="B16" s="126"/>
      <c r="C16" s="14"/>
      <c r="D16" s="233"/>
      <c r="E16" s="233"/>
      <c r="F16" s="234" t="s">
        <v>113</v>
      </c>
      <c r="G16" s="14"/>
      <c r="H16" s="12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0"/>
    </row>
    <row r="17" spans="2:21" s="16" customFormat="1" ht="16.5" customHeight="1" thickBot="1" thickTop="1">
      <c r="B17" s="126"/>
      <c r="C17" s="14"/>
      <c r="D17" s="765" t="s">
        <v>114</v>
      </c>
      <c r="E17" s="766">
        <v>30.733</v>
      </c>
      <c r="F17" s="767">
        <v>200</v>
      </c>
      <c r="T17" s="151"/>
      <c r="U17" s="130"/>
    </row>
    <row r="18" spans="2:21" s="16" customFormat="1" ht="16.5" customHeight="1" thickBot="1" thickTop="1">
      <c r="B18" s="126"/>
      <c r="C18" s="14"/>
      <c r="D18" s="768" t="s">
        <v>115</v>
      </c>
      <c r="E18" s="769">
        <v>27.658</v>
      </c>
      <c r="F18" s="767">
        <v>100</v>
      </c>
      <c r="M18" s="14"/>
      <c r="N18" s="14"/>
      <c r="O18" s="14"/>
      <c r="P18" s="14"/>
      <c r="Q18" s="14"/>
      <c r="R18" s="14"/>
      <c r="S18" s="14"/>
      <c r="T18" s="14"/>
      <c r="U18" s="130"/>
    </row>
    <row r="19" spans="2:21" s="16" customFormat="1" ht="16.5" customHeight="1" thickBot="1" thickTop="1">
      <c r="B19" s="126"/>
      <c r="C19" s="14"/>
      <c r="D19" s="770" t="s">
        <v>116</v>
      </c>
      <c r="E19" s="769">
        <v>24.587</v>
      </c>
      <c r="F19" s="767">
        <v>40</v>
      </c>
      <c r="I19" s="762"/>
      <c r="J19" s="763"/>
      <c r="K19" s="14"/>
      <c r="M19" s="14"/>
      <c r="O19" s="14"/>
      <c r="P19" s="14"/>
      <c r="Q19" s="14"/>
      <c r="R19" s="14"/>
      <c r="S19" s="14"/>
      <c r="T19" s="14"/>
      <c r="U19" s="130"/>
    </row>
    <row r="20" spans="2:21" s="16" customFormat="1" ht="16.5" customHeight="1" thickBot="1" thickTop="1">
      <c r="B20" s="126"/>
      <c r="C20" s="21"/>
      <c r="D20" s="82"/>
      <c r="E20" s="82"/>
      <c r="F20" s="218"/>
      <c r="G20" s="219"/>
      <c r="H20" s="219"/>
      <c r="I20" s="219"/>
      <c r="J20" s="219"/>
      <c r="K20" s="219"/>
      <c r="L20" s="219"/>
      <c r="M20" s="219"/>
      <c r="N20" s="74"/>
      <c r="O20" s="220"/>
      <c r="P20" s="221"/>
      <c r="Q20" s="221"/>
      <c r="R20" s="221"/>
      <c r="S20" s="222"/>
      <c r="T20" s="223"/>
      <c r="U20" s="130"/>
    </row>
    <row r="21" spans="2:21" s="16" customFormat="1" ht="33.75" customHeight="1" thickBot="1" thickTop="1">
      <c r="B21" s="126"/>
      <c r="C21" s="166" t="s">
        <v>72</v>
      </c>
      <c r="D21" s="174" t="s">
        <v>105</v>
      </c>
      <c r="E21" s="170" t="s">
        <v>45</v>
      </c>
      <c r="F21" s="236" t="s">
        <v>73</v>
      </c>
      <c r="G21" s="350" t="s">
        <v>77</v>
      </c>
      <c r="H21" s="168" t="s">
        <v>78</v>
      </c>
      <c r="I21" s="170" t="s">
        <v>79</v>
      </c>
      <c r="J21" s="237" t="s">
        <v>80</v>
      </c>
      <c r="K21" s="237" t="s">
        <v>81</v>
      </c>
      <c r="L21" s="173" t="s">
        <v>82</v>
      </c>
      <c r="M21" s="169" t="s">
        <v>85</v>
      </c>
      <c r="N21" s="499" t="s">
        <v>76</v>
      </c>
      <c r="O21" s="487" t="s">
        <v>98</v>
      </c>
      <c r="P21" s="506" t="s">
        <v>117</v>
      </c>
      <c r="Q21" s="507"/>
      <c r="R21" s="516" t="s">
        <v>90</v>
      </c>
      <c r="S21" s="176" t="s">
        <v>92</v>
      </c>
      <c r="T21" s="210" t="s">
        <v>93</v>
      </c>
      <c r="U21" s="130"/>
    </row>
    <row r="22" spans="2:21" s="16" customFormat="1" ht="16.5" customHeight="1" thickTop="1">
      <c r="B22" s="126"/>
      <c r="C22" s="20"/>
      <c r="D22" s="69" t="s">
        <v>214</v>
      </c>
      <c r="E22" s="69"/>
      <c r="F22" s="69"/>
      <c r="G22" s="359"/>
      <c r="H22" s="69"/>
      <c r="I22" s="69"/>
      <c r="J22" s="69"/>
      <c r="K22" s="69"/>
      <c r="L22" s="69"/>
      <c r="M22" s="69"/>
      <c r="N22" s="501"/>
      <c r="O22" s="504"/>
      <c r="P22" s="508"/>
      <c r="Q22" s="509"/>
      <c r="R22" s="517"/>
      <c r="S22" s="69"/>
      <c r="T22" s="870">
        <f>'SA-0401'!T45</f>
        <v>18606.78</v>
      </c>
      <c r="U22" s="130"/>
    </row>
    <row r="23" spans="2:21" s="16" customFormat="1" ht="16.5" customHeight="1">
      <c r="B23" s="126"/>
      <c r="C23" s="20"/>
      <c r="D23" s="70"/>
      <c r="E23" s="70"/>
      <c r="F23" s="70"/>
      <c r="G23" s="360"/>
      <c r="H23" s="70"/>
      <c r="I23" s="70"/>
      <c r="J23" s="70"/>
      <c r="K23" s="70"/>
      <c r="L23" s="70"/>
      <c r="M23" s="70"/>
      <c r="N23" s="498"/>
      <c r="O23" s="502"/>
      <c r="P23" s="510"/>
      <c r="Q23" s="511"/>
      <c r="R23" s="514"/>
      <c r="S23" s="70"/>
      <c r="T23" s="238"/>
      <c r="U23" s="130"/>
    </row>
    <row r="24" spans="2:21" s="16" customFormat="1" ht="16.5" customHeight="1">
      <c r="B24" s="126"/>
      <c r="C24" s="774">
        <v>35</v>
      </c>
      <c r="D24" s="836" t="s">
        <v>11</v>
      </c>
      <c r="E24" s="836" t="s">
        <v>34</v>
      </c>
      <c r="F24" s="837">
        <v>500</v>
      </c>
      <c r="G24" s="351">
        <f aca="true" t="shared" si="0" ref="G24:G43">IF(F24=500,$E$17,IF(F24=220,$E$18,$E$19))</f>
        <v>30.733</v>
      </c>
      <c r="H24" s="839">
        <v>38013.24722222222</v>
      </c>
      <c r="I24" s="840">
        <v>38013.436111111114</v>
      </c>
      <c r="J24" s="73">
        <f aca="true" t="shared" si="1" ref="J24:J43">IF(D24="","",(I24-H24)*24)</f>
        <v>4.533333333441988</v>
      </c>
      <c r="K24" s="31">
        <f aca="true" t="shared" si="2" ref="K24:K43">IF(D24="","",ROUND((I24-H24)*24*60,0))</f>
        <v>272</v>
      </c>
      <c r="L24" s="794" t="s">
        <v>216</v>
      </c>
      <c r="M24" s="796" t="str">
        <f aca="true" t="shared" si="3" ref="M24:M43">IF(D24="","",IF(L24="P","--","NO"))</f>
        <v>--</v>
      </c>
      <c r="N24" s="842">
        <f aca="true" t="shared" si="4" ref="N24:N43">IF(F24=500,$F$17,IF(F24=220,$F$18,$F$19))</f>
        <v>200</v>
      </c>
      <c r="O24" s="843">
        <f aca="true" t="shared" si="5" ref="O24:O43">IF(L24="P",G24*N24*ROUND(K24/60,2)*0.1,"--")</f>
        <v>2784.4098000000004</v>
      </c>
      <c r="P24" s="844" t="str">
        <f aca="true" t="shared" si="6" ref="P24:P43">IF(AND(L24="F",M24="NO"),G24*N24,"--")</f>
        <v>--</v>
      </c>
      <c r="Q24" s="845" t="str">
        <f aca="true" t="shared" si="7" ref="Q24:Q43">IF(L24="F",G24*N24*ROUND(K24/60,2),"--")</f>
        <v>--</v>
      </c>
      <c r="R24" s="846" t="str">
        <f aca="true" t="shared" si="8" ref="R24:R43">IF(L24="RF",G24*N24*ROUND(K24/60,2),"--")</f>
        <v>--</v>
      </c>
      <c r="S24" s="796" t="str">
        <f aca="true" t="shared" si="9" ref="S24:S43">IF(D24="","","SI")</f>
        <v>SI</v>
      </c>
      <c r="T24" s="76">
        <f aca="true" t="shared" si="10" ref="T24:T43">IF(D24="","",SUM(O24:R24)*IF(S24="SI",1,2))</f>
        <v>2784.4098000000004</v>
      </c>
      <c r="U24" s="130"/>
    </row>
    <row r="25" spans="2:21" s="16" customFormat="1" ht="16.5" customHeight="1">
      <c r="B25" s="126"/>
      <c r="C25" s="774">
        <v>36</v>
      </c>
      <c r="D25" s="836" t="s">
        <v>11</v>
      </c>
      <c r="E25" s="836" t="s">
        <v>34</v>
      </c>
      <c r="F25" s="837">
        <v>500</v>
      </c>
      <c r="G25" s="351">
        <f t="shared" si="0"/>
        <v>30.733</v>
      </c>
      <c r="H25" s="839">
        <v>38014.27013888889</v>
      </c>
      <c r="I25" s="840">
        <v>38014.45625</v>
      </c>
      <c r="J25" s="73">
        <f t="shared" si="1"/>
        <v>4.466666666732635</v>
      </c>
      <c r="K25" s="31">
        <f t="shared" si="2"/>
        <v>268</v>
      </c>
      <c r="L25" s="794" t="s">
        <v>216</v>
      </c>
      <c r="M25" s="796" t="str">
        <f t="shared" si="3"/>
        <v>--</v>
      </c>
      <c r="N25" s="842">
        <f t="shared" si="4"/>
        <v>200</v>
      </c>
      <c r="O25" s="843">
        <f t="shared" si="5"/>
        <v>2747.5302</v>
      </c>
      <c r="P25" s="844" t="str">
        <f t="shared" si="6"/>
        <v>--</v>
      </c>
      <c r="Q25" s="845" t="str">
        <f t="shared" si="7"/>
        <v>--</v>
      </c>
      <c r="R25" s="846" t="str">
        <f t="shared" si="8"/>
        <v>--</v>
      </c>
      <c r="S25" s="796" t="str">
        <f t="shared" si="9"/>
        <v>SI</v>
      </c>
      <c r="T25" s="76">
        <f t="shared" si="10"/>
        <v>2747.5302</v>
      </c>
      <c r="U25" s="130"/>
    </row>
    <row r="26" spans="2:21" s="16" customFormat="1" ht="16.5" customHeight="1">
      <c r="B26" s="126"/>
      <c r="C26" s="774">
        <v>37</v>
      </c>
      <c r="D26" s="836" t="s">
        <v>11</v>
      </c>
      <c r="E26" s="836" t="s">
        <v>34</v>
      </c>
      <c r="F26" s="837">
        <v>500</v>
      </c>
      <c r="G26" s="351">
        <f t="shared" si="0"/>
        <v>30.733</v>
      </c>
      <c r="H26" s="839">
        <v>38015.25</v>
      </c>
      <c r="I26" s="840">
        <v>38015.43958333333</v>
      </c>
      <c r="J26" s="73">
        <f t="shared" si="1"/>
        <v>4.5499999999883585</v>
      </c>
      <c r="K26" s="31">
        <f t="shared" si="2"/>
        <v>273</v>
      </c>
      <c r="L26" s="794" t="s">
        <v>216</v>
      </c>
      <c r="M26" s="796" t="str">
        <f t="shared" si="3"/>
        <v>--</v>
      </c>
      <c r="N26" s="842">
        <f t="shared" si="4"/>
        <v>200</v>
      </c>
      <c r="O26" s="843">
        <f t="shared" si="5"/>
        <v>2796.703</v>
      </c>
      <c r="P26" s="844" t="str">
        <f t="shared" si="6"/>
        <v>--</v>
      </c>
      <c r="Q26" s="845" t="str">
        <f t="shared" si="7"/>
        <v>--</v>
      </c>
      <c r="R26" s="846" t="str">
        <f t="shared" si="8"/>
        <v>--</v>
      </c>
      <c r="S26" s="796" t="str">
        <f t="shared" si="9"/>
        <v>SI</v>
      </c>
      <c r="T26" s="76">
        <f t="shared" si="10"/>
        <v>2796.703</v>
      </c>
      <c r="U26" s="130"/>
    </row>
    <row r="27" spans="2:21" s="16" customFormat="1" ht="16.5" customHeight="1">
      <c r="B27" s="126"/>
      <c r="C27" s="774"/>
      <c r="D27" s="836"/>
      <c r="E27" s="836"/>
      <c r="F27" s="837"/>
      <c r="G27" s="351">
        <f t="shared" si="0"/>
        <v>24.587</v>
      </c>
      <c r="H27" s="839"/>
      <c r="I27" s="840"/>
      <c r="J27" s="73">
        <f t="shared" si="1"/>
      </c>
      <c r="K27" s="31">
        <f t="shared" si="2"/>
      </c>
      <c r="L27" s="794"/>
      <c r="M27" s="796">
        <f t="shared" si="3"/>
      </c>
      <c r="N27" s="842">
        <f t="shared" si="4"/>
        <v>40</v>
      </c>
      <c r="O27" s="843" t="str">
        <f t="shared" si="5"/>
        <v>--</v>
      </c>
      <c r="P27" s="844" t="str">
        <f t="shared" si="6"/>
        <v>--</v>
      </c>
      <c r="Q27" s="845" t="str">
        <f t="shared" si="7"/>
        <v>--</v>
      </c>
      <c r="R27" s="846" t="str">
        <f t="shared" si="8"/>
        <v>--</v>
      </c>
      <c r="S27" s="796">
        <f t="shared" si="9"/>
      </c>
      <c r="T27" s="76">
        <f t="shared" si="10"/>
      </c>
      <c r="U27" s="130"/>
    </row>
    <row r="28" spans="2:21" s="16" customFormat="1" ht="16.5" customHeight="1">
      <c r="B28" s="126"/>
      <c r="C28" s="774"/>
      <c r="D28" s="836"/>
      <c r="E28" s="836"/>
      <c r="F28" s="837"/>
      <c r="G28" s="351">
        <f t="shared" si="0"/>
        <v>24.587</v>
      </c>
      <c r="H28" s="839"/>
      <c r="I28" s="840"/>
      <c r="J28" s="73">
        <f t="shared" si="1"/>
      </c>
      <c r="K28" s="31">
        <f t="shared" si="2"/>
      </c>
      <c r="L28" s="794"/>
      <c r="M28" s="796">
        <f t="shared" si="3"/>
      </c>
      <c r="N28" s="842">
        <f t="shared" si="4"/>
        <v>40</v>
      </c>
      <c r="O28" s="843" t="str">
        <f t="shared" si="5"/>
        <v>--</v>
      </c>
      <c r="P28" s="844" t="str">
        <f t="shared" si="6"/>
        <v>--</v>
      </c>
      <c r="Q28" s="845" t="str">
        <f t="shared" si="7"/>
        <v>--</v>
      </c>
      <c r="R28" s="846" t="str">
        <f t="shared" si="8"/>
        <v>--</v>
      </c>
      <c r="S28" s="796">
        <f t="shared" si="9"/>
      </c>
      <c r="T28" s="76">
        <f t="shared" si="10"/>
      </c>
      <c r="U28" s="130"/>
    </row>
    <row r="29" spans="2:21" s="16" customFormat="1" ht="16.5" customHeight="1">
      <c r="B29" s="126"/>
      <c r="C29" s="774"/>
      <c r="D29" s="836"/>
      <c r="E29" s="836"/>
      <c r="F29" s="837"/>
      <c r="G29" s="351">
        <f t="shared" si="0"/>
        <v>24.587</v>
      </c>
      <c r="H29" s="839"/>
      <c r="I29" s="840"/>
      <c r="J29" s="73">
        <f t="shared" si="1"/>
      </c>
      <c r="K29" s="31">
        <f t="shared" si="2"/>
      </c>
      <c r="L29" s="794"/>
      <c r="M29" s="796">
        <f t="shared" si="3"/>
      </c>
      <c r="N29" s="842">
        <f t="shared" si="4"/>
        <v>40</v>
      </c>
      <c r="O29" s="843" t="str">
        <f t="shared" si="5"/>
        <v>--</v>
      </c>
      <c r="P29" s="844" t="str">
        <f t="shared" si="6"/>
        <v>--</v>
      </c>
      <c r="Q29" s="845" t="str">
        <f t="shared" si="7"/>
        <v>--</v>
      </c>
      <c r="R29" s="846" t="str">
        <f t="shared" si="8"/>
        <v>--</v>
      </c>
      <c r="S29" s="796">
        <f t="shared" si="9"/>
      </c>
      <c r="T29" s="76">
        <f t="shared" si="10"/>
      </c>
      <c r="U29" s="130"/>
    </row>
    <row r="30" spans="2:21" s="16" customFormat="1" ht="16.5" customHeight="1">
      <c r="B30" s="126"/>
      <c r="C30" s="774"/>
      <c r="D30" s="836"/>
      <c r="E30" s="836"/>
      <c r="F30" s="837"/>
      <c r="G30" s="351">
        <f t="shared" si="0"/>
        <v>24.587</v>
      </c>
      <c r="H30" s="839"/>
      <c r="I30" s="840"/>
      <c r="J30" s="73">
        <f t="shared" si="1"/>
      </c>
      <c r="K30" s="31">
        <f t="shared" si="2"/>
      </c>
      <c r="L30" s="794"/>
      <c r="M30" s="796">
        <f t="shared" si="3"/>
      </c>
      <c r="N30" s="842">
        <f t="shared" si="4"/>
        <v>40</v>
      </c>
      <c r="O30" s="843" t="str">
        <f t="shared" si="5"/>
        <v>--</v>
      </c>
      <c r="P30" s="844" t="str">
        <f t="shared" si="6"/>
        <v>--</v>
      </c>
      <c r="Q30" s="845" t="str">
        <f t="shared" si="7"/>
        <v>--</v>
      </c>
      <c r="R30" s="846" t="str">
        <f t="shared" si="8"/>
        <v>--</v>
      </c>
      <c r="S30" s="796">
        <f t="shared" si="9"/>
      </c>
      <c r="T30" s="76">
        <f t="shared" si="10"/>
      </c>
      <c r="U30" s="130"/>
    </row>
    <row r="31" spans="2:21" s="16" customFormat="1" ht="16.5" customHeight="1">
      <c r="B31" s="126"/>
      <c r="C31" s="774"/>
      <c r="D31" s="836"/>
      <c r="E31" s="836"/>
      <c r="F31" s="837"/>
      <c r="G31" s="351">
        <f t="shared" si="0"/>
        <v>24.587</v>
      </c>
      <c r="H31" s="839"/>
      <c r="I31" s="840"/>
      <c r="J31" s="73">
        <f t="shared" si="1"/>
      </c>
      <c r="K31" s="31">
        <f t="shared" si="2"/>
      </c>
      <c r="L31" s="794"/>
      <c r="M31" s="796">
        <f t="shared" si="3"/>
      </c>
      <c r="N31" s="842">
        <f t="shared" si="4"/>
        <v>40</v>
      </c>
      <c r="O31" s="843" t="str">
        <f t="shared" si="5"/>
        <v>--</v>
      </c>
      <c r="P31" s="844" t="str">
        <f t="shared" si="6"/>
        <v>--</v>
      </c>
      <c r="Q31" s="845" t="str">
        <f t="shared" si="7"/>
        <v>--</v>
      </c>
      <c r="R31" s="846" t="str">
        <f t="shared" si="8"/>
        <v>--</v>
      </c>
      <c r="S31" s="796">
        <f t="shared" si="9"/>
      </c>
      <c r="T31" s="76">
        <f t="shared" si="10"/>
      </c>
      <c r="U31" s="130"/>
    </row>
    <row r="32" spans="2:21" s="16" customFormat="1" ht="16.5" customHeight="1">
      <c r="B32" s="126"/>
      <c r="C32" s="774"/>
      <c r="D32" s="836"/>
      <c r="E32" s="836"/>
      <c r="F32" s="837"/>
      <c r="G32" s="351">
        <f t="shared" si="0"/>
        <v>24.587</v>
      </c>
      <c r="H32" s="839"/>
      <c r="I32" s="840"/>
      <c r="J32" s="73">
        <f t="shared" si="1"/>
      </c>
      <c r="K32" s="31">
        <f t="shared" si="2"/>
      </c>
      <c r="L32" s="794"/>
      <c r="M32" s="796">
        <f t="shared" si="3"/>
      </c>
      <c r="N32" s="842">
        <f t="shared" si="4"/>
        <v>40</v>
      </c>
      <c r="O32" s="843" t="str">
        <f t="shared" si="5"/>
        <v>--</v>
      </c>
      <c r="P32" s="844" t="str">
        <f t="shared" si="6"/>
        <v>--</v>
      </c>
      <c r="Q32" s="845" t="str">
        <f t="shared" si="7"/>
        <v>--</v>
      </c>
      <c r="R32" s="846" t="str">
        <f t="shared" si="8"/>
        <v>--</v>
      </c>
      <c r="S32" s="796">
        <f t="shared" si="9"/>
      </c>
      <c r="T32" s="76">
        <f t="shared" si="10"/>
      </c>
      <c r="U32" s="130"/>
    </row>
    <row r="33" spans="2:21" s="16" customFormat="1" ht="16.5" customHeight="1">
      <c r="B33" s="126"/>
      <c r="C33" s="774"/>
      <c r="D33" s="836"/>
      <c r="E33" s="836"/>
      <c r="F33" s="837"/>
      <c r="G33" s="351">
        <f t="shared" si="0"/>
        <v>24.587</v>
      </c>
      <c r="H33" s="839"/>
      <c r="I33" s="840"/>
      <c r="J33" s="73">
        <f t="shared" si="1"/>
      </c>
      <c r="K33" s="31">
        <f t="shared" si="2"/>
      </c>
      <c r="L33" s="794"/>
      <c r="M33" s="796">
        <f t="shared" si="3"/>
      </c>
      <c r="N33" s="842">
        <f t="shared" si="4"/>
        <v>40</v>
      </c>
      <c r="O33" s="843" t="str">
        <f t="shared" si="5"/>
        <v>--</v>
      </c>
      <c r="P33" s="844" t="str">
        <f t="shared" si="6"/>
        <v>--</v>
      </c>
      <c r="Q33" s="845" t="str">
        <f t="shared" si="7"/>
        <v>--</v>
      </c>
      <c r="R33" s="846" t="str">
        <f t="shared" si="8"/>
        <v>--</v>
      </c>
      <c r="S33" s="796">
        <f t="shared" si="9"/>
      </c>
      <c r="T33" s="76">
        <f t="shared" si="10"/>
      </c>
      <c r="U33" s="130"/>
    </row>
    <row r="34" spans="2:21" s="16" customFormat="1" ht="16.5" customHeight="1">
      <c r="B34" s="126"/>
      <c r="C34" s="774"/>
      <c r="D34" s="836"/>
      <c r="E34" s="836"/>
      <c r="F34" s="837"/>
      <c r="G34" s="351">
        <f t="shared" si="0"/>
        <v>24.587</v>
      </c>
      <c r="H34" s="839"/>
      <c r="I34" s="840"/>
      <c r="J34" s="73">
        <f t="shared" si="1"/>
      </c>
      <c r="K34" s="31">
        <f t="shared" si="2"/>
      </c>
      <c r="L34" s="794"/>
      <c r="M34" s="796">
        <f t="shared" si="3"/>
      </c>
      <c r="N34" s="842">
        <f t="shared" si="4"/>
        <v>40</v>
      </c>
      <c r="O34" s="843" t="str">
        <f t="shared" si="5"/>
        <v>--</v>
      </c>
      <c r="P34" s="844" t="str">
        <f t="shared" si="6"/>
        <v>--</v>
      </c>
      <c r="Q34" s="845" t="str">
        <f t="shared" si="7"/>
        <v>--</v>
      </c>
      <c r="R34" s="846" t="str">
        <f t="shared" si="8"/>
        <v>--</v>
      </c>
      <c r="S34" s="796">
        <f t="shared" si="9"/>
      </c>
      <c r="T34" s="76">
        <f t="shared" si="10"/>
      </c>
      <c r="U34" s="130"/>
    </row>
    <row r="35" spans="2:21" s="16" customFormat="1" ht="16.5" customHeight="1">
      <c r="B35" s="126"/>
      <c r="C35" s="774"/>
      <c r="D35" s="836"/>
      <c r="E35" s="836"/>
      <c r="F35" s="837"/>
      <c r="G35" s="351">
        <f t="shared" si="0"/>
        <v>24.587</v>
      </c>
      <c r="H35" s="839"/>
      <c r="I35" s="840"/>
      <c r="J35" s="73">
        <f t="shared" si="1"/>
      </c>
      <c r="K35" s="31">
        <f t="shared" si="2"/>
      </c>
      <c r="L35" s="794"/>
      <c r="M35" s="796">
        <f t="shared" si="3"/>
      </c>
      <c r="N35" s="842">
        <f t="shared" si="4"/>
        <v>40</v>
      </c>
      <c r="O35" s="843" t="str">
        <f t="shared" si="5"/>
        <v>--</v>
      </c>
      <c r="P35" s="844" t="str">
        <f t="shared" si="6"/>
        <v>--</v>
      </c>
      <c r="Q35" s="845" t="str">
        <f t="shared" si="7"/>
        <v>--</v>
      </c>
      <c r="R35" s="846" t="str">
        <f t="shared" si="8"/>
        <v>--</v>
      </c>
      <c r="S35" s="796">
        <f t="shared" si="9"/>
      </c>
      <c r="T35" s="76">
        <f t="shared" si="10"/>
      </c>
      <c r="U35" s="130"/>
    </row>
    <row r="36" spans="2:21" s="16" customFormat="1" ht="16.5" customHeight="1">
      <c r="B36" s="126"/>
      <c r="C36" s="774"/>
      <c r="D36" s="836"/>
      <c r="E36" s="836"/>
      <c r="F36" s="837"/>
      <c r="G36" s="351">
        <f t="shared" si="0"/>
        <v>24.587</v>
      </c>
      <c r="H36" s="839"/>
      <c r="I36" s="840"/>
      <c r="J36" s="73">
        <f t="shared" si="1"/>
      </c>
      <c r="K36" s="31">
        <f t="shared" si="2"/>
      </c>
      <c r="L36" s="794"/>
      <c r="M36" s="796">
        <f t="shared" si="3"/>
      </c>
      <c r="N36" s="842">
        <f t="shared" si="4"/>
        <v>40</v>
      </c>
      <c r="O36" s="843" t="str">
        <f t="shared" si="5"/>
        <v>--</v>
      </c>
      <c r="P36" s="844" t="str">
        <f t="shared" si="6"/>
        <v>--</v>
      </c>
      <c r="Q36" s="845" t="str">
        <f t="shared" si="7"/>
        <v>--</v>
      </c>
      <c r="R36" s="846" t="str">
        <f t="shared" si="8"/>
        <v>--</v>
      </c>
      <c r="S36" s="796">
        <f t="shared" si="9"/>
      </c>
      <c r="T36" s="76">
        <f t="shared" si="10"/>
      </c>
      <c r="U36" s="130"/>
    </row>
    <row r="37" spans="2:21" s="16" customFormat="1" ht="16.5" customHeight="1">
      <c r="B37" s="126"/>
      <c r="C37" s="774"/>
      <c r="D37" s="836"/>
      <c r="E37" s="836"/>
      <c r="F37" s="837"/>
      <c r="G37" s="351">
        <f t="shared" si="0"/>
        <v>24.587</v>
      </c>
      <c r="H37" s="839"/>
      <c r="I37" s="840"/>
      <c r="J37" s="73">
        <f t="shared" si="1"/>
      </c>
      <c r="K37" s="31">
        <f t="shared" si="2"/>
      </c>
      <c r="L37" s="794"/>
      <c r="M37" s="796">
        <f t="shared" si="3"/>
      </c>
      <c r="N37" s="842">
        <f t="shared" si="4"/>
        <v>40</v>
      </c>
      <c r="O37" s="843" t="str">
        <f t="shared" si="5"/>
        <v>--</v>
      </c>
      <c r="P37" s="844" t="str">
        <f t="shared" si="6"/>
        <v>--</v>
      </c>
      <c r="Q37" s="845" t="str">
        <f t="shared" si="7"/>
        <v>--</v>
      </c>
      <c r="R37" s="846" t="str">
        <f t="shared" si="8"/>
        <v>--</v>
      </c>
      <c r="S37" s="796">
        <f t="shared" si="9"/>
      </c>
      <c r="T37" s="76">
        <f t="shared" si="10"/>
      </c>
      <c r="U37" s="130"/>
    </row>
    <row r="38" spans="2:21" s="16" customFormat="1" ht="16.5" customHeight="1">
      <c r="B38" s="126"/>
      <c r="C38" s="774"/>
      <c r="D38" s="836"/>
      <c r="E38" s="836"/>
      <c r="F38" s="837"/>
      <c r="G38" s="351">
        <f t="shared" si="0"/>
        <v>24.587</v>
      </c>
      <c r="H38" s="839"/>
      <c r="I38" s="840"/>
      <c r="J38" s="73">
        <f t="shared" si="1"/>
      </c>
      <c r="K38" s="31">
        <f t="shared" si="2"/>
      </c>
      <c r="L38" s="794"/>
      <c r="M38" s="796">
        <f t="shared" si="3"/>
      </c>
      <c r="N38" s="842">
        <f t="shared" si="4"/>
        <v>40</v>
      </c>
      <c r="O38" s="843" t="str">
        <f t="shared" si="5"/>
        <v>--</v>
      </c>
      <c r="P38" s="844" t="str">
        <f t="shared" si="6"/>
        <v>--</v>
      </c>
      <c r="Q38" s="845" t="str">
        <f t="shared" si="7"/>
        <v>--</v>
      </c>
      <c r="R38" s="846" t="str">
        <f t="shared" si="8"/>
        <v>--</v>
      </c>
      <c r="S38" s="796">
        <f t="shared" si="9"/>
      </c>
      <c r="T38" s="76">
        <f t="shared" si="10"/>
      </c>
      <c r="U38" s="130"/>
    </row>
    <row r="39" spans="2:21" s="16" customFormat="1" ht="16.5" customHeight="1">
      <c r="B39" s="126"/>
      <c r="C39" s="774"/>
      <c r="D39" s="836"/>
      <c r="E39" s="836"/>
      <c r="F39" s="837"/>
      <c r="G39" s="351">
        <f t="shared" si="0"/>
        <v>24.587</v>
      </c>
      <c r="H39" s="839"/>
      <c r="I39" s="840"/>
      <c r="J39" s="73">
        <f t="shared" si="1"/>
      </c>
      <c r="K39" s="31">
        <f t="shared" si="2"/>
      </c>
      <c r="L39" s="794"/>
      <c r="M39" s="796">
        <f t="shared" si="3"/>
      </c>
      <c r="N39" s="842">
        <f t="shared" si="4"/>
        <v>40</v>
      </c>
      <c r="O39" s="843" t="str">
        <f t="shared" si="5"/>
        <v>--</v>
      </c>
      <c r="P39" s="844" t="str">
        <f t="shared" si="6"/>
        <v>--</v>
      </c>
      <c r="Q39" s="845" t="str">
        <f t="shared" si="7"/>
        <v>--</v>
      </c>
      <c r="R39" s="846" t="str">
        <f t="shared" si="8"/>
        <v>--</v>
      </c>
      <c r="S39" s="796">
        <f t="shared" si="9"/>
      </c>
      <c r="T39" s="76">
        <f t="shared" si="10"/>
      </c>
      <c r="U39" s="130"/>
    </row>
    <row r="40" spans="2:21" s="16" customFormat="1" ht="16.5" customHeight="1">
      <c r="B40" s="126"/>
      <c r="C40" s="774"/>
      <c r="D40" s="836"/>
      <c r="E40" s="836"/>
      <c r="F40" s="837"/>
      <c r="G40" s="351">
        <f t="shared" si="0"/>
        <v>24.587</v>
      </c>
      <c r="H40" s="839"/>
      <c r="I40" s="840"/>
      <c r="J40" s="73">
        <f t="shared" si="1"/>
      </c>
      <c r="K40" s="31">
        <f t="shared" si="2"/>
      </c>
      <c r="L40" s="794"/>
      <c r="M40" s="796">
        <f t="shared" si="3"/>
      </c>
      <c r="N40" s="842">
        <f t="shared" si="4"/>
        <v>40</v>
      </c>
      <c r="O40" s="843" t="str">
        <f t="shared" si="5"/>
        <v>--</v>
      </c>
      <c r="P40" s="844" t="str">
        <f t="shared" si="6"/>
        <v>--</v>
      </c>
      <c r="Q40" s="845" t="str">
        <f t="shared" si="7"/>
        <v>--</v>
      </c>
      <c r="R40" s="846" t="str">
        <f t="shared" si="8"/>
        <v>--</v>
      </c>
      <c r="S40" s="796">
        <f t="shared" si="9"/>
      </c>
      <c r="T40" s="76">
        <f t="shared" si="10"/>
      </c>
      <c r="U40" s="130"/>
    </row>
    <row r="41" spans="2:21" s="16" customFormat="1" ht="16.5" customHeight="1">
      <c r="B41" s="126"/>
      <c r="C41" s="774"/>
      <c r="D41" s="836"/>
      <c r="E41" s="836"/>
      <c r="F41" s="837"/>
      <c r="G41" s="351">
        <f t="shared" si="0"/>
        <v>24.587</v>
      </c>
      <c r="H41" s="839"/>
      <c r="I41" s="840"/>
      <c r="J41" s="73">
        <f t="shared" si="1"/>
      </c>
      <c r="K41" s="31">
        <f t="shared" si="2"/>
      </c>
      <c r="L41" s="794"/>
      <c r="M41" s="796">
        <f t="shared" si="3"/>
      </c>
      <c r="N41" s="842">
        <f t="shared" si="4"/>
        <v>40</v>
      </c>
      <c r="O41" s="843" t="str">
        <f t="shared" si="5"/>
        <v>--</v>
      </c>
      <c r="P41" s="844" t="str">
        <f t="shared" si="6"/>
        <v>--</v>
      </c>
      <c r="Q41" s="845" t="str">
        <f t="shared" si="7"/>
        <v>--</v>
      </c>
      <c r="R41" s="846" t="str">
        <f t="shared" si="8"/>
        <v>--</v>
      </c>
      <c r="S41" s="796">
        <f t="shared" si="9"/>
      </c>
      <c r="T41" s="76">
        <f t="shared" si="10"/>
      </c>
      <c r="U41" s="130"/>
    </row>
    <row r="42" spans="2:21" s="16" customFormat="1" ht="16.5" customHeight="1">
      <c r="B42" s="126"/>
      <c r="C42" s="774"/>
      <c r="D42" s="836"/>
      <c r="E42" s="836"/>
      <c r="F42" s="837"/>
      <c r="G42" s="351">
        <f t="shared" si="0"/>
        <v>24.587</v>
      </c>
      <c r="H42" s="839"/>
      <c r="I42" s="840"/>
      <c r="J42" s="73">
        <f t="shared" si="1"/>
      </c>
      <c r="K42" s="31">
        <f t="shared" si="2"/>
      </c>
      <c r="L42" s="794"/>
      <c r="M42" s="796">
        <f t="shared" si="3"/>
      </c>
      <c r="N42" s="842">
        <f t="shared" si="4"/>
        <v>40</v>
      </c>
      <c r="O42" s="843" t="str">
        <f t="shared" si="5"/>
        <v>--</v>
      </c>
      <c r="P42" s="844" t="str">
        <f t="shared" si="6"/>
        <v>--</v>
      </c>
      <c r="Q42" s="845" t="str">
        <f t="shared" si="7"/>
        <v>--</v>
      </c>
      <c r="R42" s="846" t="str">
        <f t="shared" si="8"/>
        <v>--</v>
      </c>
      <c r="S42" s="796">
        <f t="shared" si="9"/>
      </c>
      <c r="T42" s="76">
        <f t="shared" si="10"/>
      </c>
      <c r="U42" s="130"/>
    </row>
    <row r="43" spans="2:21" s="16" customFormat="1" ht="16.5" customHeight="1">
      <c r="B43" s="126"/>
      <c r="C43" s="774"/>
      <c r="D43" s="836"/>
      <c r="E43" s="836"/>
      <c r="F43" s="837"/>
      <c r="G43" s="351">
        <f t="shared" si="0"/>
        <v>24.587</v>
      </c>
      <c r="H43" s="839"/>
      <c r="I43" s="840"/>
      <c r="J43" s="73">
        <f t="shared" si="1"/>
      </c>
      <c r="K43" s="31">
        <f t="shared" si="2"/>
      </c>
      <c r="L43" s="794"/>
      <c r="M43" s="796">
        <f t="shared" si="3"/>
      </c>
      <c r="N43" s="842">
        <f t="shared" si="4"/>
        <v>40</v>
      </c>
      <c r="O43" s="843" t="str">
        <f t="shared" si="5"/>
        <v>--</v>
      </c>
      <c r="P43" s="844" t="str">
        <f t="shared" si="6"/>
        <v>--</v>
      </c>
      <c r="Q43" s="845" t="str">
        <f t="shared" si="7"/>
        <v>--</v>
      </c>
      <c r="R43" s="846" t="str">
        <f t="shared" si="8"/>
        <v>--</v>
      </c>
      <c r="S43" s="796">
        <f t="shared" si="9"/>
      </c>
      <c r="T43" s="76">
        <f t="shared" si="10"/>
      </c>
      <c r="U43" s="130"/>
    </row>
    <row r="44" spans="2:21" s="16" customFormat="1" ht="16.5" customHeight="1" thickBot="1">
      <c r="B44" s="126"/>
      <c r="C44" s="783"/>
      <c r="D44" s="838"/>
      <c r="E44" s="838"/>
      <c r="F44" s="784"/>
      <c r="G44" s="352"/>
      <c r="H44" s="841"/>
      <c r="I44" s="841"/>
      <c r="J44" s="77"/>
      <c r="K44" s="77"/>
      <c r="L44" s="841"/>
      <c r="M44" s="793"/>
      <c r="N44" s="847"/>
      <c r="O44" s="848"/>
      <c r="P44" s="849"/>
      <c r="Q44" s="850"/>
      <c r="R44" s="851"/>
      <c r="S44" s="793"/>
      <c r="T44" s="239"/>
      <c r="U44" s="130"/>
    </row>
    <row r="45" spans="2:21" s="16" customFormat="1" ht="16.5" customHeight="1" thickBot="1" thickTop="1">
      <c r="B45" s="126"/>
      <c r="C45" s="271" t="s">
        <v>94</v>
      </c>
      <c r="D45" s="272" t="s">
        <v>95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05">
        <f>SUM(O22:O44)</f>
        <v>8328.643</v>
      </c>
      <c r="P45" s="512">
        <f>SUM(P22:P44)</f>
        <v>0</v>
      </c>
      <c r="Q45" s="513">
        <f>SUM(Q22:Q44)</f>
        <v>0</v>
      </c>
      <c r="R45" s="515">
        <f>SUM(R22:R44)</f>
        <v>0</v>
      </c>
      <c r="S45" s="78"/>
      <c r="T45" s="79">
        <f>ROUND(SUM(T22:T44),2)</f>
        <v>26935.42</v>
      </c>
      <c r="U45" s="130"/>
    </row>
    <row r="46" spans="2:21" s="275" customFormat="1" ht="13.5" thickTop="1">
      <c r="B46" s="276"/>
      <c r="C46" s="273"/>
      <c r="D46" s="274" t="s">
        <v>96</v>
      </c>
      <c r="E46"/>
      <c r="F46" s="292"/>
      <c r="G46" s="292"/>
      <c r="H46" s="292"/>
      <c r="I46" s="292"/>
      <c r="J46" s="292"/>
      <c r="K46" s="292"/>
      <c r="L46" s="292"/>
      <c r="M46" s="292"/>
      <c r="N46" s="292"/>
      <c r="O46" s="290"/>
      <c r="P46" s="290"/>
      <c r="Q46" s="290"/>
      <c r="R46" s="290"/>
      <c r="S46" s="290"/>
      <c r="T46" s="293"/>
      <c r="U46" s="294"/>
    </row>
    <row r="47" spans="2:21" s="16" customFormat="1" ht="16.5" customHeight="1" thickBot="1"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7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X158"/>
  <sheetViews>
    <sheetView zoomScale="75" zoomScaleNormal="75" workbookViewId="0" topLeftCell="D10">
      <selection activeCell="T22" sqref="T22:U26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94" customFormat="1" ht="26.25">
      <c r="A1" s="144"/>
      <c r="V1" s="759"/>
    </row>
    <row r="2" spans="1:22" s="94" customFormat="1" ht="26.25">
      <c r="A2" s="144"/>
      <c r="B2" s="258" t="str">
        <f>+'tot-0401'!B2</f>
        <v>ANEXO I-1a a la Resolución ENRE N° 686/2007.-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="16" customFormat="1" ht="12.75">
      <c r="A3" s="64"/>
    </row>
    <row r="4" spans="1:2" s="101" customFormat="1" ht="11.25">
      <c r="A4" s="99" t="s">
        <v>50</v>
      </c>
      <c r="B4" s="178"/>
    </row>
    <row r="5" spans="1:2" s="101" customFormat="1" ht="11.25">
      <c r="A5" s="99" t="s">
        <v>51</v>
      </c>
      <c r="B5" s="178"/>
    </row>
    <row r="6" s="16" customFormat="1" ht="13.5" thickBot="1"/>
    <row r="7" spans="2:22" s="16" customFormat="1" ht="13.5" thickTop="1"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216"/>
    </row>
    <row r="8" spans="2:22" s="10" customFormat="1" ht="20.25">
      <c r="B8" s="159"/>
      <c r="D8" s="7" t="s">
        <v>118</v>
      </c>
      <c r="E8" s="80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53"/>
    </row>
    <row r="9" spans="2:22" s="16" customFormat="1" ht="12.75">
      <c r="B9" s="12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30"/>
    </row>
    <row r="10" spans="2:22" s="10" customFormat="1" ht="20.25">
      <c r="B10" s="159"/>
      <c r="D10" s="160" t="s">
        <v>119</v>
      </c>
      <c r="F10" s="254"/>
      <c r="G10" s="255"/>
      <c r="H10" s="255"/>
      <c r="I10" s="255"/>
      <c r="J10" s="255"/>
      <c r="K10" s="255"/>
      <c r="L10" s="255"/>
      <c r="M10" s="255"/>
      <c r="N10" s="255"/>
      <c r="O10" s="255"/>
      <c r="P10" s="11"/>
      <c r="Q10" s="11"/>
      <c r="R10" s="11"/>
      <c r="S10" s="11"/>
      <c r="T10" s="11"/>
      <c r="U10" s="11"/>
      <c r="V10" s="225"/>
    </row>
    <row r="11" spans="2:22" s="16" customFormat="1" ht="16.5" customHeight="1">
      <c r="B11" s="126"/>
      <c r="C11" s="14"/>
      <c r="D11" s="242"/>
      <c r="F11" s="107"/>
      <c r="G11" s="150"/>
      <c r="H11" s="150"/>
      <c r="I11" s="150"/>
      <c r="J11" s="150"/>
      <c r="K11" s="150"/>
      <c r="L11" s="150"/>
      <c r="M11" s="150"/>
      <c r="N11" s="150"/>
      <c r="O11" s="150"/>
      <c r="P11" s="14"/>
      <c r="Q11" s="14"/>
      <c r="R11" s="14"/>
      <c r="S11" s="14"/>
      <c r="T11" s="14"/>
      <c r="U11" s="14"/>
      <c r="V11" s="130"/>
    </row>
    <row r="12" spans="2:22" s="10" customFormat="1" ht="20.25">
      <c r="B12" s="159"/>
      <c r="D12" s="160" t="s">
        <v>120</v>
      </c>
      <c r="F12" s="254"/>
      <c r="G12" s="255"/>
      <c r="H12" s="255"/>
      <c r="I12" s="255"/>
      <c r="J12" s="255"/>
      <c r="K12" s="255"/>
      <c r="L12" s="255"/>
      <c r="M12" s="255"/>
      <c r="N12" s="255"/>
      <c r="O12" s="255"/>
      <c r="P12" s="11"/>
      <c r="Q12" s="11"/>
      <c r="R12" s="11"/>
      <c r="S12" s="11"/>
      <c r="T12" s="11"/>
      <c r="U12" s="11"/>
      <c r="V12" s="225"/>
    </row>
    <row r="13" spans="2:22" s="16" customFormat="1" ht="16.5" customHeight="1">
      <c r="B13" s="126"/>
      <c r="C13" s="14"/>
      <c r="D13" s="242"/>
      <c r="F13" s="107"/>
      <c r="G13" s="150"/>
      <c r="H13" s="150"/>
      <c r="I13" s="150"/>
      <c r="J13" s="150"/>
      <c r="K13" s="150"/>
      <c r="L13" s="150"/>
      <c r="M13" s="150"/>
      <c r="N13" s="150"/>
      <c r="O13" s="150"/>
      <c r="P13" s="14"/>
      <c r="Q13" s="14"/>
      <c r="R13" s="14"/>
      <c r="S13" s="14"/>
      <c r="T13" s="14"/>
      <c r="U13" s="14"/>
      <c r="V13" s="130"/>
    </row>
    <row r="14" spans="2:22" s="15" customFormat="1" ht="16.5" customHeight="1">
      <c r="B14" s="179" t="str">
        <f>+'tot-0401'!B14</f>
        <v>Desde el 01 al 31 de enero de 2004</v>
      </c>
      <c r="C14" s="162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162"/>
      <c r="Q14" s="162"/>
      <c r="R14" s="162"/>
      <c r="S14" s="162"/>
      <c r="T14" s="162"/>
      <c r="U14" s="162"/>
      <c r="V14" s="257"/>
    </row>
    <row r="15" spans="2:22" s="16" customFormat="1" ht="16.5" customHeight="1" thickBot="1">
      <c r="B15" s="126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30"/>
    </row>
    <row r="16" spans="2:22" s="16" customFormat="1" ht="16.5" customHeight="1" thickBot="1" thickTop="1">
      <c r="B16" s="126"/>
      <c r="C16" s="14"/>
      <c r="D16" s="235" t="s">
        <v>103</v>
      </c>
      <c r="E16" s="259"/>
      <c r="F16" s="267">
        <v>0.154</v>
      </c>
      <c r="G16" s="233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30"/>
    </row>
    <row r="17" spans="2:22" s="16" customFormat="1" ht="16.5" customHeight="1" thickBot="1" thickTop="1">
      <c r="B17" s="126"/>
      <c r="C17" s="14"/>
      <c r="D17" s="260" t="s">
        <v>104</v>
      </c>
      <c r="E17" s="261"/>
      <c r="F17" s="262">
        <v>20</v>
      </c>
      <c r="G17" s="233"/>
      <c r="H17"/>
      <c r="I17" s="762"/>
      <c r="J17" s="763"/>
      <c r="K17" s="14"/>
      <c r="L17" s="14"/>
      <c r="M17" s="14"/>
      <c r="O17" s="14"/>
      <c r="P17" s="14"/>
      <c r="Q17" s="14"/>
      <c r="R17" s="151"/>
      <c r="S17" s="151"/>
      <c r="T17" s="151"/>
      <c r="U17" s="151"/>
      <c r="V17" s="130"/>
    </row>
    <row r="18" spans="2:22" s="16" customFormat="1" ht="16.5" customHeight="1" thickBot="1" thickTop="1">
      <c r="B18" s="126"/>
      <c r="C18" s="2"/>
      <c r="D18" s="243"/>
      <c r="E18" s="244"/>
      <c r="F18" s="244"/>
      <c r="G18" s="39"/>
      <c r="H18" s="39"/>
      <c r="I18" s="39"/>
      <c r="J18" s="39"/>
      <c r="K18" s="39"/>
      <c r="L18" s="39"/>
      <c r="M18" s="39"/>
      <c r="N18" s="39"/>
      <c r="O18" s="245"/>
      <c r="P18" s="246"/>
      <c r="Q18" s="247"/>
      <c r="R18" s="247"/>
      <c r="S18" s="247"/>
      <c r="T18" s="248"/>
      <c r="U18" s="249"/>
      <c r="V18" s="130"/>
    </row>
    <row r="19" spans="2:22" s="16" customFormat="1" ht="33.75" customHeight="1" thickBot="1" thickTop="1">
      <c r="B19" s="126"/>
      <c r="C19" s="166" t="s">
        <v>72</v>
      </c>
      <c r="D19" s="174" t="s">
        <v>105</v>
      </c>
      <c r="E19" s="168" t="s">
        <v>45</v>
      </c>
      <c r="F19" s="263" t="s">
        <v>106</v>
      </c>
      <c r="G19" s="350" t="s">
        <v>77</v>
      </c>
      <c r="H19" s="168" t="s">
        <v>78</v>
      </c>
      <c r="I19" s="168" t="s">
        <v>79</v>
      </c>
      <c r="J19" s="174" t="s">
        <v>80</v>
      </c>
      <c r="K19" s="174" t="s">
        <v>81</v>
      </c>
      <c r="L19" s="173" t="s">
        <v>82</v>
      </c>
      <c r="M19" s="173" t="s">
        <v>83</v>
      </c>
      <c r="N19" s="168" t="s">
        <v>85</v>
      </c>
      <c r="O19" s="350" t="s">
        <v>76</v>
      </c>
      <c r="P19" s="518" t="s">
        <v>98</v>
      </c>
      <c r="Q19" s="522" t="s">
        <v>121</v>
      </c>
      <c r="R19" s="523"/>
      <c r="S19" s="530" t="s">
        <v>90</v>
      </c>
      <c r="T19" s="176" t="s">
        <v>92</v>
      </c>
      <c r="U19" s="264" t="s">
        <v>93</v>
      </c>
      <c r="V19" s="130"/>
    </row>
    <row r="20" spans="2:22" s="16" customFormat="1" ht="16.5" customHeight="1" hidden="1" thickTop="1">
      <c r="B20" s="126"/>
      <c r="C20" s="250"/>
      <c r="D20" s="251"/>
      <c r="E20" s="251"/>
      <c r="F20" s="251"/>
      <c r="G20" s="357"/>
      <c r="H20" s="252"/>
      <c r="I20" s="252"/>
      <c r="J20" s="250"/>
      <c r="K20" s="250"/>
      <c r="L20" s="251"/>
      <c r="M20" s="17"/>
      <c r="N20" s="250"/>
      <c r="O20" s="362"/>
      <c r="P20" s="519"/>
      <c r="Q20" s="524"/>
      <c r="R20" s="525"/>
      <c r="S20" s="531"/>
      <c r="T20" s="534"/>
      <c r="U20" s="571"/>
      <c r="V20" s="130"/>
    </row>
    <row r="21" spans="2:22" s="16" customFormat="1" ht="16.5" customHeight="1" thickTop="1">
      <c r="B21" s="126"/>
      <c r="C21" s="32"/>
      <c r="D21" s="84"/>
      <c r="E21" s="85"/>
      <c r="F21" s="86"/>
      <c r="G21" s="361"/>
      <c r="H21" s="88"/>
      <c r="I21" s="89"/>
      <c r="J21" s="90"/>
      <c r="K21" s="91"/>
      <c r="L21" s="92"/>
      <c r="M21" s="18"/>
      <c r="N21" s="87"/>
      <c r="O21" s="363"/>
      <c r="P21" s="520"/>
      <c r="Q21" s="526"/>
      <c r="R21" s="527"/>
      <c r="S21" s="532"/>
      <c r="T21" s="87"/>
      <c r="U21" s="265"/>
      <c r="V21" s="130"/>
    </row>
    <row r="22" spans="2:22" s="16" customFormat="1" ht="16.5" customHeight="1">
      <c r="B22" s="126"/>
      <c r="C22" s="774">
        <v>38</v>
      </c>
      <c r="D22" s="852" t="s">
        <v>46</v>
      </c>
      <c r="E22" s="836" t="s">
        <v>47</v>
      </c>
      <c r="F22" s="853">
        <v>245</v>
      </c>
      <c r="G22" s="631">
        <f aca="true" t="shared" si="0" ref="G22:G40">F22*$F$16</f>
        <v>37.73</v>
      </c>
      <c r="H22" s="839">
        <v>37994.06805555556</v>
      </c>
      <c r="I22" s="792">
        <v>37994.263194444444</v>
      </c>
      <c r="J22" s="73">
        <f aca="true" t="shared" si="1" ref="J22:J40">IF(D22="","",(I22-H22)*24)</f>
        <v>4.68333333323244</v>
      </c>
      <c r="K22" s="31">
        <f aca="true" t="shared" si="2" ref="K22:K40">IF(D22="","",ROUND((I22-H22)*24*60,0))</f>
        <v>281</v>
      </c>
      <c r="L22" s="794" t="s">
        <v>216</v>
      </c>
      <c r="M22" s="820" t="str">
        <f aca="true" t="shared" si="3" ref="M22:M40">IF(D22="","","--")</f>
        <v>--</v>
      </c>
      <c r="N22" s="796" t="str">
        <f aca="true" t="shared" si="4" ref="N22:N40">IF(D22="","",IF(OR(L22="P",L22="RP"),"--","NO"))</f>
        <v>--</v>
      </c>
      <c r="O22" s="856">
        <f aca="true" t="shared" si="5" ref="O22:O40">IF(L22="P",$F$17/10,$F$17)</f>
        <v>2</v>
      </c>
      <c r="P22" s="857">
        <f aca="true" t="shared" si="6" ref="P22:P40">IF(L22="P",G22*O22*ROUND(K22/60,2),"--")</f>
        <v>353.15279999999996</v>
      </c>
      <c r="Q22" s="858" t="str">
        <f aca="true" t="shared" si="7" ref="Q22:Q40">IF(AND(L22="F",N22="NO"),G22*O22,"--")</f>
        <v>--</v>
      </c>
      <c r="R22" s="859" t="str">
        <f aca="true" t="shared" si="8" ref="R22:R40">IF(L22="F",G22*O22*ROUND(K22/60,2),"--")</f>
        <v>--</v>
      </c>
      <c r="S22" s="860" t="str">
        <f aca="true" t="shared" si="9" ref="S22:S40">IF(L22="RF",G22*O22*ROUND(K22/60,2),"--")</f>
        <v>--</v>
      </c>
      <c r="T22" s="796" t="str">
        <f aca="true" t="shared" si="10" ref="T22:T40">IF(D22="","","SI")</f>
        <v>SI</v>
      </c>
      <c r="U22" s="76">
        <f aca="true" t="shared" si="11" ref="U22:U40">IF(D22="","",SUM(P22:S22)*IF(T22="SI",1,2))</f>
        <v>353.15279999999996</v>
      </c>
      <c r="V22" s="130"/>
    </row>
    <row r="23" spans="2:22" s="16" customFormat="1" ht="16.5" customHeight="1">
      <c r="B23" s="126"/>
      <c r="C23" s="774">
        <v>39</v>
      </c>
      <c r="D23" s="852" t="s">
        <v>46</v>
      </c>
      <c r="E23" s="836" t="s">
        <v>48</v>
      </c>
      <c r="F23" s="853">
        <v>245</v>
      </c>
      <c r="G23" s="631">
        <f t="shared" si="0"/>
        <v>37.73</v>
      </c>
      <c r="H23" s="839">
        <v>37994.06875</v>
      </c>
      <c r="I23" s="792">
        <v>37994.263194444444</v>
      </c>
      <c r="J23" s="73">
        <f t="shared" si="1"/>
        <v>4.666666666686069</v>
      </c>
      <c r="K23" s="31">
        <f t="shared" si="2"/>
        <v>280</v>
      </c>
      <c r="L23" s="794" t="s">
        <v>216</v>
      </c>
      <c r="M23" s="820" t="str">
        <f t="shared" si="3"/>
        <v>--</v>
      </c>
      <c r="N23" s="796" t="str">
        <f t="shared" si="4"/>
        <v>--</v>
      </c>
      <c r="O23" s="856">
        <f t="shared" si="5"/>
        <v>2</v>
      </c>
      <c r="P23" s="857">
        <f t="shared" si="6"/>
        <v>352.3982</v>
      </c>
      <c r="Q23" s="858" t="str">
        <f t="shared" si="7"/>
        <v>--</v>
      </c>
      <c r="R23" s="859" t="str">
        <f t="shared" si="8"/>
        <v>--</v>
      </c>
      <c r="S23" s="860" t="str">
        <f t="shared" si="9"/>
        <v>--</v>
      </c>
      <c r="T23" s="796" t="str">
        <f t="shared" si="10"/>
        <v>SI</v>
      </c>
      <c r="U23" s="76">
        <f t="shared" si="11"/>
        <v>352.3982</v>
      </c>
      <c r="V23" s="130"/>
    </row>
    <row r="24" spans="2:22" s="16" customFormat="1" ht="16.5" customHeight="1">
      <c r="B24" s="126"/>
      <c r="C24" s="774">
        <v>40</v>
      </c>
      <c r="D24" s="852" t="s">
        <v>46</v>
      </c>
      <c r="E24" s="836" t="s">
        <v>47</v>
      </c>
      <c r="F24" s="853">
        <v>245</v>
      </c>
      <c r="G24" s="631">
        <f t="shared" si="0"/>
        <v>37.73</v>
      </c>
      <c r="H24" s="839">
        <v>37997.28680555556</v>
      </c>
      <c r="I24" s="792">
        <v>37997.65902777778</v>
      </c>
      <c r="J24" s="73">
        <f t="shared" si="1"/>
        <v>8.933333333290648</v>
      </c>
      <c r="K24" s="31">
        <f t="shared" si="2"/>
        <v>536</v>
      </c>
      <c r="L24" s="794" t="s">
        <v>216</v>
      </c>
      <c r="M24" s="820" t="str">
        <f t="shared" si="3"/>
        <v>--</v>
      </c>
      <c r="N24" s="796" t="str">
        <f t="shared" si="4"/>
        <v>--</v>
      </c>
      <c r="O24" s="856">
        <f t="shared" si="5"/>
        <v>2</v>
      </c>
      <c r="P24" s="857">
        <f t="shared" si="6"/>
        <v>673.8577999999999</v>
      </c>
      <c r="Q24" s="858" t="str">
        <f t="shared" si="7"/>
        <v>--</v>
      </c>
      <c r="R24" s="859" t="str">
        <f t="shared" si="8"/>
        <v>--</v>
      </c>
      <c r="S24" s="860" t="str">
        <f t="shared" si="9"/>
        <v>--</v>
      </c>
      <c r="T24" s="796" t="str">
        <f t="shared" si="10"/>
        <v>SI</v>
      </c>
      <c r="U24" s="76">
        <f t="shared" si="11"/>
        <v>673.8577999999999</v>
      </c>
      <c r="V24" s="130"/>
    </row>
    <row r="25" spans="2:22" s="16" customFormat="1" ht="16.5" customHeight="1">
      <c r="B25" s="126"/>
      <c r="C25" s="774">
        <v>41</v>
      </c>
      <c r="D25" s="852" t="s">
        <v>46</v>
      </c>
      <c r="E25" s="836" t="s">
        <v>48</v>
      </c>
      <c r="F25" s="853">
        <v>245</v>
      </c>
      <c r="G25" s="631">
        <f t="shared" si="0"/>
        <v>37.73</v>
      </c>
      <c r="H25" s="839">
        <v>37997.28680555556</v>
      </c>
      <c r="I25" s="792">
        <v>37997.65902777778</v>
      </c>
      <c r="J25" s="73">
        <f t="shared" si="1"/>
        <v>8.933333333290648</v>
      </c>
      <c r="K25" s="31">
        <f t="shared" si="2"/>
        <v>536</v>
      </c>
      <c r="L25" s="794" t="s">
        <v>216</v>
      </c>
      <c r="M25" s="820" t="str">
        <f t="shared" si="3"/>
        <v>--</v>
      </c>
      <c r="N25" s="796" t="str">
        <f t="shared" si="4"/>
        <v>--</v>
      </c>
      <c r="O25" s="856">
        <f t="shared" si="5"/>
        <v>2</v>
      </c>
      <c r="P25" s="857">
        <f t="shared" si="6"/>
        <v>673.8577999999999</v>
      </c>
      <c r="Q25" s="858" t="str">
        <f t="shared" si="7"/>
        <v>--</v>
      </c>
      <c r="R25" s="859" t="str">
        <f t="shared" si="8"/>
        <v>--</v>
      </c>
      <c r="S25" s="860" t="str">
        <f t="shared" si="9"/>
        <v>--</v>
      </c>
      <c r="T25" s="796" t="str">
        <f t="shared" si="10"/>
        <v>SI</v>
      </c>
      <c r="U25" s="76">
        <f t="shared" si="11"/>
        <v>673.8577999999999</v>
      </c>
      <c r="V25" s="240"/>
    </row>
    <row r="26" spans="2:22" s="16" customFormat="1" ht="16.5" customHeight="1">
      <c r="B26" s="126"/>
      <c r="C26" s="774">
        <v>42</v>
      </c>
      <c r="D26" s="852" t="s">
        <v>46</v>
      </c>
      <c r="E26" s="836" t="s">
        <v>49</v>
      </c>
      <c r="F26" s="853">
        <v>245</v>
      </c>
      <c r="G26" s="631">
        <f t="shared" si="0"/>
        <v>37.73</v>
      </c>
      <c r="H26" s="839">
        <v>38004.73402777778</v>
      </c>
      <c r="I26" s="792">
        <v>38004.76666666667</v>
      </c>
      <c r="J26" s="73">
        <f t="shared" si="1"/>
        <v>0.7833333334419876</v>
      </c>
      <c r="K26" s="31">
        <f t="shared" si="2"/>
        <v>47</v>
      </c>
      <c r="L26" s="794" t="s">
        <v>206</v>
      </c>
      <c r="M26" s="820" t="str">
        <f t="shared" si="3"/>
        <v>--</v>
      </c>
      <c r="N26" s="796" t="str">
        <f t="shared" si="4"/>
        <v>NO</v>
      </c>
      <c r="O26" s="856">
        <f t="shared" si="5"/>
        <v>20</v>
      </c>
      <c r="P26" s="857" t="str">
        <f t="shared" si="6"/>
        <v>--</v>
      </c>
      <c r="Q26" s="858">
        <f t="shared" si="7"/>
        <v>754.5999999999999</v>
      </c>
      <c r="R26" s="859">
        <f t="shared" si="8"/>
        <v>588.588</v>
      </c>
      <c r="S26" s="860" t="str">
        <f t="shared" si="9"/>
        <v>--</v>
      </c>
      <c r="T26" s="796" t="str">
        <f t="shared" si="10"/>
        <v>SI</v>
      </c>
      <c r="U26" s="76">
        <f t="shared" si="11"/>
        <v>1343.1879999999999</v>
      </c>
      <c r="V26" s="240"/>
    </row>
    <row r="27" spans="2:22" s="16" customFormat="1" ht="16.5" customHeight="1">
      <c r="B27" s="126"/>
      <c r="C27" s="774"/>
      <c r="D27" s="852"/>
      <c r="E27" s="836"/>
      <c r="F27" s="853"/>
      <c r="G27" s="631">
        <f t="shared" si="0"/>
        <v>0</v>
      </c>
      <c r="H27" s="839"/>
      <c r="I27" s="792"/>
      <c r="J27" s="73">
        <f>IF(D27="","",(I27-H27)*24)</f>
      </c>
      <c r="K27" s="31">
        <f>IF(D27="","",ROUND((I27-H27)*24*60,0))</f>
      </c>
      <c r="L27" s="794"/>
      <c r="M27" s="820">
        <f>IF(D27="","","--")</f>
      </c>
      <c r="N27" s="796">
        <f>IF(D27="","",IF(OR(L27="P",L27="RP"),"--","NO"))</f>
      </c>
      <c r="O27" s="856">
        <f>IF(L27="P",$F$17/10,$F$17)</f>
        <v>20</v>
      </c>
      <c r="P27" s="857" t="str">
        <f>IF(L27="P",G27*O27*ROUND(K27/60,2),"--")</f>
        <v>--</v>
      </c>
      <c r="Q27" s="858" t="str">
        <f>IF(AND(L27="F",N27="NO"),G27*O27,"--")</f>
        <v>--</v>
      </c>
      <c r="R27" s="859" t="str">
        <f>IF(L27="F",G27*O27*ROUND(K27/60,2),"--")</f>
        <v>--</v>
      </c>
      <c r="S27" s="860" t="str">
        <f>IF(L27="RF",G27*O27*ROUND(K27/60,2),"--")</f>
        <v>--</v>
      </c>
      <c r="T27" s="796">
        <f>IF(D27="","","SI")</f>
      </c>
      <c r="U27" s="76">
        <f>IF(D27="","",SUM(P27:S27)*IF(T27="SI",1,2))</f>
      </c>
      <c r="V27" s="240"/>
    </row>
    <row r="28" spans="2:22" s="16" customFormat="1" ht="16.5" customHeight="1">
      <c r="B28" s="126"/>
      <c r="C28" s="774"/>
      <c r="D28" s="852"/>
      <c r="E28" s="836"/>
      <c r="F28" s="853"/>
      <c r="G28" s="631">
        <f t="shared" si="0"/>
        <v>0</v>
      </c>
      <c r="H28" s="839"/>
      <c r="I28" s="792"/>
      <c r="J28" s="73">
        <f t="shared" si="1"/>
      </c>
      <c r="K28" s="31">
        <f t="shared" si="2"/>
      </c>
      <c r="L28" s="794"/>
      <c r="M28" s="820">
        <f t="shared" si="3"/>
      </c>
      <c r="N28" s="796">
        <f t="shared" si="4"/>
      </c>
      <c r="O28" s="856">
        <f t="shared" si="5"/>
        <v>20</v>
      </c>
      <c r="P28" s="857" t="str">
        <f t="shared" si="6"/>
        <v>--</v>
      </c>
      <c r="Q28" s="858" t="str">
        <f t="shared" si="7"/>
        <v>--</v>
      </c>
      <c r="R28" s="859" t="str">
        <f t="shared" si="8"/>
        <v>--</v>
      </c>
      <c r="S28" s="860" t="str">
        <f t="shared" si="9"/>
        <v>--</v>
      </c>
      <c r="T28" s="796">
        <f t="shared" si="10"/>
      </c>
      <c r="U28" s="76">
        <f t="shared" si="11"/>
      </c>
      <c r="V28" s="240"/>
    </row>
    <row r="29" spans="2:22" s="16" customFormat="1" ht="16.5" customHeight="1">
      <c r="B29" s="126"/>
      <c r="C29" s="774"/>
      <c r="D29" s="852"/>
      <c r="E29" s="836"/>
      <c r="F29" s="853"/>
      <c r="G29" s="631">
        <f t="shared" si="0"/>
        <v>0</v>
      </c>
      <c r="H29" s="839"/>
      <c r="I29" s="792"/>
      <c r="J29" s="73">
        <f t="shared" si="1"/>
      </c>
      <c r="K29" s="31">
        <f t="shared" si="2"/>
      </c>
      <c r="L29" s="794"/>
      <c r="M29" s="820">
        <f t="shared" si="3"/>
      </c>
      <c r="N29" s="796">
        <f t="shared" si="4"/>
      </c>
      <c r="O29" s="856">
        <f t="shared" si="5"/>
        <v>20</v>
      </c>
      <c r="P29" s="857" t="str">
        <f t="shared" si="6"/>
        <v>--</v>
      </c>
      <c r="Q29" s="858" t="str">
        <f t="shared" si="7"/>
        <v>--</v>
      </c>
      <c r="R29" s="859" t="str">
        <f t="shared" si="8"/>
        <v>--</v>
      </c>
      <c r="S29" s="860" t="str">
        <f t="shared" si="9"/>
        <v>--</v>
      </c>
      <c r="T29" s="796">
        <f t="shared" si="10"/>
      </c>
      <c r="U29" s="76">
        <f t="shared" si="11"/>
      </c>
      <c r="V29" s="240"/>
    </row>
    <row r="30" spans="2:22" s="16" customFormat="1" ht="16.5" customHeight="1">
      <c r="B30" s="126"/>
      <c r="C30" s="774"/>
      <c r="D30" s="852"/>
      <c r="E30" s="836"/>
      <c r="F30" s="853"/>
      <c r="G30" s="631">
        <f t="shared" si="0"/>
        <v>0</v>
      </c>
      <c r="H30" s="839"/>
      <c r="I30" s="792"/>
      <c r="J30" s="73">
        <f t="shared" si="1"/>
      </c>
      <c r="K30" s="31">
        <f t="shared" si="2"/>
      </c>
      <c r="L30" s="794"/>
      <c r="M30" s="820">
        <f t="shared" si="3"/>
      </c>
      <c r="N30" s="796">
        <f t="shared" si="4"/>
      </c>
      <c r="O30" s="856">
        <f t="shared" si="5"/>
        <v>20</v>
      </c>
      <c r="P30" s="857" t="str">
        <f t="shared" si="6"/>
        <v>--</v>
      </c>
      <c r="Q30" s="858" t="str">
        <f t="shared" si="7"/>
        <v>--</v>
      </c>
      <c r="R30" s="859" t="str">
        <f t="shared" si="8"/>
        <v>--</v>
      </c>
      <c r="S30" s="860" t="str">
        <f t="shared" si="9"/>
        <v>--</v>
      </c>
      <c r="T30" s="796">
        <f t="shared" si="10"/>
      </c>
      <c r="U30" s="76">
        <f t="shared" si="11"/>
      </c>
      <c r="V30" s="130"/>
    </row>
    <row r="31" spans="2:22" s="16" customFormat="1" ht="16.5" customHeight="1">
      <c r="B31" s="126"/>
      <c r="C31" s="774"/>
      <c r="D31" s="852"/>
      <c r="E31" s="836"/>
      <c r="F31" s="853"/>
      <c r="G31" s="631">
        <f t="shared" si="0"/>
        <v>0</v>
      </c>
      <c r="H31" s="839"/>
      <c r="I31" s="792"/>
      <c r="J31" s="73">
        <f t="shared" si="1"/>
      </c>
      <c r="K31" s="31">
        <f t="shared" si="2"/>
      </c>
      <c r="L31" s="794"/>
      <c r="M31" s="820">
        <f t="shared" si="3"/>
      </c>
      <c r="N31" s="796">
        <f t="shared" si="4"/>
      </c>
      <c r="O31" s="856">
        <f t="shared" si="5"/>
        <v>20</v>
      </c>
      <c r="P31" s="857" t="str">
        <f t="shared" si="6"/>
        <v>--</v>
      </c>
      <c r="Q31" s="858" t="str">
        <f t="shared" si="7"/>
        <v>--</v>
      </c>
      <c r="R31" s="859" t="str">
        <f t="shared" si="8"/>
        <v>--</v>
      </c>
      <c r="S31" s="860" t="str">
        <f t="shared" si="9"/>
        <v>--</v>
      </c>
      <c r="T31" s="796">
        <f t="shared" si="10"/>
      </c>
      <c r="U31" s="76">
        <f t="shared" si="11"/>
      </c>
      <c r="V31" s="130"/>
    </row>
    <row r="32" spans="2:22" s="16" customFormat="1" ht="16.5" customHeight="1">
      <c r="B32" s="126"/>
      <c r="C32" s="774"/>
      <c r="D32" s="852"/>
      <c r="E32" s="836"/>
      <c r="F32" s="853"/>
      <c r="G32" s="631">
        <f t="shared" si="0"/>
        <v>0</v>
      </c>
      <c r="H32" s="839"/>
      <c r="I32" s="792"/>
      <c r="J32" s="73">
        <f t="shared" si="1"/>
      </c>
      <c r="K32" s="31">
        <f t="shared" si="2"/>
      </c>
      <c r="L32" s="794"/>
      <c r="M32" s="820">
        <f t="shared" si="3"/>
      </c>
      <c r="N32" s="796">
        <f t="shared" si="4"/>
      </c>
      <c r="O32" s="856">
        <f t="shared" si="5"/>
        <v>20</v>
      </c>
      <c r="P32" s="857" t="str">
        <f t="shared" si="6"/>
        <v>--</v>
      </c>
      <c r="Q32" s="858" t="str">
        <f t="shared" si="7"/>
        <v>--</v>
      </c>
      <c r="R32" s="859" t="str">
        <f t="shared" si="8"/>
        <v>--</v>
      </c>
      <c r="S32" s="860" t="str">
        <f t="shared" si="9"/>
        <v>--</v>
      </c>
      <c r="T32" s="796">
        <f t="shared" si="10"/>
      </c>
      <c r="U32" s="76">
        <f t="shared" si="11"/>
      </c>
      <c r="V32" s="130"/>
    </row>
    <row r="33" spans="2:22" s="16" customFormat="1" ht="16.5" customHeight="1">
      <c r="B33" s="126"/>
      <c r="C33" s="774"/>
      <c r="D33" s="852"/>
      <c r="E33" s="836"/>
      <c r="F33" s="853"/>
      <c r="G33" s="631">
        <f t="shared" si="0"/>
        <v>0</v>
      </c>
      <c r="H33" s="839"/>
      <c r="I33" s="792"/>
      <c r="J33" s="73">
        <f t="shared" si="1"/>
      </c>
      <c r="K33" s="31">
        <f t="shared" si="2"/>
      </c>
      <c r="L33" s="794"/>
      <c r="M33" s="820">
        <f t="shared" si="3"/>
      </c>
      <c r="N33" s="796">
        <f t="shared" si="4"/>
      </c>
      <c r="O33" s="856">
        <f t="shared" si="5"/>
        <v>20</v>
      </c>
      <c r="P33" s="857" t="str">
        <f t="shared" si="6"/>
        <v>--</v>
      </c>
      <c r="Q33" s="858" t="str">
        <f t="shared" si="7"/>
        <v>--</v>
      </c>
      <c r="R33" s="859" t="str">
        <f t="shared" si="8"/>
        <v>--</v>
      </c>
      <c r="S33" s="860" t="str">
        <f t="shared" si="9"/>
        <v>--</v>
      </c>
      <c r="T33" s="796">
        <f t="shared" si="10"/>
      </c>
      <c r="U33" s="76">
        <f t="shared" si="11"/>
      </c>
      <c r="V33" s="130"/>
    </row>
    <row r="34" spans="2:22" s="16" customFormat="1" ht="16.5" customHeight="1">
      <c r="B34" s="126"/>
      <c r="C34" s="774"/>
      <c r="D34" s="852"/>
      <c r="E34" s="836"/>
      <c r="F34" s="853"/>
      <c r="G34" s="631">
        <f t="shared" si="0"/>
        <v>0</v>
      </c>
      <c r="H34" s="839"/>
      <c r="I34" s="792"/>
      <c r="J34" s="73">
        <f t="shared" si="1"/>
      </c>
      <c r="K34" s="31">
        <f t="shared" si="2"/>
      </c>
      <c r="L34" s="794"/>
      <c r="M34" s="820">
        <f t="shared" si="3"/>
      </c>
      <c r="N34" s="796">
        <f t="shared" si="4"/>
      </c>
      <c r="O34" s="856">
        <f t="shared" si="5"/>
        <v>20</v>
      </c>
      <c r="P34" s="857" t="str">
        <f t="shared" si="6"/>
        <v>--</v>
      </c>
      <c r="Q34" s="858" t="str">
        <f t="shared" si="7"/>
        <v>--</v>
      </c>
      <c r="R34" s="859" t="str">
        <f t="shared" si="8"/>
        <v>--</v>
      </c>
      <c r="S34" s="860" t="str">
        <f t="shared" si="9"/>
        <v>--</v>
      </c>
      <c r="T34" s="796">
        <f t="shared" si="10"/>
      </c>
      <c r="U34" s="76">
        <f t="shared" si="11"/>
      </c>
      <c r="V34" s="130"/>
    </row>
    <row r="35" spans="2:22" s="16" customFormat="1" ht="16.5" customHeight="1">
      <c r="B35" s="126"/>
      <c r="C35" s="774"/>
      <c r="D35" s="852"/>
      <c r="E35" s="836"/>
      <c r="F35" s="853"/>
      <c r="G35" s="631">
        <f t="shared" si="0"/>
        <v>0</v>
      </c>
      <c r="H35" s="839"/>
      <c r="I35" s="792"/>
      <c r="J35" s="73">
        <f t="shared" si="1"/>
      </c>
      <c r="K35" s="31">
        <f t="shared" si="2"/>
      </c>
      <c r="L35" s="794"/>
      <c r="M35" s="820">
        <f t="shared" si="3"/>
      </c>
      <c r="N35" s="796">
        <f t="shared" si="4"/>
      </c>
      <c r="O35" s="856">
        <f t="shared" si="5"/>
        <v>20</v>
      </c>
      <c r="P35" s="857" t="str">
        <f t="shared" si="6"/>
        <v>--</v>
      </c>
      <c r="Q35" s="858" t="str">
        <f t="shared" si="7"/>
        <v>--</v>
      </c>
      <c r="R35" s="859" t="str">
        <f t="shared" si="8"/>
        <v>--</v>
      </c>
      <c r="S35" s="860" t="str">
        <f t="shared" si="9"/>
        <v>--</v>
      </c>
      <c r="T35" s="796">
        <f t="shared" si="10"/>
      </c>
      <c r="U35" s="76">
        <f t="shared" si="11"/>
      </c>
      <c r="V35" s="130"/>
    </row>
    <row r="36" spans="2:22" s="16" customFormat="1" ht="16.5" customHeight="1">
      <c r="B36" s="126"/>
      <c r="C36" s="774"/>
      <c r="D36" s="852"/>
      <c r="E36" s="836"/>
      <c r="F36" s="853"/>
      <c r="G36" s="631">
        <f t="shared" si="0"/>
        <v>0</v>
      </c>
      <c r="H36" s="839"/>
      <c r="I36" s="792"/>
      <c r="J36" s="73">
        <f t="shared" si="1"/>
      </c>
      <c r="K36" s="31">
        <f t="shared" si="2"/>
      </c>
      <c r="L36" s="794"/>
      <c r="M36" s="820">
        <f t="shared" si="3"/>
      </c>
      <c r="N36" s="796">
        <f t="shared" si="4"/>
      </c>
      <c r="O36" s="856">
        <f t="shared" si="5"/>
        <v>20</v>
      </c>
      <c r="P36" s="857" t="str">
        <f t="shared" si="6"/>
        <v>--</v>
      </c>
      <c r="Q36" s="858" t="str">
        <f t="shared" si="7"/>
        <v>--</v>
      </c>
      <c r="R36" s="859" t="str">
        <f t="shared" si="8"/>
        <v>--</v>
      </c>
      <c r="S36" s="860" t="str">
        <f t="shared" si="9"/>
        <v>--</v>
      </c>
      <c r="T36" s="796">
        <f t="shared" si="10"/>
      </c>
      <c r="U36" s="76">
        <f t="shared" si="11"/>
      </c>
      <c r="V36" s="130"/>
    </row>
    <row r="37" spans="2:22" s="16" customFormat="1" ht="16.5" customHeight="1">
      <c r="B37" s="126"/>
      <c r="C37" s="774"/>
      <c r="D37" s="852"/>
      <c r="E37" s="836"/>
      <c r="F37" s="853"/>
      <c r="G37" s="631">
        <f t="shared" si="0"/>
        <v>0</v>
      </c>
      <c r="H37" s="839"/>
      <c r="I37" s="792"/>
      <c r="J37" s="73">
        <f t="shared" si="1"/>
      </c>
      <c r="K37" s="31">
        <f t="shared" si="2"/>
      </c>
      <c r="L37" s="794"/>
      <c r="M37" s="820">
        <f t="shared" si="3"/>
      </c>
      <c r="N37" s="796">
        <f t="shared" si="4"/>
      </c>
      <c r="O37" s="856">
        <f t="shared" si="5"/>
        <v>20</v>
      </c>
      <c r="P37" s="857" t="str">
        <f t="shared" si="6"/>
        <v>--</v>
      </c>
      <c r="Q37" s="858" t="str">
        <f t="shared" si="7"/>
        <v>--</v>
      </c>
      <c r="R37" s="859" t="str">
        <f t="shared" si="8"/>
        <v>--</v>
      </c>
      <c r="S37" s="860" t="str">
        <f t="shared" si="9"/>
        <v>--</v>
      </c>
      <c r="T37" s="796">
        <f t="shared" si="10"/>
      </c>
      <c r="U37" s="76">
        <f t="shared" si="11"/>
      </c>
      <c r="V37" s="130"/>
    </row>
    <row r="38" spans="2:22" s="16" customFormat="1" ht="16.5" customHeight="1">
      <c r="B38" s="126"/>
      <c r="C38" s="774"/>
      <c r="D38" s="852"/>
      <c r="E38" s="836"/>
      <c r="F38" s="853"/>
      <c r="G38" s="631">
        <f t="shared" si="0"/>
        <v>0</v>
      </c>
      <c r="H38" s="839"/>
      <c r="I38" s="792"/>
      <c r="J38" s="73">
        <f t="shared" si="1"/>
      </c>
      <c r="K38" s="31">
        <f t="shared" si="2"/>
      </c>
      <c r="L38" s="794"/>
      <c r="M38" s="820">
        <f t="shared" si="3"/>
      </c>
      <c r="N38" s="796">
        <f t="shared" si="4"/>
      </c>
      <c r="O38" s="856">
        <f t="shared" si="5"/>
        <v>20</v>
      </c>
      <c r="P38" s="857" t="str">
        <f t="shared" si="6"/>
        <v>--</v>
      </c>
      <c r="Q38" s="858" t="str">
        <f t="shared" si="7"/>
        <v>--</v>
      </c>
      <c r="R38" s="859" t="str">
        <f t="shared" si="8"/>
        <v>--</v>
      </c>
      <c r="S38" s="860" t="str">
        <f t="shared" si="9"/>
        <v>--</v>
      </c>
      <c r="T38" s="796">
        <f t="shared" si="10"/>
      </c>
      <c r="U38" s="76">
        <f t="shared" si="11"/>
      </c>
      <c r="V38" s="130"/>
    </row>
    <row r="39" spans="2:22" s="16" customFormat="1" ht="16.5" customHeight="1">
      <c r="B39" s="126"/>
      <c r="C39" s="774"/>
      <c r="D39" s="852"/>
      <c r="E39" s="836"/>
      <c r="F39" s="853"/>
      <c r="G39" s="631">
        <f t="shared" si="0"/>
        <v>0</v>
      </c>
      <c r="H39" s="839"/>
      <c r="I39" s="792"/>
      <c r="J39" s="73">
        <f t="shared" si="1"/>
      </c>
      <c r="K39" s="31">
        <f t="shared" si="2"/>
      </c>
      <c r="L39" s="794"/>
      <c r="M39" s="820">
        <f t="shared" si="3"/>
      </c>
      <c r="N39" s="796">
        <f t="shared" si="4"/>
      </c>
      <c r="O39" s="856">
        <f t="shared" si="5"/>
        <v>20</v>
      </c>
      <c r="P39" s="857" t="str">
        <f t="shared" si="6"/>
        <v>--</v>
      </c>
      <c r="Q39" s="858" t="str">
        <f t="shared" si="7"/>
        <v>--</v>
      </c>
      <c r="R39" s="859" t="str">
        <f t="shared" si="8"/>
        <v>--</v>
      </c>
      <c r="S39" s="860" t="str">
        <f t="shared" si="9"/>
        <v>--</v>
      </c>
      <c r="T39" s="796">
        <f t="shared" si="10"/>
      </c>
      <c r="U39" s="76">
        <f t="shared" si="11"/>
      </c>
      <c r="V39" s="130"/>
    </row>
    <row r="40" spans="2:22" s="16" customFormat="1" ht="16.5" customHeight="1">
      <c r="B40" s="126"/>
      <c r="C40" s="774"/>
      <c r="D40" s="852"/>
      <c r="E40" s="836"/>
      <c r="F40" s="853"/>
      <c r="G40" s="631">
        <f t="shared" si="0"/>
        <v>0</v>
      </c>
      <c r="H40" s="839"/>
      <c r="I40" s="792"/>
      <c r="J40" s="73">
        <f t="shared" si="1"/>
      </c>
      <c r="K40" s="31">
        <f t="shared" si="2"/>
      </c>
      <c r="L40" s="794"/>
      <c r="M40" s="820">
        <f t="shared" si="3"/>
      </c>
      <c r="N40" s="796">
        <f t="shared" si="4"/>
      </c>
      <c r="O40" s="856">
        <f t="shared" si="5"/>
        <v>20</v>
      </c>
      <c r="P40" s="857" t="str">
        <f t="shared" si="6"/>
        <v>--</v>
      </c>
      <c r="Q40" s="858" t="str">
        <f t="shared" si="7"/>
        <v>--</v>
      </c>
      <c r="R40" s="859" t="str">
        <f t="shared" si="8"/>
        <v>--</v>
      </c>
      <c r="S40" s="860" t="str">
        <f t="shared" si="9"/>
        <v>--</v>
      </c>
      <c r="T40" s="796">
        <f t="shared" si="10"/>
      </c>
      <c r="U40" s="76">
        <f t="shared" si="11"/>
      </c>
      <c r="V40" s="130"/>
    </row>
    <row r="41" spans="2:22" s="16" customFormat="1" ht="16.5" customHeight="1" thickBot="1">
      <c r="B41" s="126"/>
      <c r="C41" s="783"/>
      <c r="D41" s="854"/>
      <c r="E41" s="838"/>
      <c r="F41" s="855"/>
      <c r="G41" s="352"/>
      <c r="H41" s="841"/>
      <c r="I41" s="841"/>
      <c r="J41" s="77"/>
      <c r="K41" s="77"/>
      <c r="L41" s="841"/>
      <c r="M41" s="808"/>
      <c r="N41" s="793"/>
      <c r="O41" s="861"/>
      <c r="P41" s="862"/>
      <c r="Q41" s="863"/>
      <c r="R41" s="864"/>
      <c r="S41" s="865"/>
      <c r="T41" s="793"/>
      <c r="U41" s="266"/>
      <c r="V41" s="130"/>
    </row>
    <row r="42" spans="2:22" s="16" customFormat="1" ht="16.5" customHeight="1" thickBot="1" thickTop="1">
      <c r="B42" s="126"/>
      <c r="C42" s="271" t="s">
        <v>94</v>
      </c>
      <c r="D42" s="272" t="s">
        <v>95</v>
      </c>
      <c r="G42" s="14"/>
      <c r="H42" s="14"/>
      <c r="I42" s="14"/>
      <c r="J42" s="14"/>
      <c r="K42" s="14"/>
      <c r="L42" s="14"/>
      <c r="M42" s="14"/>
      <c r="N42" s="14"/>
      <c r="O42" s="14"/>
      <c r="P42" s="521">
        <f>SUM(P20:P41)</f>
        <v>2053.2665999999995</v>
      </c>
      <c r="Q42" s="528">
        <f>SUM(Q20:Q41)</f>
        <v>754.5999999999999</v>
      </c>
      <c r="R42" s="529">
        <f>SUM(R20:R41)</f>
        <v>588.588</v>
      </c>
      <c r="S42" s="533">
        <f>SUM(S20:S41)</f>
        <v>0</v>
      </c>
      <c r="U42" s="79">
        <f>ROUND(SUM(U20:U41),2)</f>
        <v>3396.45</v>
      </c>
      <c r="V42" s="241"/>
    </row>
    <row r="43" spans="2:22" s="275" customFormat="1" ht="9.75" thickTop="1">
      <c r="B43" s="276"/>
      <c r="C43" s="273"/>
      <c r="D43" s="274" t="s">
        <v>96</v>
      </c>
      <c r="G43" s="292"/>
      <c r="H43" s="292"/>
      <c r="I43" s="292"/>
      <c r="J43" s="292"/>
      <c r="K43" s="292"/>
      <c r="L43" s="292"/>
      <c r="M43" s="292"/>
      <c r="N43" s="292"/>
      <c r="O43" s="292"/>
      <c r="P43" s="290"/>
      <c r="Q43" s="290"/>
      <c r="R43" s="290"/>
      <c r="S43" s="290"/>
      <c r="U43" s="293"/>
      <c r="V43" s="294"/>
    </row>
    <row r="44" spans="2:22" s="275" customFormat="1" ht="15" customHeight="1">
      <c r="B44" s="276"/>
      <c r="C44" s="937" t="s">
        <v>246</v>
      </c>
      <c r="D44" s="938" t="s">
        <v>245</v>
      </c>
      <c r="G44" s="292"/>
      <c r="H44" s="292"/>
      <c r="I44" s="292"/>
      <c r="J44" s="292"/>
      <c r="K44" s="292"/>
      <c r="L44" s="292"/>
      <c r="M44" s="292"/>
      <c r="N44" s="292"/>
      <c r="O44" s="292"/>
      <c r="P44" s="290"/>
      <c r="Q44" s="290"/>
      <c r="R44" s="290"/>
      <c r="S44" s="290"/>
      <c r="U44" s="293"/>
      <c r="V44" s="294"/>
    </row>
    <row r="45" spans="2:22" s="16" customFormat="1" ht="16.5" customHeight="1" thickBot="1"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7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G59"/>
  <sheetViews>
    <sheetView zoomScale="75" zoomScaleNormal="75" workbookViewId="0" topLeftCell="F25">
      <selection activeCell="AC32" sqref="AC3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759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44" customFormat="1" ht="30.75">
      <c r="A3" s="641"/>
      <c r="B3" s="642" t="str">
        <f>+'tot-0401'!B2</f>
        <v>ANEXO I-1a a la Resolución ENRE N° 686/2007.-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AB3" s="643"/>
      <c r="AC3" s="643"/>
      <c r="AD3" s="643"/>
    </row>
    <row r="4" spans="1:2" s="101" customFormat="1" ht="11.25">
      <c r="A4" s="99" t="s">
        <v>50</v>
      </c>
      <c r="B4" s="99"/>
    </row>
    <row r="5" spans="1:2" s="101" customFormat="1" ht="11.25">
      <c r="A5" s="99" t="s">
        <v>51</v>
      </c>
      <c r="B5" s="99"/>
    </row>
    <row r="6" s="101" customFormat="1" ht="12" thickBot="1">
      <c r="A6" s="99"/>
    </row>
    <row r="7" spans="1:30" ht="16.5" customHeight="1" thickTop="1">
      <c r="A7" s="16"/>
      <c r="B7" s="145"/>
      <c r="C7" s="146"/>
      <c r="D7" s="146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344"/>
      <c r="X7" s="344"/>
      <c r="Y7" s="344"/>
      <c r="Z7" s="344"/>
      <c r="AA7" s="344"/>
      <c r="AB7" s="344"/>
      <c r="AC7" s="344"/>
      <c r="AD7" s="148"/>
    </row>
    <row r="8" spans="1:30" ht="20.25">
      <c r="A8" s="16"/>
      <c r="B8" s="126"/>
      <c r="C8" s="14"/>
      <c r="D8" s="7" t="s">
        <v>123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95"/>
      <c r="Q8" s="295"/>
      <c r="R8" s="14"/>
      <c r="S8" s="14"/>
      <c r="T8" s="14"/>
      <c r="U8" s="14"/>
      <c r="V8" s="14"/>
      <c r="AD8" s="149"/>
    </row>
    <row r="9" spans="1:30" ht="16.5" customHeight="1">
      <c r="A9" s="16"/>
      <c r="B9" s="12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AD9" s="149"/>
    </row>
    <row r="10" spans="2:30" s="15" customFormat="1" ht="20.25">
      <c r="B10" s="121"/>
      <c r="C10" s="120"/>
      <c r="D10" s="7" t="s">
        <v>124</v>
      </c>
      <c r="E10" s="120"/>
      <c r="F10" s="120"/>
      <c r="G10" s="120"/>
      <c r="H10" s="120"/>
      <c r="N10" s="120"/>
      <c r="O10" s="120"/>
      <c r="P10" s="364"/>
      <c r="Q10" s="364"/>
      <c r="R10" s="120"/>
      <c r="S10" s="120"/>
      <c r="T10" s="120"/>
      <c r="U10" s="120"/>
      <c r="V10" s="120"/>
      <c r="W10"/>
      <c r="X10" s="120"/>
      <c r="Y10" s="120"/>
      <c r="Z10" s="120"/>
      <c r="AA10" s="120"/>
      <c r="AB10" s="120"/>
      <c r="AC10"/>
      <c r="AD10" s="365"/>
    </row>
    <row r="11" spans="1:30" ht="16.5" customHeight="1">
      <c r="A11" s="16"/>
      <c r="B11" s="12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AD11" s="149"/>
    </row>
    <row r="12" spans="2:30" s="15" customFormat="1" ht="20.25">
      <c r="B12" s="121"/>
      <c r="C12" s="120"/>
      <c r="D12" s="7" t="s">
        <v>191</v>
      </c>
      <c r="E12" s="120"/>
      <c r="F12" s="120"/>
      <c r="G12" s="120"/>
      <c r="H12" s="120"/>
      <c r="N12" s="120"/>
      <c r="O12" s="120"/>
      <c r="P12" s="364"/>
      <c r="Q12" s="364"/>
      <c r="R12" s="120"/>
      <c r="S12" s="120"/>
      <c r="T12" s="120"/>
      <c r="U12" s="120"/>
      <c r="V12" s="120"/>
      <c r="W12"/>
      <c r="X12" s="120"/>
      <c r="Y12" s="120"/>
      <c r="Z12" s="120"/>
      <c r="AA12" s="120"/>
      <c r="AB12" s="120"/>
      <c r="AC12"/>
      <c r="AD12" s="365"/>
    </row>
    <row r="13" spans="1:30" ht="16.5" customHeight="1">
      <c r="A13" s="16"/>
      <c r="B13" s="126"/>
      <c r="C13" s="14"/>
      <c r="D13" s="14"/>
      <c r="E13" s="16"/>
      <c r="F13" s="16"/>
      <c r="G13" s="16"/>
      <c r="H13" s="16"/>
      <c r="I13" s="150"/>
      <c r="J13" s="150"/>
      <c r="K13" s="150"/>
      <c r="L13" s="150"/>
      <c r="M13" s="150"/>
      <c r="N13" s="150"/>
      <c r="O13" s="150"/>
      <c r="P13" s="150"/>
      <c r="Q13" s="150"/>
      <c r="R13" s="14"/>
      <c r="S13" s="14"/>
      <c r="T13" s="14"/>
      <c r="U13" s="14"/>
      <c r="V13" s="14"/>
      <c r="AD13" s="149"/>
    </row>
    <row r="14" spans="2:30" s="15" customFormat="1" ht="19.5">
      <c r="B14" s="114" t="str">
        <f>+'[2]tot-0401'!B14</f>
        <v>Desde el 01 al 31 de enero de 2004</v>
      </c>
      <c r="C14" s="115"/>
      <c r="D14" s="117"/>
      <c r="E14" s="117"/>
      <c r="F14" s="117"/>
      <c r="G14" s="117"/>
      <c r="H14" s="117"/>
      <c r="I14" s="118"/>
      <c r="J14" s="4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367"/>
      <c r="V14" s="367"/>
      <c r="W14"/>
      <c r="X14" s="368"/>
      <c r="Y14" s="368"/>
      <c r="Z14" s="368"/>
      <c r="AA14" s="368"/>
      <c r="AB14" s="367"/>
      <c r="AC14" s="4"/>
      <c r="AD14" s="119"/>
    </row>
    <row r="15" spans="1:30" ht="16.5" customHeight="1">
      <c r="A15" s="16"/>
      <c r="B15" s="126"/>
      <c r="C15" s="14"/>
      <c r="D15" s="14"/>
      <c r="E15" s="2"/>
      <c r="F15" s="2"/>
      <c r="G15" s="14"/>
      <c r="H15" s="14"/>
      <c r="I15" s="14"/>
      <c r="J15" s="296"/>
      <c r="K15" s="14"/>
      <c r="L15" s="14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49"/>
    </row>
    <row r="16" spans="1:30" ht="16.5" customHeight="1">
      <c r="A16" s="16"/>
      <c r="B16" s="126"/>
      <c r="C16" s="14"/>
      <c r="D16" s="14"/>
      <c r="E16" s="2"/>
      <c r="F16" s="2"/>
      <c r="G16" s="14"/>
      <c r="H16" s="14"/>
      <c r="I16" s="297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49"/>
    </row>
    <row r="17" spans="1:30" ht="16.5" customHeight="1">
      <c r="A17" s="16"/>
      <c r="B17" s="126"/>
      <c r="C17" s="14"/>
      <c r="D17" s="14"/>
      <c r="E17" s="2"/>
      <c r="F17" s="2"/>
      <c r="G17" s="14"/>
      <c r="H17" s="14"/>
      <c r="I17" s="297"/>
      <c r="J17" s="14"/>
      <c r="K17" s="12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49"/>
    </row>
    <row r="18" spans="1:30" ht="16.5" customHeight="1">
      <c r="A18" s="16"/>
      <c r="B18" s="126"/>
      <c r="C18" s="611" t="s">
        <v>125</v>
      </c>
      <c r="D18" s="13" t="s">
        <v>126</v>
      </c>
      <c r="E18" s="2"/>
      <c r="F18" s="2"/>
      <c r="G18" s="14"/>
      <c r="H18" s="14"/>
      <c r="I18" s="14"/>
      <c r="J18" s="296"/>
      <c r="K18" s="14"/>
      <c r="L18" s="14"/>
      <c r="M18" s="14"/>
      <c r="N18" s="16"/>
      <c r="O18" s="16"/>
      <c r="P18" s="14"/>
      <c r="Q18" s="14"/>
      <c r="R18" s="14"/>
      <c r="S18" s="14"/>
      <c r="T18" s="14"/>
      <c r="U18" s="14"/>
      <c r="V18" s="14"/>
      <c r="AD18" s="149"/>
    </row>
    <row r="19" spans="2:30" s="108" customFormat="1" ht="16.5" customHeight="1">
      <c r="B19" s="316"/>
      <c r="C19" s="110"/>
      <c r="D19" s="580"/>
      <c r="E19" s="581"/>
      <c r="F19" s="310"/>
      <c r="G19" s="110"/>
      <c r="H19" s="110"/>
      <c r="I19" s="110"/>
      <c r="J19" s="601"/>
      <c r="K19" s="110"/>
      <c r="L19" s="110"/>
      <c r="M19" s="110"/>
      <c r="P19" s="110"/>
      <c r="Q19" s="110"/>
      <c r="R19" s="110"/>
      <c r="S19" s="110"/>
      <c r="T19" s="110"/>
      <c r="U19" s="110"/>
      <c r="V19" s="110"/>
      <c r="W19"/>
      <c r="AD19" s="602"/>
    </row>
    <row r="20" spans="2:30" s="108" customFormat="1" ht="16.5" customHeight="1">
      <c r="B20" s="316"/>
      <c r="C20" s="110"/>
      <c r="D20" s="582" t="s">
        <v>127</v>
      </c>
      <c r="F20" s="633">
        <v>56.353</v>
      </c>
      <c r="G20" s="582" t="s">
        <v>128</v>
      </c>
      <c r="H20" s="110"/>
      <c r="I20" s="110"/>
      <c r="J20" s="300"/>
      <c r="K20" s="584" t="s">
        <v>129</v>
      </c>
      <c r="L20" s="585">
        <v>0.0065</v>
      </c>
      <c r="R20" s="110"/>
      <c r="S20" s="110"/>
      <c r="T20" s="110"/>
      <c r="U20" s="110"/>
      <c r="V20" s="110"/>
      <c r="W20"/>
      <c r="AD20" s="602"/>
    </row>
    <row r="21" spans="2:30" s="108" customFormat="1" ht="16.5" customHeight="1">
      <c r="B21" s="316"/>
      <c r="C21" s="110"/>
      <c r="D21" s="714" t="s">
        <v>169</v>
      </c>
      <c r="E21" s="714"/>
      <c r="F21" s="583">
        <f>'[2]LIN-YACY'!E14</f>
        <v>4115541</v>
      </c>
      <c r="G21" s="583"/>
      <c r="H21" s="110"/>
      <c r="I21" s="110"/>
      <c r="J21" s="110"/>
      <c r="K21" s="580" t="s">
        <v>132</v>
      </c>
      <c r="L21" s="110">
        <f>MID(B14,16,2)*24</f>
        <v>744</v>
      </c>
      <c r="M21" s="110" t="s">
        <v>133</v>
      </c>
      <c r="N21" s="110"/>
      <c r="O21" s="762"/>
      <c r="P21" s="763"/>
      <c r="Q21" s="14"/>
      <c r="R21" s="110"/>
      <c r="S21" s="110"/>
      <c r="T21" s="110"/>
      <c r="U21" s="110"/>
      <c r="V21" s="110"/>
      <c r="W21"/>
      <c r="AD21" s="602"/>
    </row>
    <row r="22" spans="2:30" s="108" customFormat="1" ht="16.5" customHeight="1">
      <c r="B22" s="316"/>
      <c r="C22" s="110"/>
      <c r="D22" s="110"/>
      <c r="E22" s="312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/>
      <c r="AD22" s="602"/>
    </row>
    <row r="23" spans="1:30" ht="16.5" customHeight="1">
      <c r="A23" s="16"/>
      <c r="B23" s="126"/>
      <c r="C23" s="611" t="s">
        <v>135</v>
      </c>
      <c r="D23" s="109" t="s">
        <v>136</v>
      </c>
      <c r="I23" s="14"/>
      <c r="J23" s="108"/>
      <c r="O23" s="14"/>
      <c r="P23" s="14"/>
      <c r="Q23" s="14"/>
      <c r="R23" s="14"/>
      <c r="S23" s="14"/>
      <c r="T23" s="14"/>
      <c r="V23" s="14"/>
      <c r="X23" s="14"/>
      <c r="Y23" s="14"/>
      <c r="Z23" s="14"/>
      <c r="AA23" s="14"/>
      <c r="AB23" s="14"/>
      <c r="AC23" s="14"/>
      <c r="AD23" s="149"/>
    </row>
    <row r="24" spans="1:30" ht="10.5" customHeight="1" thickBot="1">
      <c r="A24" s="16"/>
      <c r="B24" s="126"/>
      <c r="C24" s="2"/>
      <c r="D24" s="109"/>
      <c r="I24" s="14"/>
      <c r="J24" s="108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49"/>
    </row>
    <row r="25" spans="2:30" s="108" customFormat="1" ht="16.5" customHeight="1" thickBot="1" thickTop="1">
      <c r="B25" s="316"/>
      <c r="C25" s="310"/>
      <c r="D25"/>
      <c r="E25"/>
      <c r="F25"/>
      <c r="G25"/>
      <c r="H25"/>
      <c r="I25"/>
      <c r="J25" s="645" t="s">
        <v>137</v>
      </c>
      <c r="K25" s="646">
        <f>F21*L20</f>
        <v>26751.016499999998</v>
      </c>
      <c r="L25"/>
      <c r="S25"/>
      <c r="T25"/>
      <c r="U25"/>
      <c r="W25"/>
      <c r="AD25" s="602"/>
    </row>
    <row r="26" spans="2:30" s="108" customFormat="1" ht="11.25" customHeight="1" thickTop="1">
      <c r="B26" s="316"/>
      <c r="C26" s="310"/>
      <c r="D26" s="110"/>
      <c r="E26" s="312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/>
      <c r="W26"/>
      <c r="AD26" s="602"/>
    </row>
    <row r="27" spans="1:30" ht="16.5" customHeight="1">
      <c r="A27" s="16"/>
      <c r="B27" s="126"/>
      <c r="C27" s="611" t="s">
        <v>138</v>
      </c>
      <c r="D27" s="109" t="s">
        <v>139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AD27" s="149"/>
    </row>
    <row r="28" spans="1:30" ht="21.75" customHeight="1" thickBot="1">
      <c r="A28" s="16"/>
      <c r="B28" s="126"/>
      <c r="C28" s="14"/>
      <c r="D28" s="14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49"/>
    </row>
    <row r="29" spans="2:31" s="16" customFormat="1" ht="33.75" customHeight="1" thickBot="1" thickTop="1">
      <c r="B29" s="126"/>
      <c r="C29" s="166" t="s">
        <v>72</v>
      </c>
      <c r="D29" s="366" t="s">
        <v>53</v>
      </c>
      <c r="E29" s="171" t="s">
        <v>73</v>
      </c>
      <c r="F29" s="172" t="s">
        <v>74</v>
      </c>
      <c r="G29" s="167" t="s">
        <v>75</v>
      </c>
      <c r="H29" s="443" t="s">
        <v>76</v>
      </c>
      <c r="I29" s="499" t="s">
        <v>77</v>
      </c>
      <c r="J29" s="168" t="s">
        <v>78</v>
      </c>
      <c r="K29" s="169" t="s">
        <v>79</v>
      </c>
      <c r="L29" s="173" t="s">
        <v>80</v>
      </c>
      <c r="M29" s="174" t="s">
        <v>81</v>
      </c>
      <c r="N29" s="173" t="s">
        <v>140</v>
      </c>
      <c r="O29" s="173" t="s">
        <v>83</v>
      </c>
      <c r="P29" s="169" t="s">
        <v>84</v>
      </c>
      <c r="Q29" s="168" t="s">
        <v>85</v>
      </c>
      <c r="R29" s="556" t="s">
        <v>86</v>
      </c>
      <c r="S29" s="557" t="s">
        <v>87</v>
      </c>
      <c r="T29" s="552" t="s">
        <v>99</v>
      </c>
      <c r="U29" s="553"/>
      <c r="V29" s="554"/>
      <c r="W29" s="558" t="s">
        <v>141</v>
      </c>
      <c r="X29" s="559"/>
      <c r="Y29" s="560"/>
      <c r="Z29" s="562" t="s">
        <v>90</v>
      </c>
      <c r="AA29" s="564" t="s">
        <v>97</v>
      </c>
      <c r="AB29" s="175" t="s">
        <v>92</v>
      </c>
      <c r="AC29" s="210" t="s">
        <v>93</v>
      </c>
      <c r="AD29" s="153"/>
      <c r="AE29"/>
    </row>
    <row r="30" spans="1:30" ht="16.5" customHeight="1" thickTop="1">
      <c r="A30" s="16"/>
      <c r="B30" s="126"/>
      <c r="C30" s="302"/>
      <c r="D30" s="302"/>
      <c r="E30" s="303"/>
      <c r="F30" s="304"/>
      <c r="G30" s="547"/>
      <c r="H30" s="548"/>
      <c r="I30" s="549"/>
      <c r="J30" s="544"/>
      <c r="K30" s="305"/>
      <c r="L30" s="20"/>
      <c r="M30" s="20"/>
      <c r="N30" s="81"/>
      <c r="O30" s="81"/>
      <c r="P30" s="20"/>
      <c r="Q30" s="442"/>
      <c r="R30" s="647"/>
      <c r="S30" s="648"/>
      <c r="T30" s="649"/>
      <c r="U30" s="608"/>
      <c r="V30" s="650"/>
      <c r="W30" s="651"/>
      <c r="X30" s="652"/>
      <c r="Y30" s="653"/>
      <c r="Z30" s="654"/>
      <c r="AA30" s="655"/>
      <c r="AB30" s="656"/>
      <c r="AC30" s="657"/>
      <c r="AD30" s="149"/>
    </row>
    <row r="31" spans="1:30" ht="16.5" customHeight="1">
      <c r="A31" s="16"/>
      <c r="B31" s="126"/>
      <c r="C31" s="20" t="s">
        <v>215</v>
      </c>
      <c r="D31" s="20" t="s">
        <v>186</v>
      </c>
      <c r="E31" s="23">
        <v>500</v>
      </c>
      <c r="F31" s="22">
        <v>227</v>
      </c>
      <c r="G31" s="438" t="s">
        <v>4</v>
      </c>
      <c r="H31" s="545">
        <f>IF(G31="A",200,IF(G31="B",60,20))</f>
        <v>200</v>
      </c>
      <c r="I31" s="542">
        <f>IF(F31&gt;100,F31,100)*$F$20/100</f>
        <v>127.92131</v>
      </c>
      <c r="J31" s="546">
        <v>37987</v>
      </c>
      <c r="K31" s="25">
        <v>37989.79652777778</v>
      </c>
      <c r="L31" s="658">
        <f>IF(D31="","",(K31-J31)*24)</f>
        <v>67.1166666666395</v>
      </c>
      <c r="M31" s="31">
        <f>IF(D31="","",ROUND((K31-J31)*24*60,0))</f>
        <v>4027</v>
      </c>
      <c r="N31" s="796" t="s">
        <v>222</v>
      </c>
      <c r="O31" s="29" t="str">
        <f>IF(D31="","","--")</f>
        <v>--</v>
      </c>
      <c r="P31" s="24" t="str">
        <f>IF(D31="","","NO")</f>
        <v>NO</v>
      </c>
      <c r="Q31" s="24" t="str">
        <f>IF(D31="","",IF(OR(N31="P",N31="RP"),"--","NO"))</f>
        <v>NO</v>
      </c>
      <c r="R31" s="659" t="str">
        <f>IF(N31="P",+I31*H31*ROUND(M31/60,2)/100,"--")</f>
        <v>--</v>
      </c>
      <c r="S31" s="660" t="str">
        <f>IF(N31="RP",I31*H31*ROUND(M31/60,2)*0.01*O31/100,"--")</f>
        <v>--</v>
      </c>
      <c r="T31" s="661" t="str">
        <f>IF(AND(N31="F",Q31="NO"),IF(P31="SI",1.2,1)*I31*H31,"--")</f>
        <v>--</v>
      </c>
      <c r="U31" s="662" t="str">
        <f>IF(AND(M31&gt;10,N31="F"),IF(M31&lt;=300,ROUND(M31/60,2),5)*I31*H31*IF(P31="SI",1.2,1),"--")</f>
        <v>--</v>
      </c>
      <c r="V31" s="663" t="str">
        <f>IF(AND(N31="F",M31&gt;300),IF(P31="SI",1.2,1)*(ROUND(M31/60,2)-5)*I31*H31*0.1,"--")</f>
        <v>--</v>
      </c>
      <c r="W31" s="664" t="str">
        <f>IF(AND(N31="R",Q31="NO"),IF(P31="SI",1.2,1)*I31*H31*O31/100,"--")</f>
        <v>--</v>
      </c>
      <c r="X31" s="665" t="str">
        <f>IF(AND(M31&gt;10,N31="R"),IF(M31&lt;=300,ROUND(M31/60,2),5)*I31*H31*O31/100*IF(P31="SI",1.2,1),"--")</f>
        <v>--</v>
      </c>
      <c r="Y31" s="666" t="str">
        <f>IF(AND(N31="R",M31&gt;300),IF(P31="SI",1.2,1)*(ROUND(M31/60,2)-5)*I31*H31*O31/100*0.1,"--")</f>
        <v>--</v>
      </c>
      <c r="Z31" s="667">
        <f>IF(N31="RF",IF(P31="SI",1.2,1)*ROUND(M31/60,2)*I31*H31*0.1,"--")</f>
        <v>171721.56654400003</v>
      </c>
      <c r="AA31" s="668" t="str">
        <f>IF(N31="RR",IF(P31="SI",1.2,1)*ROUND(M31/60,2)*I31*H31*O31/100*0.1,"--")</f>
        <v>--</v>
      </c>
      <c r="AB31" s="353" t="str">
        <f>IF(D31="","","SI")</f>
        <v>SI</v>
      </c>
      <c r="AC31" s="30">
        <v>0</v>
      </c>
      <c r="AD31" s="154"/>
    </row>
    <row r="32" spans="1:30" ht="16.5" customHeight="1" thickBot="1">
      <c r="A32" s="108"/>
      <c r="B32" s="126"/>
      <c r="C32" s="301"/>
      <c r="D32" s="301"/>
      <c r="E32" s="306"/>
      <c r="F32" s="307"/>
      <c r="G32" s="308"/>
      <c r="H32" s="541"/>
      <c r="I32" s="543"/>
      <c r="J32" s="309"/>
      <c r="K32" s="309"/>
      <c r="L32" s="33"/>
      <c r="M32" s="33"/>
      <c r="N32" s="33"/>
      <c r="O32" s="34"/>
      <c r="P32" s="33"/>
      <c r="Q32" s="33"/>
      <c r="R32" s="669"/>
      <c r="S32" s="670"/>
      <c r="T32" s="671"/>
      <c r="U32" s="672"/>
      <c r="V32" s="673"/>
      <c r="W32" s="674"/>
      <c r="X32" s="675"/>
      <c r="Y32" s="676"/>
      <c r="Z32" s="677"/>
      <c r="AA32" s="678"/>
      <c r="AB32" s="35"/>
      <c r="AC32" s="679"/>
      <c r="AD32" s="154"/>
    </row>
    <row r="33" spans="1:30" ht="16.5" customHeight="1" thickBot="1" thickTop="1">
      <c r="A33" s="108"/>
      <c r="B33" s="126"/>
      <c r="C33" s="310"/>
      <c r="D33" s="310"/>
      <c r="E33" s="311"/>
      <c r="F33" s="312"/>
      <c r="G33" s="299"/>
      <c r="H33" s="299"/>
      <c r="I33" s="313"/>
      <c r="J33" s="313"/>
      <c r="K33" s="313"/>
      <c r="L33" s="313"/>
      <c r="M33" s="313"/>
      <c r="N33" s="313"/>
      <c r="O33" s="314"/>
      <c r="P33" s="313"/>
      <c r="Q33" s="313"/>
      <c r="R33" s="550">
        <f aca="true" t="shared" si="0" ref="R33:AA33">SUM(R30:R32)</f>
        <v>0</v>
      </c>
      <c r="S33" s="551">
        <f t="shared" si="0"/>
        <v>0</v>
      </c>
      <c r="T33" s="555">
        <f t="shared" si="0"/>
        <v>0</v>
      </c>
      <c r="U33" s="555">
        <f t="shared" si="0"/>
        <v>0</v>
      </c>
      <c r="V33" s="555">
        <f t="shared" si="0"/>
        <v>0</v>
      </c>
      <c r="W33" s="561">
        <f t="shared" si="0"/>
        <v>0</v>
      </c>
      <c r="X33" s="561">
        <f t="shared" si="0"/>
        <v>0</v>
      </c>
      <c r="Y33" s="561">
        <f t="shared" si="0"/>
        <v>0</v>
      </c>
      <c r="Z33" s="563">
        <f t="shared" si="0"/>
        <v>171721.56654400003</v>
      </c>
      <c r="AA33" s="565">
        <f t="shared" si="0"/>
        <v>0</v>
      </c>
      <c r="AB33" s="315"/>
      <c r="AC33" s="680">
        <f>SUM(AC30:AC32)</f>
        <v>0</v>
      </c>
      <c r="AD33" s="154"/>
    </row>
    <row r="34" spans="1:30" ht="13.5" customHeight="1" hidden="1" thickBot="1" thickTop="1">
      <c r="A34" s="108"/>
      <c r="B34" s="126"/>
      <c r="C34" s="310"/>
      <c r="D34" s="310"/>
      <c r="E34" s="311"/>
      <c r="F34" s="312"/>
      <c r="G34" s="299"/>
      <c r="H34" s="299"/>
      <c r="I34" s="313"/>
      <c r="J34" s="313"/>
      <c r="K34" s="313"/>
      <c r="L34" s="313"/>
      <c r="M34" s="313"/>
      <c r="N34" s="313"/>
      <c r="O34" s="314"/>
      <c r="P34" s="313"/>
      <c r="Q34" s="313"/>
      <c r="R34" s="681"/>
      <c r="S34" s="682"/>
      <c r="T34" s="683"/>
      <c r="U34" s="683"/>
      <c r="V34" s="683"/>
      <c r="W34" s="681"/>
      <c r="X34" s="681"/>
      <c r="Y34" s="681"/>
      <c r="Z34" s="681"/>
      <c r="AA34" s="681"/>
      <c r="AB34" s="604"/>
      <c r="AC34" s="341"/>
      <c r="AD34" s="154"/>
    </row>
    <row r="35" spans="1:33" s="16" customFormat="1" ht="33.75" customHeight="1" hidden="1" thickBot="1" thickTop="1">
      <c r="A35" s="64"/>
      <c r="B35" s="182"/>
      <c r="C35" s="205" t="s">
        <v>72</v>
      </c>
      <c r="D35" s="208" t="s">
        <v>105</v>
      </c>
      <c r="E35" s="206" t="s">
        <v>45</v>
      </c>
      <c r="F35" s="209" t="s">
        <v>106</v>
      </c>
      <c r="G35" s="210" t="s">
        <v>73</v>
      </c>
      <c r="H35" s="350" t="s">
        <v>77</v>
      </c>
      <c r="I35" s="684"/>
      <c r="J35" s="206" t="s">
        <v>78</v>
      </c>
      <c r="K35" s="206" t="s">
        <v>79</v>
      </c>
      <c r="L35" s="208" t="s">
        <v>107</v>
      </c>
      <c r="M35" s="208" t="s">
        <v>81</v>
      </c>
      <c r="N35" s="173" t="s">
        <v>122</v>
      </c>
      <c r="O35" s="206" t="s">
        <v>85</v>
      </c>
      <c r="P35" s="685" t="s">
        <v>108</v>
      </c>
      <c r="Q35" s="686"/>
      <c r="R35" s="350" t="s">
        <v>142</v>
      </c>
      <c r="S35" s="594" t="s">
        <v>86</v>
      </c>
      <c r="T35" s="586" t="s">
        <v>143</v>
      </c>
      <c r="U35" s="587"/>
      <c r="V35" s="597" t="s">
        <v>90</v>
      </c>
      <c r="W35" s="687"/>
      <c r="X35" s="688"/>
      <c r="Y35" s="688"/>
      <c r="Z35" s="688"/>
      <c r="AA35" s="689"/>
      <c r="AB35" s="176" t="s">
        <v>92</v>
      </c>
      <c r="AC35" s="210" t="s">
        <v>93</v>
      </c>
      <c r="AD35" s="149"/>
      <c r="AF35"/>
      <c r="AG35"/>
    </row>
    <row r="36" spans="1:30" ht="16.5" customHeight="1" hidden="1" thickTop="1">
      <c r="A36" s="16"/>
      <c r="B36" s="126"/>
      <c r="C36" s="47"/>
      <c r="D36" s="47"/>
      <c r="E36" s="47"/>
      <c r="F36" s="47"/>
      <c r="G36" s="369"/>
      <c r="H36" s="567"/>
      <c r="I36" s="690"/>
      <c r="J36" s="47"/>
      <c r="K36" s="47"/>
      <c r="L36" s="47"/>
      <c r="M36" s="47"/>
      <c r="N36" s="47"/>
      <c r="O36" s="370"/>
      <c r="P36" s="691"/>
      <c r="Q36" s="692"/>
      <c r="R36" s="598"/>
      <c r="S36" s="599"/>
      <c r="T36" s="588"/>
      <c r="U36" s="589"/>
      <c r="V36" s="600"/>
      <c r="W36" s="693"/>
      <c r="X36" s="694"/>
      <c r="Y36" s="694"/>
      <c r="Z36" s="694"/>
      <c r="AA36" s="695"/>
      <c r="AB36" s="370"/>
      <c r="AC36" s="371"/>
      <c r="AD36" s="149"/>
    </row>
    <row r="37" spans="1:30" ht="16.5" customHeight="1" hidden="1">
      <c r="A37" s="16"/>
      <c r="B37" s="126"/>
      <c r="C37" s="47"/>
      <c r="D37" s="48"/>
      <c r="E37" s="49"/>
      <c r="F37" s="50"/>
      <c r="G37" s="51"/>
      <c r="H37" s="568" t="e">
        <f>F37*#REF!</f>
        <v>#REF!</v>
      </c>
      <c r="I37" s="696"/>
      <c r="J37" s="54"/>
      <c r="K37" s="54"/>
      <c r="L37" s="55">
        <f>IF(D37="","",(K37-J37)*24)</f>
      </c>
      <c r="M37" s="56">
        <f>IF(D37="","",(K37-J37)*24*60)</f>
      </c>
      <c r="N37" s="52"/>
      <c r="O37" s="57">
        <f>IF(D37="","",IF(N37="P","--","NO"))</f>
      </c>
      <c r="P37" s="697">
        <f>IF(D37="","","NO")</f>
      </c>
      <c r="Q37" s="698"/>
      <c r="R37" s="535">
        <f>200*IF(P37="SI",1,0.1)*IF(N37="P",0.1,1)</f>
        <v>20</v>
      </c>
      <c r="S37" s="595" t="str">
        <f>IF(N37="P",H37*R37*ROUND(M37/60,2),"--")</f>
        <v>--</v>
      </c>
      <c r="T37" s="590" t="str">
        <f>IF(AND(N37="F",O37="NO"),H37*R37,"--")</f>
        <v>--</v>
      </c>
      <c r="U37" s="591" t="str">
        <f>IF(N37="F",H37*R37*ROUND(M37/60,2),"--")</f>
        <v>--</v>
      </c>
      <c r="V37" s="514" t="str">
        <f>IF(N37="RF",H37*R37*ROUND(M37/60,2),"--")</f>
        <v>--</v>
      </c>
      <c r="W37" s="699"/>
      <c r="X37" s="700"/>
      <c r="Y37" s="700"/>
      <c r="Z37" s="700"/>
      <c r="AA37" s="701"/>
      <c r="AB37" s="58">
        <f>IF(D37="","","SI")</f>
      </c>
      <c r="AC37" s="212">
        <f>IF(D37="","",SUM(S37:V37)*IF(AB37="SI",1,2))</f>
      </c>
      <c r="AD37" s="154"/>
    </row>
    <row r="38" spans="1:30" ht="16.5" customHeight="1" hidden="1">
      <c r="A38" s="16"/>
      <c r="B38" s="126"/>
      <c r="C38" s="47"/>
      <c r="D38" s="48"/>
      <c r="E38" s="49"/>
      <c r="F38" s="50"/>
      <c r="G38" s="51"/>
      <c r="H38" s="568" t="e">
        <f>F38*#REF!</f>
        <v>#REF!</v>
      </c>
      <c r="I38" s="696"/>
      <c r="J38" s="53"/>
      <c r="K38" s="54"/>
      <c r="L38" s="55">
        <f>IF(D38="","",(K38-J38)*24)</f>
      </c>
      <c r="M38" s="56">
        <f>IF(D38="","",(K38-J38)*24*60)</f>
      </c>
      <c r="N38" s="52"/>
      <c r="O38" s="57">
        <f>IF(D38="","",IF(N38="P","--","NO"))</f>
      </c>
      <c r="P38" s="697">
        <f>IF(D38="","","NO")</f>
      </c>
      <c r="Q38" s="698"/>
      <c r="R38" s="535">
        <f>200*IF(P38="SI",1,0.1)*IF(N38="P",0.1,1)</f>
        <v>20</v>
      </c>
      <c r="S38" s="595" t="str">
        <f>IF(N38="P",H38*R38*ROUND(M38/60,2),"--")</f>
        <v>--</v>
      </c>
      <c r="T38" s="590" t="str">
        <f>IF(AND(N38="F",O38="NO"),H38*R38,"--")</f>
        <v>--</v>
      </c>
      <c r="U38" s="591" t="str">
        <f>IF(N38="F",H38*R38*ROUND(M38/60,2),"--")</f>
        <v>--</v>
      </c>
      <c r="V38" s="514" t="str">
        <f>IF(N38="RF",H38*R38*ROUND(M38/60,2),"--")</f>
        <v>--</v>
      </c>
      <c r="W38" s="699"/>
      <c r="X38" s="700"/>
      <c r="Y38" s="700"/>
      <c r="Z38" s="700"/>
      <c r="AA38" s="701"/>
      <c r="AB38" s="58">
        <f>IF(D38="","","SI")</f>
      </c>
      <c r="AC38" s="212">
        <f>IF(D38="","",SUM(S38:V38)*IF(AB38="SI",1,2))</f>
      </c>
      <c r="AD38" s="154"/>
    </row>
    <row r="39" spans="1:30" ht="16.5" customHeight="1" hidden="1">
      <c r="A39" s="16"/>
      <c r="B39" s="126"/>
      <c r="C39" s="47"/>
      <c r="D39" s="48"/>
      <c r="E39" s="49"/>
      <c r="F39" s="50"/>
      <c r="G39" s="51"/>
      <c r="H39" s="568" t="e">
        <f>F39*#REF!</f>
        <v>#REF!</v>
      </c>
      <c r="I39" s="696"/>
      <c r="J39" s="53"/>
      <c r="K39" s="54"/>
      <c r="L39" s="55">
        <f>IF(D39="","",(K39-J39)*24)</f>
      </c>
      <c r="M39" s="56">
        <f>IF(D39="","",(K39-J39)*24*60)</f>
      </c>
      <c r="N39" s="52"/>
      <c r="O39" s="57">
        <f>IF(D39="","",IF(N39="P","--","NO"))</f>
      </c>
      <c r="P39" s="697">
        <f>IF(D39="","","NO")</f>
      </c>
      <c r="Q39" s="698"/>
      <c r="R39" s="535">
        <f>200*IF(P39="SI",1,0.1)*IF(N39="P",0.1,1)</f>
        <v>20</v>
      </c>
      <c r="S39" s="595" t="str">
        <f>IF(N39="P",H39*R39*ROUND(M39/60,2),"--")</f>
        <v>--</v>
      </c>
      <c r="T39" s="590" t="str">
        <f>IF(AND(N39="F",O39="NO"),H39*R39,"--")</f>
        <v>--</v>
      </c>
      <c r="U39" s="591" t="str">
        <f>IF(N39="F",H39*R39*ROUND(M39/60,2),"--")</f>
        <v>--</v>
      </c>
      <c r="V39" s="514" t="str">
        <f>IF(N39="RF",H39*R39*ROUND(M39/60,2),"--")</f>
        <v>--</v>
      </c>
      <c r="W39" s="699"/>
      <c r="X39" s="700"/>
      <c r="Y39" s="700"/>
      <c r="Z39" s="700"/>
      <c r="AA39" s="701"/>
      <c r="AB39" s="58">
        <f>IF(D39="","","SI")</f>
      </c>
      <c r="AC39" s="212">
        <f>IF(D39="","",SUM(S39:V39)*IF(AB39="SI",1,2))</f>
      </c>
      <c r="AD39" s="154"/>
    </row>
    <row r="40" spans="1:30" ht="16.5" customHeight="1" hidden="1">
      <c r="A40" s="16"/>
      <c r="B40" s="126"/>
      <c r="C40" s="47"/>
      <c r="D40" s="48"/>
      <c r="E40" s="49"/>
      <c r="F40" s="50"/>
      <c r="G40" s="51"/>
      <c r="H40" s="568" t="e">
        <f>F40*#REF!</f>
        <v>#REF!</v>
      </c>
      <c r="I40" s="696"/>
      <c r="J40" s="53"/>
      <c r="K40" s="54"/>
      <c r="L40" s="55">
        <f>IF(D40="","",(K40-J40)*24)</f>
      </c>
      <c r="M40" s="56">
        <f>IF(D40="","",(K40-J40)*24*60)</f>
      </c>
      <c r="N40" s="52"/>
      <c r="O40" s="57">
        <f>IF(D40="","",IF(N40="P","--","NO"))</f>
      </c>
      <c r="P40" s="697">
        <f>IF(D40="","","NO")</f>
      </c>
      <c r="Q40" s="698"/>
      <c r="R40" s="535">
        <f>200*IF(P40="SI",1,0.1)*IF(N40="P",0.1,1)</f>
        <v>20</v>
      </c>
      <c r="S40" s="595" t="str">
        <f>IF(N40="P",H40*R40*ROUND(M40/60,2),"--")</f>
        <v>--</v>
      </c>
      <c r="T40" s="590" t="str">
        <f>IF(AND(N40="F",O40="NO"),H40*R40,"--")</f>
        <v>--</v>
      </c>
      <c r="U40" s="591" t="str">
        <f>IF(N40="F",H40*R40*ROUND(M40/60,2),"--")</f>
        <v>--</v>
      </c>
      <c r="V40" s="514" t="str">
        <f>IF(N40="RF",H40*R40*ROUND(M40/60,2),"--")</f>
        <v>--</v>
      </c>
      <c r="W40" s="699"/>
      <c r="X40" s="700"/>
      <c r="Y40" s="700"/>
      <c r="Z40" s="700"/>
      <c r="AA40" s="701"/>
      <c r="AB40" s="58">
        <f>IF(D40="","","SI")</f>
      </c>
      <c r="AC40" s="212">
        <f>IF(D40="","",SUM(S40:V40)*IF(AB40="SI",1,2))</f>
      </c>
      <c r="AD40" s="154"/>
    </row>
    <row r="41" spans="1:30" ht="16.5" customHeight="1" hidden="1" thickBot="1">
      <c r="A41" s="108"/>
      <c r="B41" s="126"/>
      <c r="C41" s="59"/>
      <c r="D41" s="372"/>
      <c r="E41" s="373"/>
      <c r="F41" s="374"/>
      <c r="G41" s="375"/>
      <c r="H41" s="569"/>
      <c r="I41" s="702"/>
      <c r="J41" s="376"/>
      <c r="K41" s="377"/>
      <c r="L41" s="378"/>
      <c r="M41" s="379"/>
      <c r="N41" s="60"/>
      <c r="O41" s="33"/>
      <c r="P41" s="703"/>
      <c r="Q41" s="704"/>
      <c r="R41" s="536"/>
      <c r="S41" s="596"/>
      <c r="T41" s="592"/>
      <c r="U41" s="593"/>
      <c r="V41" s="540"/>
      <c r="W41" s="705"/>
      <c r="X41" s="706"/>
      <c r="Y41" s="706"/>
      <c r="Z41" s="706"/>
      <c r="AA41" s="707"/>
      <c r="AB41" s="380"/>
      <c r="AC41" s="381"/>
      <c r="AD41" s="154"/>
    </row>
    <row r="42" spans="1:30" ht="16.5" customHeight="1" hidden="1" thickBot="1" thickTop="1">
      <c r="A42" s="108"/>
      <c r="B42" s="126"/>
      <c r="C42" s="183"/>
      <c r="D42" s="1"/>
      <c r="E42" s="1"/>
      <c r="F42" s="245"/>
      <c r="G42" s="382"/>
      <c r="H42" s="383"/>
      <c r="I42" s="384"/>
      <c r="J42" s="385"/>
      <c r="K42" s="386"/>
      <c r="L42" s="387"/>
      <c r="M42" s="383"/>
      <c r="N42" s="388"/>
      <c r="O42" s="39"/>
      <c r="P42" s="389"/>
      <c r="Q42" s="390"/>
      <c r="R42" s="391"/>
      <c r="S42" s="391"/>
      <c r="T42" s="391"/>
      <c r="U42" s="345"/>
      <c r="V42" s="345"/>
      <c r="W42" s="345"/>
      <c r="X42" s="345"/>
      <c r="Y42" s="345"/>
      <c r="Z42" s="345"/>
      <c r="AA42" s="345"/>
      <c r="AB42" s="345"/>
      <c r="AC42" s="392">
        <f>SUM(AC36:AC41)</f>
        <v>0</v>
      </c>
      <c r="AD42" s="154"/>
    </row>
    <row r="43" spans="1:30" ht="16.5" customHeight="1" thickBot="1" thickTop="1">
      <c r="A43" s="108"/>
      <c r="B43" s="126"/>
      <c r="C43" s="183"/>
      <c r="D43" s="1"/>
      <c r="E43" s="1"/>
      <c r="F43" s="245"/>
      <c r="G43" s="382"/>
      <c r="H43" s="383"/>
      <c r="I43" s="384"/>
      <c r="J43" s="645" t="s">
        <v>144</v>
      </c>
      <c r="K43" s="646">
        <f>+AC42+AC33</f>
        <v>0</v>
      </c>
      <c r="L43" s="387"/>
      <c r="M43" s="383"/>
      <c r="N43" s="708"/>
      <c r="O43" s="709"/>
      <c r="P43" s="389"/>
      <c r="Q43" s="390"/>
      <c r="R43" s="391"/>
      <c r="S43" s="391"/>
      <c r="T43" s="391"/>
      <c r="U43" s="345"/>
      <c r="V43" s="345"/>
      <c r="W43" s="345"/>
      <c r="X43" s="345"/>
      <c r="Y43" s="345"/>
      <c r="Z43" s="345"/>
      <c r="AA43" s="345"/>
      <c r="AB43" s="345"/>
      <c r="AC43" s="710"/>
      <c r="AD43" s="154"/>
    </row>
    <row r="44" spans="1:30" ht="13.5" customHeight="1" thickTop="1">
      <c r="A44" s="108"/>
      <c r="B44" s="316"/>
      <c r="C44" s="310"/>
      <c r="D44" s="317"/>
      <c r="E44" s="318"/>
      <c r="F44" s="319"/>
      <c r="G44" s="320"/>
      <c r="H44" s="320"/>
      <c r="I44" s="318"/>
      <c r="J44" s="298"/>
      <c r="K44" s="298"/>
      <c r="L44" s="318"/>
      <c r="M44" s="318"/>
      <c r="N44" s="318"/>
      <c r="O44" s="321"/>
      <c r="P44" s="318"/>
      <c r="Q44" s="318"/>
      <c r="R44" s="322"/>
      <c r="S44" s="323"/>
      <c r="T44" s="323"/>
      <c r="U44" s="324"/>
      <c r="AC44" s="324"/>
      <c r="AD44" s="327"/>
    </row>
    <row r="45" spans="1:30" ht="16.5" customHeight="1">
      <c r="A45" s="108"/>
      <c r="B45" s="316"/>
      <c r="C45" s="328" t="s">
        <v>145</v>
      </c>
      <c r="D45" s="329" t="s">
        <v>146</v>
      </c>
      <c r="E45" s="318"/>
      <c r="F45" s="319"/>
      <c r="G45" s="320"/>
      <c r="H45" s="320"/>
      <c r="I45" s="318"/>
      <c r="J45" s="298"/>
      <c r="K45" s="298"/>
      <c r="L45" s="318"/>
      <c r="M45" s="318"/>
      <c r="N45" s="318"/>
      <c r="O45" s="321"/>
      <c r="P45" s="318"/>
      <c r="Q45" s="318"/>
      <c r="R45" s="322"/>
      <c r="S45" s="323"/>
      <c r="T45" s="323"/>
      <c r="U45" s="324"/>
      <c r="AC45" s="324"/>
      <c r="AD45" s="327"/>
    </row>
    <row r="46" spans="1:30" ht="16.5" customHeight="1">
      <c r="A46" s="108"/>
      <c r="B46" s="316"/>
      <c r="C46" s="328"/>
      <c r="D46" s="317"/>
      <c r="E46" s="318"/>
      <c r="F46" s="319"/>
      <c r="G46" s="320"/>
      <c r="H46" s="320"/>
      <c r="I46" s="318"/>
      <c r="J46" s="298"/>
      <c r="K46" s="298"/>
      <c r="L46" s="318"/>
      <c r="M46" s="318"/>
      <c r="N46" s="318"/>
      <c r="O46" s="321"/>
      <c r="P46" s="318"/>
      <c r="Q46" s="318"/>
      <c r="R46" s="318"/>
      <c r="S46" s="322"/>
      <c r="T46" s="323"/>
      <c r="AD46" s="327"/>
    </row>
    <row r="47" spans="2:30" s="108" customFormat="1" ht="16.5" customHeight="1">
      <c r="B47" s="316"/>
      <c r="C47" s="310"/>
      <c r="D47" s="338" t="s">
        <v>53</v>
      </c>
      <c r="E47" s="313" t="s">
        <v>147</v>
      </c>
      <c r="F47" s="313" t="s">
        <v>148</v>
      </c>
      <c r="G47" s="614" t="s">
        <v>149</v>
      </c>
      <c r="H47" s="314"/>
      <c r="I47" s="313"/>
      <c r="J47"/>
      <c r="K47" s="613" t="s">
        <v>150</v>
      </c>
      <c r="L47"/>
      <c r="M47"/>
      <c r="O47" s="613" t="s">
        <v>157</v>
      </c>
      <c r="P47" s="330"/>
      <c r="Q47" s="331"/>
      <c r="R47" s="332"/>
      <c r="S47" s="110"/>
      <c r="T47"/>
      <c r="U47"/>
      <c r="V47"/>
      <c r="W47"/>
      <c r="X47" s="110"/>
      <c r="Y47" s="110"/>
      <c r="Z47" s="110"/>
      <c r="AA47" s="110"/>
      <c r="AB47" s="110"/>
      <c r="AC47" s="711" t="s">
        <v>151</v>
      </c>
      <c r="AD47" s="327"/>
    </row>
    <row r="48" spans="2:30" s="108" customFormat="1" ht="16.5" customHeight="1">
      <c r="B48" s="316"/>
      <c r="C48" s="310"/>
      <c r="D48" s="313" t="s">
        <v>170</v>
      </c>
      <c r="E48" s="715">
        <v>267</v>
      </c>
      <c r="F48" s="393">
        <v>500</v>
      </c>
      <c r="G48" s="607">
        <f>E48*$F$20*$L$21/100</f>
        <v>111944.10744</v>
      </c>
      <c r="H48" s="607">
        <f>F48*$F$20*$L$21/100</f>
        <v>209633.16</v>
      </c>
      <c r="I48" s="607">
        <f>G48*$F$20*$L$21/100</f>
        <v>46934393.97205342</v>
      </c>
      <c r="J48" s="4"/>
      <c r="K48" s="607">
        <v>164392</v>
      </c>
      <c r="L48" s="4"/>
      <c r="M48" s="612" t="s">
        <v>223</v>
      </c>
      <c r="R48" s="332"/>
      <c r="S48" s="110"/>
      <c r="T48"/>
      <c r="U48"/>
      <c r="V48"/>
      <c r="W48"/>
      <c r="X48" s="110"/>
      <c r="Y48" s="110"/>
      <c r="Z48" s="110"/>
      <c r="AA48" s="110"/>
      <c r="AB48" s="712"/>
      <c r="AC48" s="583">
        <f>K48+G48</f>
        <v>276336.10744</v>
      </c>
      <c r="AD48" s="327"/>
    </row>
    <row r="49" spans="2:30" s="108" customFormat="1" ht="16.5" customHeight="1">
      <c r="B49" s="316"/>
      <c r="C49" s="310"/>
      <c r="D49" s="313" t="s">
        <v>171</v>
      </c>
      <c r="E49" s="715">
        <f>3*3.6</f>
        <v>10.8</v>
      </c>
      <c r="F49" s="393">
        <v>500</v>
      </c>
      <c r="G49" s="607">
        <f>E49*$F$20*$L$21/100</f>
        <v>4528.076256000001</v>
      </c>
      <c r="H49" s="334"/>
      <c r="I49" s="566"/>
      <c r="J49" s="4"/>
      <c r="K49" s="607">
        <v>3394</v>
      </c>
      <c r="L49" s="4"/>
      <c r="M49" s="612" t="s">
        <v>223</v>
      </c>
      <c r="O49" s="333"/>
      <c r="P49"/>
      <c r="Q49" s="332"/>
      <c r="R49" s="332"/>
      <c r="S49" s="110"/>
      <c r="T49"/>
      <c r="U49"/>
      <c r="V49"/>
      <c r="W49"/>
      <c r="X49" s="110"/>
      <c r="Y49" s="110"/>
      <c r="Z49" s="110"/>
      <c r="AA49" s="110"/>
      <c r="AB49" s="110"/>
      <c r="AC49" s="583">
        <f>K49+G49</f>
        <v>7922.076256000001</v>
      </c>
      <c r="AD49" s="327"/>
    </row>
    <row r="50" spans="2:30" s="108" customFormat="1" ht="16.5" customHeight="1">
      <c r="B50" s="316"/>
      <c r="C50" s="310"/>
      <c r="E50" s="300"/>
      <c r="F50" s="313"/>
      <c r="G50" s="314"/>
      <c r="H50"/>
      <c r="I50" s="313"/>
      <c r="J50" s="313"/>
      <c r="K50"/>
      <c r="L50" s="583"/>
      <c r="M50" s="331"/>
      <c r="N50" s="331"/>
      <c r="O50" s="609">
        <v>0</v>
      </c>
      <c r="P50" s="4"/>
      <c r="Q50" s="612" t="s">
        <v>223</v>
      </c>
      <c r="R50" s="332"/>
      <c r="S50" s="110"/>
      <c r="T50"/>
      <c r="U50"/>
      <c r="V50"/>
      <c r="W50"/>
      <c r="X50" s="110"/>
      <c r="Y50" s="110"/>
      <c r="Z50" s="110"/>
      <c r="AA50" s="110"/>
      <c r="AB50" s="110"/>
      <c r="AC50" s="716">
        <f>+O50</f>
        <v>0</v>
      </c>
      <c r="AD50" s="327"/>
    </row>
    <row r="51" spans="1:30" ht="16.5" customHeight="1">
      <c r="A51" s="108"/>
      <c r="B51" s="316"/>
      <c r="C51" s="310"/>
      <c r="D51" s="298"/>
      <c r="E51" s="300"/>
      <c r="F51" s="313"/>
      <c r="G51" s="313"/>
      <c r="H51" s="314"/>
      <c r="J51" s="313"/>
      <c r="L51" s="335"/>
      <c r="M51" s="331"/>
      <c r="N51" s="331"/>
      <c r="O51" s="332"/>
      <c r="P51" s="332"/>
      <c r="Q51" s="332"/>
      <c r="R51" s="332"/>
      <c r="S51" s="332"/>
      <c r="AC51" s="581">
        <f>SUM(AC48:AC50)</f>
        <v>284258.183696</v>
      </c>
      <c r="AD51" s="327"/>
    </row>
    <row r="52" spans="2:30" ht="16.5" customHeight="1">
      <c r="B52" s="316"/>
      <c r="C52" s="328" t="s">
        <v>164</v>
      </c>
      <c r="D52" s="336" t="s">
        <v>165</v>
      </c>
      <c r="E52" s="313"/>
      <c r="F52" s="337"/>
      <c r="G52" s="299"/>
      <c r="H52" s="298"/>
      <c r="I52" s="298"/>
      <c r="J52" s="298"/>
      <c r="K52" s="313"/>
      <c r="L52" s="313"/>
      <c r="M52" s="298"/>
      <c r="N52" s="313"/>
      <c r="O52" s="298"/>
      <c r="P52" s="298"/>
      <c r="Q52" s="298"/>
      <c r="R52" s="298"/>
      <c r="S52" s="298"/>
      <c r="T52" s="298"/>
      <c r="U52" s="298"/>
      <c r="AC52" s="298"/>
      <c r="AD52" s="327"/>
    </row>
    <row r="53" spans="2:30" s="108" customFormat="1" ht="16.5" customHeight="1">
      <c r="B53" s="316"/>
      <c r="C53" s="310"/>
      <c r="D53" s="338" t="s">
        <v>166</v>
      </c>
      <c r="E53" s="339">
        <f>10*K43*K25/AC51</f>
        <v>0</v>
      </c>
      <c r="G53" s="299"/>
      <c r="L53" s="313"/>
      <c r="N53" s="313"/>
      <c r="O53" s="314"/>
      <c r="V53"/>
      <c r="W53"/>
      <c r="AD53" s="327"/>
    </row>
    <row r="54" spans="2:30" s="108" customFormat="1" ht="16.5" customHeight="1">
      <c r="B54" s="316"/>
      <c r="C54" s="310"/>
      <c r="E54" s="606"/>
      <c r="F54" s="312"/>
      <c r="G54" s="299"/>
      <c r="J54" s="299"/>
      <c r="K54" s="341"/>
      <c r="L54" s="313"/>
      <c r="M54" s="313"/>
      <c r="N54" s="313"/>
      <c r="O54" s="314"/>
      <c r="P54" s="313"/>
      <c r="Q54" s="313"/>
      <c r="R54" s="604"/>
      <c r="S54" s="604"/>
      <c r="T54" s="604"/>
      <c r="U54" s="605"/>
      <c r="V54"/>
      <c r="W54"/>
      <c r="AC54" s="605"/>
      <c r="AD54" s="327"/>
    </row>
    <row r="55" spans="2:30" ht="16.5" customHeight="1">
      <c r="B55" s="316"/>
      <c r="C55" s="310"/>
      <c r="D55" s="342" t="s">
        <v>172</v>
      </c>
      <c r="E55" s="340"/>
      <c r="F55" s="312"/>
      <c r="G55" s="299"/>
      <c r="H55" s="298"/>
      <c r="I55" s="298"/>
      <c r="N55" s="313"/>
      <c r="O55" s="314"/>
      <c r="P55" s="313"/>
      <c r="Q55" s="313"/>
      <c r="R55" s="330"/>
      <c r="S55" s="330"/>
      <c r="T55" s="330"/>
      <c r="U55" s="331"/>
      <c r="AC55" s="331"/>
      <c r="AD55" s="327"/>
    </row>
    <row r="56" spans="2:30" ht="16.5" customHeight="1" thickBot="1">
      <c r="B56" s="316"/>
      <c r="C56" s="310"/>
      <c r="D56" s="342"/>
      <c r="E56" s="340"/>
      <c r="F56" s="312"/>
      <c r="G56" s="299"/>
      <c r="H56" s="298"/>
      <c r="I56" s="298"/>
      <c r="N56" s="313"/>
      <c r="O56" s="314"/>
      <c r="P56" s="313"/>
      <c r="Q56" s="313"/>
      <c r="R56" s="330"/>
      <c r="S56" s="330"/>
      <c r="T56" s="330"/>
      <c r="U56" s="331"/>
      <c r="AC56" s="331"/>
      <c r="AD56" s="327"/>
    </row>
    <row r="57" spans="2:30" s="621" customFormat="1" ht="21" thickBot="1" thickTop="1">
      <c r="B57" s="615"/>
      <c r="C57" s="616"/>
      <c r="D57" s="617"/>
      <c r="E57" s="618"/>
      <c r="F57" s="619"/>
      <c r="G57" s="620"/>
      <c r="I57"/>
      <c r="J57" s="622" t="s">
        <v>168</v>
      </c>
      <c r="K57" s="623">
        <f>IF(E53&gt;3*K25,K25*3,E53)</f>
        <v>0</v>
      </c>
      <c r="M57" s="624"/>
      <c r="N57" s="624"/>
      <c r="O57" s="625"/>
      <c r="P57" s="624"/>
      <c r="Q57" s="624"/>
      <c r="R57" s="626"/>
      <c r="S57" s="626"/>
      <c r="T57" s="626"/>
      <c r="U57" s="627"/>
      <c r="V57"/>
      <c r="W57"/>
      <c r="AC57" s="627"/>
      <c r="AD57" s="628"/>
    </row>
    <row r="58" spans="2:30" ht="16.5" customHeight="1" thickBot="1" thickTop="1">
      <c r="B58" s="133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346"/>
      <c r="W58" s="346"/>
      <c r="X58" s="346"/>
      <c r="Y58" s="346"/>
      <c r="Z58" s="346"/>
      <c r="AA58" s="346"/>
      <c r="AB58" s="346"/>
      <c r="AC58" s="135"/>
      <c r="AD58" s="343"/>
    </row>
    <row r="59" spans="2:23" ht="16.5" customHeight="1" thickTop="1">
      <c r="B59" s="12"/>
      <c r="C59" s="713"/>
      <c r="W59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G64"/>
  <sheetViews>
    <sheetView zoomScale="75" zoomScaleNormal="75" workbookViewId="0" topLeftCell="E1">
      <selection activeCell="C26" sqref="C26"/>
    </sheetView>
  </sheetViews>
  <sheetFormatPr defaultColWidth="11.421875" defaultRowHeight="12.75"/>
  <cols>
    <col min="1" max="1" width="44.8515625" style="0" customWidth="1"/>
    <col min="2" max="2" width="2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759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44" customFormat="1" ht="30.75">
      <c r="A3" s="641"/>
      <c r="B3" s="642" t="str">
        <f>+'tot-0401'!B2</f>
        <v>ANEXO I-1a a la Resolución ENRE N° 686/2007.-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AB3" s="643"/>
      <c r="AC3" s="643"/>
      <c r="AD3" s="643"/>
    </row>
    <row r="4" spans="1:2" s="101" customFormat="1" ht="11.25">
      <c r="A4" s="717" t="s">
        <v>50</v>
      </c>
      <c r="B4" s="729"/>
    </row>
    <row r="5" spans="1:2" s="101" customFormat="1" ht="12" thickBot="1">
      <c r="A5" s="717" t="s">
        <v>51</v>
      </c>
      <c r="B5" s="717"/>
    </row>
    <row r="6" spans="1:30" ht="16.5" customHeight="1" thickTop="1">
      <c r="A6" s="16"/>
      <c r="B6" s="145"/>
      <c r="C6" s="146"/>
      <c r="D6" s="146"/>
      <c r="E6" s="147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344"/>
      <c r="X6" s="344"/>
      <c r="Y6" s="344"/>
      <c r="Z6" s="344"/>
      <c r="AA6" s="344"/>
      <c r="AB6" s="344"/>
      <c r="AC6" s="344"/>
      <c r="AD6" s="148"/>
    </row>
    <row r="7" spans="1:30" ht="20.25">
      <c r="A7" s="16"/>
      <c r="B7" s="126"/>
      <c r="C7" s="14"/>
      <c r="D7" s="7" t="s">
        <v>123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5"/>
      <c r="Q7" s="295"/>
      <c r="R7" s="14"/>
      <c r="S7" s="14"/>
      <c r="T7" s="14"/>
      <c r="U7" s="14"/>
      <c r="V7" s="14"/>
      <c r="AD7" s="149"/>
    </row>
    <row r="8" spans="1:30" ht="16.5" customHeight="1">
      <c r="A8" s="16"/>
      <c r="B8" s="12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AD8" s="149"/>
    </row>
    <row r="9" spans="2:30" s="15" customFormat="1" ht="20.25">
      <c r="B9" s="121"/>
      <c r="C9" s="120"/>
      <c r="D9" s="7" t="s">
        <v>124</v>
      </c>
      <c r="E9" s="120"/>
      <c r="F9" s="120"/>
      <c r="G9" s="120"/>
      <c r="H9" s="120"/>
      <c r="N9" s="120"/>
      <c r="O9" s="120"/>
      <c r="P9" s="364"/>
      <c r="Q9" s="364"/>
      <c r="R9" s="120"/>
      <c r="S9" s="120"/>
      <c r="T9" s="120"/>
      <c r="U9" s="120"/>
      <c r="V9" s="120"/>
      <c r="W9"/>
      <c r="X9" s="120"/>
      <c r="Y9" s="120"/>
      <c r="Z9" s="120"/>
      <c r="AA9" s="120"/>
      <c r="AB9" s="120"/>
      <c r="AC9"/>
      <c r="AD9" s="365"/>
    </row>
    <row r="10" spans="1:30" ht="16.5" customHeight="1">
      <c r="A10" s="16"/>
      <c r="B10" s="12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AD10" s="149"/>
    </row>
    <row r="11" spans="2:30" s="15" customFormat="1" ht="20.25">
      <c r="B11" s="121"/>
      <c r="C11" s="120"/>
      <c r="D11" s="7" t="s">
        <v>192</v>
      </c>
      <c r="E11" s="120"/>
      <c r="F11" s="120"/>
      <c r="G11" s="120"/>
      <c r="H11" s="120"/>
      <c r="N11" s="120"/>
      <c r="O11" s="120"/>
      <c r="P11" s="364"/>
      <c r="Q11" s="364"/>
      <c r="R11" s="120"/>
      <c r="S11" s="120"/>
      <c r="T11" s="120"/>
      <c r="U11" s="120"/>
      <c r="V11" s="120"/>
      <c r="W11"/>
      <c r="X11" s="120"/>
      <c r="Y11" s="120"/>
      <c r="Z11" s="120"/>
      <c r="AA11" s="120"/>
      <c r="AB11" s="120"/>
      <c r="AC11"/>
      <c r="AD11" s="365"/>
    </row>
    <row r="12" spans="1:30" ht="16.5" customHeight="1">
      <c r="A12" s="16"/>
      <c r="B12" s="126"/>
      <c r="C12" s="14"/>
      <c r="D12" s="14"/>
      <c r="E12" s="16"/>
      <c r="F12" s="16"/>
      <c r="G12" s="16"/>
      <c r="H12" s="16"/>
      <c r="I12" s="150"/>
      <c r="J12" s="150"/>
      <c r="K12" s="150"/>
      <c r="L12" s="150"/>
      <c r="M12" s="150"/>
      <c r="N12" s="150"/>
      <c r="O12" s="150"/>
      <c r="P12" s="150"/>
      <c r="Q12" s="150"/>
      <c r="R12" s="14"/>
      <c r="S12" s="14"/>
      <c r="T12" s="14"/>
      <c r="U12" s="14"/>
      <c r="V12" s="14"/>
      <c r="AD12" s="149"/>
    </row>
    <row r="13" spans="2:30" s="15" customFormat="1" ht="19.5">
      <c r="B13" s="114" t="str">
        <f>+'tot-0401'!B14</f>
        <v>Desde el 01 al 31 de enero de 2004</v>
      </c>
      <c r="C13" s="115"/>
      <c r="D13" s="117"/>
      <c r="E13" s="117"/>
      <c r="F13" s="117"/>
      <c r="G13" s="117"/>
      <c r="H13" s="117"/>
      <c r="I13" s="118"/>
      <c r="J13" s="4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367"/>
      <c r="V13" s="367"/>
      <c r="W13"/>
      <c r="X13" s="368"/>
      <c r="Y13" s="368"/>
      <c r="Z13" s="368"/>
      <c r="AA13" s="368"/>
      <c r="AB13" s="367"/>
      <c r="AC13" s="4"/>
      <c r="AD13" s="119"/>
    </row>
    <row r="14" spans="1:30" ht="16.5" customHeight="1">
      <c r="A14" s="16"/>
      <c r="B14" s="126"/>
      <c r="C14" s="14"/>
      <c r="D14" s="14"/>
      <c r="E14" s="2"/>
      <c r="F14" s="2"/>
      <c r="G14" s="14"/>
      <c r="H14" s="14"/>
      <c r="I14" s="14"/>
      <c r="J14" s="296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AD14" s="149"/>
    </row>
    <row r="15" spans="1:30" ht="16.5" customHeight="1">
      <c r="A15" s="16"/>
      <c r="B15" s="126"/>
      <c r="C15" s="14"/>
      <c r="D15" s="14"/>
      <c r="E15" s="2"/>
      <c r="F15" s="2"/>
      <c r="G15" s="14"/>
      <c r="H15" s="14"/>
      <c r="I15" s="297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49"/>
    </row>
    <row r="16" spans="1:30" ht="16.5" customHeight="1">
      <c r="A16" s="16"/>
      <c r="B16" s="126"/>
      <c r="C16" s="14"/>
      <c r="D16" s="14"/>
      <c r="E16" s="2"/>
      <c r="F16" s="2"/>
      <c r="G16" s="14"/>
      <c r="H16" s="14"/>
      <c r="I16" s="297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49"/>
    </row>
    <row r="17" spans="1:30" ht="16.5" customHeight="1">
      <c r="A17" s="16"/>
      <c r="B17" s="126"/>
      <c r="C17" s="611" t="s">
        <v>125</v>
      </c>
      <c r="D17" s="13" t="s">
        <v>126</v>
      </c>
      <c r="E17" s="2"/>
      <c r="F17" s="2"/>
      <c r="G17" s="14"/>
      <c r="H17" s="14"/>
      <c r="I17" s="14"/>
      <c r="J17" s="296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49"/>
    </row>
    <row r="18" spans="2:30" s="108" customFormat="1" ht="16.5" customHeight="1">
      <c r="B18" s="316"/>
      <c r="C18" s="110"/>
      <c r="D18" s="580"/>
      <c r="E18" s="581"/>
      <c r="F18" s="310"/>
      <c r="G18" s="110"/>
      <c r="H18" s="110"/>
      <c r="I18" s="110"/>
      <c r="J18" s="601"/>
      <c r="K18" s="110"/>
      <c r="L18" s="110"/>
      <c r="M18" s="110"/>
      <c r="P18" s="110"/>
      <c r="Q18" s="110"/>
      <c r="R18" s="110"/>
      <c r="S18" s="110"/>
      <c r="T18" s="110"/>
      <c r="U18" s="110"/>
      <c r="V18" s="110"/>
      <c r="W18"/>
      <c r="AD18" s="602"/>
    </row>
    <row r="19" spans="2:30" s="108" customFormat="1" ht="16.5" customHeight="1">
      <c r="B19" s="316"/>
      <c r="C19" s="110"/>
      <c r="D19" s="582" t="s">
        <v>127</v>
      </c>
      <c r="F19" s="633">
        <v>56.353</v>
      </c>
      <c r="G19" s="582" t="s">
        <v>128</v>
      </c>
      <c r="H19" s="110"/>
      <c r="I19" s="110"/>
      <c r="J19" s="300"/>
      <c r="K19" s="584" t="s">
        <v>129</v>
      </c>
      <c r="L19" s="585">
        <v>0.04</v>
      </c>
      <c r="R19" s="110"/>
      <c r="S19" s="110"/>
      <c r="T19" s="110"/>
      <c r="U19" s="110"/>
      <c r="V19" s="110"/>
      <c r="W19"/>
      <c r="AD19" s="602"/>
    </row>
    <row r="20" spans="2:30" s="108" customFormat="1" ht="16.5" customHeight="1">
      <c r="B20" s="316"/>
      <c r="C20" s="110"/>
      <c r="D20" s="582" t="s">
        <v>130</v>
      </c>
      <c r="F20" s="633">
        <v>0.154</v>
      </c>
      <c r="G20" s="582" t="s">
        <v>131</v>
      </c>
      <c r="H20" s="110"/>
      <c r="I20" s="110"/>
      <c r="J20" s="110"/>
      <c r="K20" s="580" t="s">
        <v>132</v>
      </c>
      <c r="L20" s="110">
        <f>MID(B13,16,2)*24</f>
        <v>744</v>
      </c>
      <c r="M20" s="110" t="s">
        <v>133</v>
      </c>
      <c r="N20" s="110"/>
      <c r="O20" s="110"/>
      <c r="P20" s="603"/>
      <c r="Q20" s="110"/>
      <c r="R20" s="110"/>
      <c r="S20" s="110"/>
      <c r="T20" s="110"/>
      <c r="U20" s="110"/>
      <c r="V20" s="110"/>
      <c r="W20"/>
      <c r="AD20" s="602"/>
    </row>
    <row r="21" spans="2:30" s="108" customFormat="1" ht="16.5" customHeight="1">
      <c r="B21" s="316"/>
      <c r="C21" s="110"/>
      <c r="D21" s="582" t="s">
        <v>134</v>
      </c>
      <c r="F21" s="633">
        <v>24.587</v>
      </c>
      <c r="G21" s="582" t="s">
        <v>210</v>
      </c>
      <c r="H21" s="110"/>
      <c r="I21" s="110"/>
      <c r="J21" s="110"/>
      <c r="K21" s="762"/>
      <c r="L21" s="763"/>
      <c r="M21" s="110"/>
      <c r="N21" s="110"/>
      <c r="O21" s="110"/>
      <c r="P21" s="603"/>
      <c r="Q21" s="110"/>
      <c r="R21" s="110"/>
      <c r="S21" s="110"/>
      <c r="T21" s="110"/>
      <c r="U21" s="110"/>
      <c r="V21" s="110"/>
      <c r="W21"/>
      <c r="AD21" s="602"/>
    </row>
    <row r="22" spans="2:30" s="108" customFormat="1" ht="16.5" customHeight="1">
      <c r="B22" s="316"/>
      <c r="C22" s="110"/>
      <c r="D22" s="582" t="s">
        <v>211</v>
      </c>
      <c r="F22" s="633">
        <v>30.733</v>
      </c>
      <c r="G22" s="582" t="s">
        <v>210</v>
      </c>
      <c r="H22" s="110"/>
      <c r="I22" s="110"/>
      <c r="J22" s="110"/>
      <c r="K22" s="762"/>
      <c r="L22" s="763"/>
      <c r="M22" s="110"/>
      <c r="N22" s="110"/>
      <c r="O22" s="110"/>
      <c r="P22" s="603"/>
      <c r="Q22" s="110"/>
      <c r="R22" s="110"/>
      <c r="S22" s="110"/>
      <c r="T22" s="110"/>
      <c r="U22" s="110"/>
      <c r="V22" s="110"/>
      <c r="W22"/>
      <c r="AD22" s="602"/>
    </row>
    <row r="23" spans="2:30" s="108" customFormat="1" ht="8.25" customHeight="1">
      <c r="B23" s="316"/>
      <c r="C23" s="110"/>
      <c r="D23" s="110"/>
      <c r="E23" s="312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/>
      <c r="AD23" s="602"/>
    </row>
    <row r="24" spans="1:30" ht="16.5" customHeight="1">
      <c r="A24" s="16"/>
      <c r="B24" s="126"/>
      <c r="C24" s="611" t="s">
        <v>135</v>
      </c>
      <c r="D24" s="109" t="s">
        <v>136</v>
      </c>
      <c r="I24" s="14"/>
      <c r="J24" s="108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49"/>
    </row>
    <row r="25" spans="1:30" ht="10.5" customHeight="1" thickBot="1">
      <c r="A25" s="16"/>
      <c r="B25" s="126"/>
      <c r="C25" s="2"/>
      <c r="D25" s="109"/>
      <c r="I25" s="14"/>
      <c r="J25" s="108"/>
      <c r="O25" s="14"/>
      <c r="P25" s="14"/>
      <c r="Q25" s="14"/>
      <c r="R25" s="14"/>
      <c r="S25" s="14"/>
      <c r="T25" s="14"/>
      <c r="V25" s="14"/>
      <c r="X25" s="14"/>
      <c r="Y25" s="14"/>
      <c r="Z25" s="14"/>
      <c r="AA25" s="14"/>
      <c r="AB25" s="14"/>
      <c r="AC25" s="14"/>
      <c r="AD25" s="149"/>
    </row>
    <row r="26" spans="2:30" s="108" customFormat="1" ht="16.5" customHeight="1" thickBot="1" thickTop="1">
      <c r="B26" s="316"/>
      <c r="C26" s="310"/>
      <c r="D26"/>
      <c r="E26"/>
      <c r="F26"/>
      <c r="G26"/>
      <c r="H26"/>
      <c r="I26"/>
      <c r="J26" s="645" t="s">
        <v>137</v>
      </c>
      <c r="K26" s="646">
        <f>L19*AC56</f>
        <v>20668.6238048</v>
      </c>
      <c r="L26"/>
      <c r="S26"/>
      <c r="T26"/>
      <c r="U26"/>
      <c r="W26"/>
      <c r="AD26" s="602"/>
    </row>
    <row r="27" spans="2:30" s="108" customFormat="1" ht="11.25" customHeight="1" thickTop="1">
      <c r="B27" s="316"/>
      <c r="C27" s="310"/>
      <c r="D27" s="110"/>
      <c r="E27" s="312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/>
      <c r="W27"/>
      <c r="AD27" s="602"/>
    </row>
    <row r="28" spans="1:30" ht="16.5" customHeight="1">
      <c r="A28" s="16"/>
      <c r="B28" s="126"/>
      <c r="C28" s="611" t="s">
        <v>138</v>
      </c>
      <c r="D28" s="109" t="s">
        <v>139</v>
      </c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49"/>
    </row>
    <row r="29" spans="1:30" ht="21.75" customHeight="1" thickBot="1">
      <c r="A29" s="16"/>
      <c r="B29" s="126"/>
      <c r="C29" s="14"/>
      <c r="D29" s="14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AD29" s="149"/>
    </row>
    <row r="30" spans="2:31" s="16" customFormat="1" ht="33.75" customHeight="1" thickBot="1" thickTop="1">
      <c r="B30" s="126"/>
      <c r="C30" s="166" t="s">
        <v>72</v>
      </c>
      <c r="D30" s="366" t="s">
        <v>53</v>
      </c>
      <c r="E30" s="171" t="s">
        <v>73</v>
      </c>
      <c r="F30" s="172" t="s">
        <v>74</v>
      </c>
      <c r="G30" s="167" t="s">
        <v>75</v>
      </c>
      <c r="H30" s="443" t="s">
        <v>76</v>
      </c>
      <c r="I30" s="499" t="s">
        <v>77</v>
      </c>
      <c r="J30" s="168" t="s">
        <v>78</v>
      </c>
      <c r="K30" s="169" t="s">
        <v>79</v>
      </c>
      <c r="L30" s="173" t="s">
        <v>80</v>
      </c>
      <c r="M30" s="174" t="s">
        <v>81</v>
      </c>
      <c r="N30" s="173" t="s">
        <v>140</v>
      </c>
      <c r="O30" s="173" t="s">
        <v>83</v>
      </c>
      <c r="P30" s="169" t="s">
        <v>84</v>
      </c>
      <c r="Q30" s="168" t="s">
        <v>85</v>
      </c>
      <c r="R30" s="556" t="s">
        <v>86</v>
      </c>
      <c r="S30" s="557" t="s">
        <v>87</v>
      </c>
      <c r="T30" s="552" t="s">
        <v>99</v>
      </c>
      <c r="U30" s="553"/>
      <c r="V30" s="554"/>
      <c r="W30" s="558" t="s">
        <v>141</v>
      </c>
      <c r="X30" s="559"/>
      <c r="Y30" s="560"/>
      <c r="Z30" s="562" t="s">
        <v>90</v>
      </c>
      <c r="AA30" s="564" t="s">
        <v>97</v>
      </c>
      <c r="AB30" s="175" t="s">
        <v>92</v>
      </c>
      <c r="AC30" s="210" t="s">
        <v>93</v>
      </c>
      <c r="AD30" s="153"/>
      <c r="AE30"/>
    </row>
    <row r="31" spans="1:30" ht="16.5" customHeight="1" thickTop="1">
      <c r="A31" s="16"/>
      <c r="B31" s="126"/>
      <c r="C31" s="302"/>
      <c r="D31" s="302"/>
      <c r="E31" s="303"/>
      <c r="F31" s="304"/>
      <c r="G31" s="547"/>
      <c r="H31" s="548"/>
      <c r="I31" s="549"/>
      <c r="J31" s="544"/>
      <c r="K31" s="305"/>
      <c r="L31" s="20"/>
      <c r="M31" s="20"/>
      <c r="N31" s="81"/>
      <c r="O31" s="81"/>
      <c r="P31" s="20"/>
      <c r="Q31" s="442"/>
      <c r="R31" s="647"/>
      <c r="S31" s="648"/>
      <c r="T31" s="649"/>
      <c r="U31" s="608"/>
      <c r="V31" s="650"/>
      <c r="W31" s="651"/>
      <c r="X31" s="652"/>
      <c r="Y31" s="653"/>
      <c r="Z31" s="654"/>
      <c r="AA31" s="655"/>
      <c r="AB31" s="656"/>
      <c r="AC31" s="657"/>
      <c r="AD31" s="149"/>
    </row>
    <row r="32" spans="1:30" ht="16.5" customHeight="1">
      <c r="A32" s="16"/>
      <c r="B32" s="126"/>
      <c r="C32" s="20" t="s">
        <v>217</v>
      </c>
      <c r="D32" s="20" t="s">
        <v>10</v>
      </c>
      <c r="E32" s="23">
        <v>500</v>
      </c>
      <c r="F32" s="22">
        <v>506</v>
      </c>
      <c r="G32" s="438" t="s">
        <v>2</v>
      </c>
      <c r="H32" s="545">
        <f>IF(G32="A",200,IF(G32="B",60,20))</f>
        <v>20</v>
      </c>
      <c r="I32" s="542">
        <f>IF(F32&gt;100,F32,100)*$F$19/100</f>
        <v>285.14618</v>
      </c>
      <c r="J32" s="790">
        <v>37992.103472222225</v>
      </c>
      <c r="K32" s="791">
        <v>37992.118055555555</v>
      </c>
      <c r="L32" s="658">
        <f>IF(D32="","",(K32-J32)*24)</f>
        <v>0.3499999999185093</v>
      </c>
      <c r="M32" s="31">
        <f>IF(D32="","",ROUND((K32-J32)*24*60,0))</f>
        <v>21</v>
      </c>
      <c r="N32" s="28" t="s">
        <v>216</v>
      </c>
      <c r="O32" s="29" t="str">
        <f>IF(D32="","","--")</f>
        <v>--</v>
      </c>
      <c r="P32" s="24" t="str">
        <f>IF(D32="","","NO")</f>
        <v>NO</v>
      </c>
      <c r="Q32" s="24" t="str">
        <f>IF(D32="","",IF(OR(N32="P",N32="RP"),"--","NO"))</f>
        <v>--</v>
      </c>
      <c r="R32" s="659">
        <f>IF(N32="P",+I32*H32*ROUND(M32/60,2)/100,"--")</f>
        <v>19.960232599999998</v>
      </c>
      <c r="S32" s="660" t="str">
        <f>IF(N32="RP",I32*H32*ROUND(M32/60,2)*0.01*O32/100,"--")</f>
        <v>--</v>
      </c>
      <c r="T32" s="661" t="str">
        <f>IF(AND(N32="F",Q32="NO"),IF(P32="SI",1.2,1)*I32*H32,"--")</f>
        <v>--</v>
      </c>
      <c r="U32" s="662" t="str">
        <f>IF(AND(M32&gt;10,N32="F"),IF(M32&lt;=300,ROUND(M32/60,2),5)*I32*H32*IF(P32="SI",1.2,1),"--")</f>
        <v>--</v>
      </c>
      <c r="V32" s="663" t="str">
        <f>IF(AND(N32="F",M32&gt;300),IF(P32="SI",1.2,1)*(ROUND(M32/60,2)-5)*I32*H32*0.1,"--")</f>
        <v>--</v>
      </c>
      <c r="W32" s="664" t="str">
        <f>IF(AND(N32="R",Q32="NO"),IF(P32="SI",1.2,1)*I32*H32*O32/100,"--")</f>
        <v>--</v>
      </c>
      <c r="X32" s="665" t="str">
        <f>IF(AND(M32&gt;10,N32="R"),IF(M32&lt;=300,ROUND(M32/60,2),5)*I32*H32*O32/100*IF(P32="SI",1.2,1),"--")</f>
        <v>--</v>
      </c>
      <c r="Y32" s="666" t="str">
        <f>IF(AND(N32="R",M32&gt;300),IF(P32="SI",1.2,1)*(ROUND(M32/60,2)-5)*I32*H32*O32/100*0.1,"--")</f>
        <v>--</v>
      </c>
      <c r="Z32" s="667" t="str">
        <f>IF(N32="RF",IF(P32="SI",1.2,1)*ROUND(M32/60,2)*I32*H32*0.1,"--")</f>
        <v>--</v>
      </c>
      <c r="AA32" s="668" t="str">
        <f>IF(N32="RR",IF(P32="SI",1.2,1)*ROUND(M32/60,2)*I32*H32*O32/100*0.1,"--")</f>
        <v>--</v>
      </c>
      <c r="AB32" s="353" t="str">
        <f>IF(D32="","","SI")</f>
        <v>SI</v>
      </c>
      <c r="AC32" s="30">
        <f>IF(D32="","",SUM(R32:AA32)*IF(AB32="SI",1,2))</f>
        <v>19.960232599999998</v>
      </c>
      <c r="AD32" s="154"/>
    </row>
    <row r="33" spans="1:30" ht="16.5" customHeight="1" thickBot="1">
      <c r="A33" s="108"/>
      <c r="B33" s="126"/>
      <c r="C33" s="301"/>
      <c r="D33" s="301"/>
      <c r="E33" s="306"/>
      <c r="F33" s="307"/>
      <c r="G33" s="308"/>
      <c r="H33" s="541"/>
      <c r="I33" s="543"/>
      <c r="J33" s="309"/>
      <c r="K33" s="309"/>
      <c r="L33" s="33"/>
      <c r="M33" s="33"/>
      <c r="N33" s="33"/>
      <c r="O33" s="34"/>
      <c r="P33" s="33"/>
      <c r="Q33" s="33"/>
      <c r="R33" s="669"/>
      <c r="S33" s="670"/>
      <c r="T33" s="671"/>
      <c r="U33" s="672"/>
      <c r="V33" s="673"/>
      <c r="W33" s="674"/>
      <c r="X33" s="675"/>
      <c r="Y33" s="676"/>
      <c r="Z33" s="677"/>
      <c r="AA33" s="678"/>
      <c r="AB33" s="35"/>
      <c r="AC33" s="679"/>
      <c r="AD33" s="154"/>
    </row>
    <row r="34" spans="1:30" ht="16.5" customHeight="1" thickBot="1" thickTop="1">
      <c r="A34" s="108"/>
      <c r="B34" s="126"/>
      <c r="C34" s="310"/>
      <c r="D34" s="310"/>
      <c r="E34" s="311"/>
      <c r="F34" s="312"/>
      <c r="G34" s="299"/>
      <c r="H34" s="299"/>
      <c r="I34" s="313"/>
      <c r="J34" s="313"/>
      <c r="K34" s="313"/>
      <c r="L34" s="313"/>
      <c r="M34" s="313"/>
      <c r="N34" s="313"/>
      <c r="O34" s="314"/>
      <c r="P34" s="313"/>
      <c r="Q34" s="313"/>
      <c r="R34" s="550">
        <f aca="true" t="shared" si="0" ref="R34:AA34">SUM(R31:R33)</f>
        <v>19.960232599999998</v>
      </c>
      <c r="S34" s="551">
        <f t="shared" si="0"/>
        <v>0</v>
      </c>
      <c r="T34" s="555">
        <f t="shared" si="0"/>
        <v>0</v>
      </c>
      <c r="U34" s="555">
        <f t="shared" si="0"/>
        <v>0</v>
      </c>
      <c r="V34" s="555">
        <f t="shared" si="0"/>
        <v>0</v>
      </c>
      <c r="W34" s="561">
        <f t="shared" si="0"/>
        <v>0</v>
      </c>
      <c r="X34" s="561">
        <f t="shared" si="0"/>
        <v>0</v>
      </c>
      <c r="Y34" s="561">
        <f t="shared" si="0"/>
        <v>0</v>
      </c>
      <c r="Z34" s="563">
        <f t="shared" si="0"/>
        <v>0</v>
      </c>
      <c r="AA34" s="565">
        <f t="shared" si="0"/>
        <v>0</v>
      </c>
      <c r="AB34" s="315"/>
      <c r="AC34" s="680">
        <f>SUM(AC31:AC33)</f>
        <v>19.960232599999998</v>
      </c>
      <c r="AD34" s="154"/>
    </row>
    <row r="35" spans="1:30" ht="13.5" customHeight="1" thickBot="1" thickTop="1">
      <c r="A35" s="108"/>
      <c r="B35" s="126"/>
      <c r="C35" s="310"/>
      <c r="D35" s="310"/>
      <c r="E35" s="311"/>
      <c r="F35" s="312"/>
      <c r="G35" s="299"/>
      <c r="H35" s="299"/>
      <c r="I35" s="313"/>
      <c r="J35" s="313"/>
      <c r="K35" s="313"/>
      <c r="L35" s="313"/>
      <c r="M35" s="313"/>
      <c r="N35" s="313"/>
      <c r="O35" s="314"/>
      <c r="P35" s="313"/>
      <c r="Q35" s="313"/>
      <c r="R35" s="681"/>
      <c r="S35" s="682"/>
      <c r="T35" s="683"/>
      <c r="U35" s="683"/>
      <c r="V35" s="683"/>
      <c r="W35" s="681"/>
      <c r="X35" s="681"/>
      <c r="Y35" s="681"/>
      <c r="Z35" s="681"/>
      <c r="AA35" s="681"/>
      <c r="AB35" s="604"/>
      <c r="AC35" s="341"/>
      <c r="AD35" s="154"/>
    </row>
    <row r="36" spans="1:33" s="16" customFormat="1" ht="33.75" customHeight="1" thickBot="1" thickTop="1">
      <c r="A36" s="64"/>
      <c r="B36" s="182"/>
      <c r="C36" s="205" t="s">
        <v>72</v>
      </c>
      <c r="D36" s="208" t="s">
        <v>105</v>
      </c>
      <c r="E36" s="206" t="s">
        <v>45</v>
      </c>
      <c r="F36" s="209" t="s">
        <v>106</v>
      </c>
      <c r="G36" s="210" t="s">
        <v>73</v>
      </c>
      <c r="H36" s="350" t="s">
        <v>77</v>
      </c>
      <c r="I36" s="684"/>
      <c r="J36" s="206" t="s">
        <v>78</v>
      </c>
      <c r="K36" s="206" t="s">
        <v>79</v>
      </c>
      <c r="L36" s="208" t="s">
        <v>107</v>
      </c>
      <c r="M36" s="208" t="s">
        <v>81</v>
      </c>
      <c r="N36" s="173" t="s">
        <v>122</v>
      </c>
      <c r="O36" s="206" t="s">
        <v>85</v>
      </c>
      <c r="P36" s="685" t="s">
        <v>108</v>
      </c>
      <c r="Q36" s="686"/>
      <c r="R36" s="350" t="s">
        <v>142</v>
      </c>
      <c r="S36" s="594" t="s">
        <v>86</v>
      </c>
      <c r="T36" s="586" t="s">
        <v>143</v>
      </c>
      <c r="U36" s="587"/>
      <c r="V36" s="597" t="s">
        <v>90</v>
      </c>
      <c r="W36" s="687"/>
      <c r="X36" s="688"/>
      <c r="Y36" s="688"/>
      <c r="Z36" s="688"/>
      <c r="AA36" s="689"/>
      <c r="AB36" s="176" t="s">
        <v>92</v>
      </c>
      <c r="AC36" s="210" t="s">
        <v>93</v>
      </c>
      <c r="AD36" s="149"/>
      <c r="AF36"/>
      <c r="AG36"/>
    </row>
    <row r="37" spans="1:30" ht="16.5" customHeight="1" thickTop="1">
      <c r="A37" s="16"/>
      <c r="B37" s="126"/>
      <c r="C37" s="47"/>
      <c r="D37" s="47"/>
      <c r="E37" s="47"/>
      <c r="F37" s="47"/>
      <c r="G37" s="369"/>
      <c r="H37" s="567"/>
      <c r="I37" s="690"/>
      <c r="J37" s="47"/>
      <c r="K37" s="47"/>
      <c r="L37" s="47"/>
      <c r="M37" s="47"/>
      <c r="N37" s="47"/>
      <c r="O37" s="370"/>
      <c r="P37" s="691"/>
      <c r="Q37" s="692"/>
      <c r="R37" s="598"/>
      <c r="S37" s="599"/>
      <c r="T37" s="588"/>
      <c r="U37" s="589"/>
      <c r="V37" s="600"/>
      <c r="W37" s="693"/>
      <c r="X37" s="694"/>
      <c r="Y37" s="694"/>
      <c r="Z37" s="694"/>
      <c r="AA37" s="695"/>
      <c r="AB37" s="370"/>
      <c r="AC37" s="371"/>
      <c r="AD37" s="149"/>
    </row>
    <row r="38" spans="1:30" ht="16.5" customHeight="1">
      <c r="A38" s="16"/>
      <c r="B38" s="126"/>
      <c r="C38" s="47"/>
      <c r="D38" s="48"/>
      <c r="E38" s="49"/>
      <c r="F38" s="50"/>
      <c r="G38" s="51"/>
      <c r="H38" s="568">
        <f>F38*$F$20</f>
        <v>0</v>
      </c>
      <c r="I38" s="696"/>
      <c r="J38" s="54"/>
      <c r="K38" s="54"/>
      <c r="L38" s="55">
        <f>IF(D38="","",(K38-J38)*24)</f>
      </c>
      <c r="M38" s="56">
        <f>IF(D38="","",(K38-J38)*24*60)</f>
      </c>
      <c r="N38" s="52"/>
      <c r="O38" s="57">
        <f>IF(D38="","",IF(OR(N38="P",N38="RP"),"--","NO"))</f>
      </c>
      <c r="P38" s="697">
        <f>IF(D38="","","NO")</f>
      </c>
      <c r="Q38" s="698"/>
      <c r="R38" s="535">
        <f>200*IF(P38="SI",1,0.1)*IF(N38="P",0.1,1)</f>
        <v>20</v>
      </c>
      <c r="S38" s="595" t="str">
        <f>IF(N38="P",H38*R38*ROUND(M38/60,2),"--")</f>
        <v>--</v>
      </c>
      <c r="T38" s="590" t="str">
        <f>IF(AND(N38="F",O38="NO"),H38*R38,"--")</f>
        <v>--</v>
      </c>
      <c r="U38" s="591" t="str">
        <f>IF(N38="F",H38*R38*ROUND(M38/60,2),"--")</f>
        <v>--</v>
      </c>
      <c r="V38" s="514" t="str">
        <f>IF(N38="RF",H38*R38*ROUND(M38/60,2),"--")</f>
        <v>--</v>
      </c>
      <c r="W38" s="699"/>
      <c r="X38" s="700"/>
      <c r="Y38" s="700"/>
      <c r="Z38" s="700"/>
      <c r="AA38" s="701"/>
      <c r="AB38" s="58">
        <f>IF(D38="","","SI")</f>
      </c>
      <c r="AC38" s="212">
        <f>IF(D38="","",SUM(S38:V38)*IF(AB38="SI",1,2))</f>
      </c>
      <c r="AD38" s="154"/>
    </row>
    <row r="39" spans="1:30" ht="16.5" customHeight="1" thickBot="1">
      <c r="A39" s="108"/>
      <c r="B39" s="126"/>
      <c r="C39" s="59"/>
      <c r="D39" s="372"/>
      <c r="E39" s="373"/>
      <c r="F39" s="374"/>
      <c r="G39" s="375"/>
      <c r="H39" s="569"/>
      <c r="I39" s="702"/>
      <c r="J39" s="376"/>
      <c r="K39" s="377"/>
      <c r="L39" s="378"/>
      <c r="M39" s="379"/>
      <c r="N39" s="60"/>
      <c r="O39" s="33"/>
      <c r="P39" s="703"/>
      <c r="Q39" s="704"/>
      <c r="R39" s="536"/>
      <c r="S39" s="596"/>
      <c r="T39" s="592"/>
      <c r="U39" s="593"/>
      <c r="V39" s="540"/>
      <c r="W39" s="705"/>
      <c r="X39" s="706"/>
      <c r="Y39" s="706"/>
      <c r="Z39" s="706"/>
      <c r="AA39" s="707"/>
      <c r="AB39" s="380"/>
      <c r="AC39" s="381"/>
      <c r="AD39" s="154"/>
    </row>
    <row r="40" spans="1:30" ht="16.5" customHeight="1" thickBot="1" thickTop="1">
      <c r="A40" s="108"/>
      <c r="B40" s="126"/>
      <c r="C40" s="183"/>
      <c r="D40" s="1"/>
      <c r="E40" s="1"/>
      <c r="F40" s="245"/>
      <c r="G40" s="382"/>
      <c r="H40" s="383"/>
      <c r="I40" s="384"/>
      <c r="J40" s="385"/>
      <c r="K40" s="386"/>
      <c r="L40" s="387"/>
      <c r="M40" s="383"/>
      <c r="N40" s="388"/>
      <c r="O40" s="39"/>
      <c r="P40" s="389"/>
      <c r="Q40" s="390"/>
      <c r="R40" s="391"/>
      <c r="S40" s="391"/>
      <c r="T40" s="391"/>
      <c r="U40" s="345"/>
      <c r="V40" s="345"/>
      <c r="W40" s="345"/>
      <c r="X40" s="345"/>
      <c r="Y40" s="345"/>
      <c r="Z40" s="345"/>
      <c r="AA40" s="345"/>
      <c r="AB40" s="345"/>
      <c r="AC40" s="392">
        <f>SUM(AC37:AC39)</f>
        <v>0</v>
      </c>
      <c r="AD40" s="154"/>
    </row>
    <row r="41" spans="1:30" ht="16.5" customHeight="1" thickBot="1" thickTop="1">
      <c r="A41" s="108"/>
      <c r="B41" s="126"/>
      <c r="C41" s="183"/>
      <c r="D41" s="1"/>
      <c r="E41" s="1"/>
      <c r="F41" s="245"/>
      <c r="G41" s="382"/>
      <c r="H41" s="383"/>
      <c r="I41" s="384"/>
      <c r="J41" s="645" t="s">
        <v>144</v>
      </c>
      <c r="K41" s="646">
        <f>+AC40+AC34</f>
        <v>19.960232599999998</v>
      </c>
      <c r="L41" s="387"/>
      <c r="M41" s="383"/>
      <c r="N41" s="708"/>
      <c r="O41" s="709"/>
      <c r="P41" s="389"/>
      <c r="Q41" s="390"/>
      <c r="R41" s="391"/>
      <c r="S41" s="391"/>
      <c r="T41" s="391"/>
      <c r="U41" s="345"/>
      <c r="V41" s="345"/>
      <c r="W41" s="345"/>
      <c r="X41" s="345"/>
      <c r="Y41" s="345"/>
      <c r="Z41" s="345"/>
      <c r="AA41" s="345"/>
      <c r="AB41" s="345"/>
      <c r="AC41" s="710"/>
      <c r="AD41" s="154"/>
    </row>
    <row r="42" spans="1:30" ht="13.5" customHeight="1" thickTop="1">
      <c r="A42" s="108"/>
      <c r="B42" s="316"/>
      <c r="C42" s="310"/>
      <c r="D42" s="317"/>
      <c r="E42" s="318"/>
      <c r="F42" s="319"/>
      <c r="G42" s="320"/>
      <c r="H42" s="320"/>
      <c r="I42" s="318"/>
      <c r="J42" s="298"/>
      <c r="K42" s="298"/>
      <c r="L42" s="318"/>
      <c r="M42" s="318"/>
      <c r="N42" s="318"/>
      <c r="O42" s="321"/>
      <c r="P42" s="318"/>
      <c r="Q42" s="318"/>
      <c r="R42" s="322"/>
      <c r="S42" s="323"/>
      <c r="T42" s="323"/>
      <c r="U42" s="324"/>
      <c r="AC42" s="324"/>
      <c r="AD42" s="327"/>
    </row>
    <row r="43" spans="1:30" ht="16.5" customHeight="1">
      <c r="A43" s="108"/>
      <c r="B43" s="316"/>
      <c r="C43" s="328" t="s">
        <v>145</v>
      </c>
      <c r="D43" s="329" t="s">
        <v>146</v>
      </c>
      <c r="E43" s="318"/>
      <c r="F43" s="319"/>
      <c r="G43" s="320"/>
      <c r="H43" s="320"/>
      <c r="I43" s="318"/>
      <c r="J43" s="298"/>
      <c r="K43" s="298"/>
      <c r="L43" s="318"/>
      <c r="M43" s="318"/>
      <c r="N43" s="318"/>
      <c r="O43" s="321"/>
      <c r="P43" s="318"/>
      <c r="Q43" s="318"/>
      <c r="R43" s="322"/>
      <c r="S43" s="323"/>
      <c r="T43" s="323"/>
      <c r="U43" s="324"/>
      <c r="AC43" s="324"/>
      <c r="AD43" s="327"/>
    </row>
    <row r="44" spans="1:30" ht="16.5" customHeight="1">
      <c r="A44" s="108"/>
      <c r="B44" s="316"/>
      <c r="C44" s="328"/>
      <c r="D44" s="317"/>
      <c r="E44" s="318"/>
      <c r="F44" s="319"/>
      <c r="G44" s="320"/>
      <c r="H44" s="320"/>
      <c r="I44" s="318"/>
      <c r="J44" s="298"/>
      <c r="K44" s="298"/>
      <c r="L44" s="318"/>
      <c r="M44" s="318"/>
      <c r="N44" s="318"/>
      <c r="O44" s="321"/>
      <c r="P44" s="318"/>
      <c r="Q44" s="318"/>
      <c r="R44" s="318"/>
      <c r="S44" s="322"/>
      <c r="T44" s="323"/>
      <c r="AD44" s="327"/>
    </row>
    <row r="45" spans="2:30" s="108" customFormat="1" ht="16.5" customHeight="1">
      <c r="B45" s="316"/>
      <c r="C45" s="310"/>
      <c r="D45" s="338" t="s">
        <v>53</v>
      </c>
      <c r="E45" s="313" t="s">
        <v>147</v>
      </c>
      <c r="F45" s="313" t="s">
        <v>148</v>
      </c>
      <c r="G45" s="614" t="s">
        <v>149</v>
      </c>
      <c r="H45" s="314"/>
      <c r="I45" s="313"/>
      <c r="J45"/>
      <c r="K45"/>
      <c r="L45" s="613" t="s">
        <v>150</v>
      </c>
      <c r="M45"/>
      <c r="N45"/>
      <c r="O45"/>
      <c r="P45"/>
      <c r="Q45" s="332"/>
      <c r="R45" s="332"/>
      <c r="S45" s="110"/>
      <c r="T45"/>
      <c r="U45"/>
      <c r="V45"/>
      <c r="W45"/>
      <c r="X45" s="110"/>
      <c r="Y45" s="110"/>
      <c r="Z45" s="110"/>
      <c r="AA45" s="110"/>
      <c r="AB45" s="110"/>
      <c r="AC45" s="711" t="s">
        <v>151</v>
      </c>
      <c r="AD45" s="327"/>
    </row>
    <row r="46" spans="2:30" s="108" customFormat="1" ht="16.5" customHeight="1">
      <c r="B46" s="316"/>
      <c r="C46" s="310"/>
      <c r="D46" s="313" t="s">
        <v>152</v>
      </c>
      <c r="E46" s="393">
        <v>506</v>
      </c>
      <c r="F46" s="393">
        <v>500</v>
      </c>
      <c r="G46" s="607">
        <f>E46*$F$19*$L$20/100</f>
        <v>212148.75792000003</v>
      </c>
      <c r="H46" s="607"/>
      <c r="I46" s="607"/>
      <c r="J46" s="4"/>
      <c r="K46"/>
      <c r="L46" s="607">
        <v>200856</v>
      </c>
      <c r="M46" s="4"/>
      <c r="N46" s="612" t="s">
        <v>223</v>
      </c>
      <c r="O46"/>
      <c r="P46"/>
      <c r="Q46" s="332"/>
      <c r="R46" s="332"/>
      <c r="S46" s="110"/>
      <c r="T46"/>
      <c r="U46"/>
      <c r="V46"/>
      <c r="W46"/>
      <c r="X46" s="110"/>
      <c r="Y46" s="110"/>
      <c r="Z46" s="110"/>
      <c r="AA46" s="110"/>
      <c r="AB46" s="712"/>
      <c r="AC46" s="583">
        <f>L46+G46</f>
        <v>413004.75792</v>
      </c>
      <c r="AD46" s="327"/>
    </row>
    <row r="47" spans="2:30" s="108" customFormat="1" ht="16.5" customHeight="1">
      <c r="B47" s="316"/>
      <c r="C47" s="310"/>
      <c r="D47" s="334" t="s">
        <v>153</v>
      </c>
      <c r="E47" s="393">
        <v>85</v>
      </c>
      <c r="F47" s="393">
        <v>500</v>
      </c>
      <c r="G47" s="607">
        <f>E47*$F$19*$L$20/100</f>
        <v>35637.637200000005</v>
      </c>
      <c r="H47" s="334"/>
      <c r="I47" s="566"/>
      <c r="J47" s="4"/>
      <c r="K47"/>
      <c r="L47" s="607">
        <v>16514</v>
      </c>
      <c r="M47" s="4"/>
      <c r="N47" s="612" t="s">
        <v>223</v>
      </c>
      <c r="O47" s="333"/>
      <c r="P47"/>
      <c r="Q47" s="332"/>
      <c r="R47" s="332"/>
      <c r="S47" s="110"/>
      <c r="T47"/>
      <c r="U47"/>
      <c r="V47"/>
      <c r="W47"/>
      <c r="X47" s="110"/>
      <c r="Y47" s="110"/>
      <c r="Z47" s="110"/>
      <c r="AA47" s="110"/>
      <c r="AB47" s="110"/>
      <c r="AC47" s="583">
        <f>L47+G47</f>
        <v>52151.637200000005</v>
      </c>
      <c r="AD47" s="327"/>
    </row>
    <row r="48" spans="2:30" s="108" customFormat="1" ht="16.5" customHeight="1">
      <c r="B48" s="316"/>
      <c r="C48" s="310"/>
      <c r="E48" s="300"/>
      <c r="F48" s="313"/>
      <c r="G48" s="314"/>
      <c r="H48"/>
      <c r="I48" s="313"/>
      <c r="J48" s="313"/>
      <c r="K48"/>
      <c r="L48" s="583"/>
      <c r="M48" s="331"/>
      <c r="N48" s="331"/>
      <c r="O48" s="332"/>
      <c r="P48" s="332"/>
      <c r="Q48" s="332"/>
      <c r="R48" s="332"/>
      <c r="S48" s="110"/>
      <c r="T48"/>
      <c r="U48"/>
      <c r="V48"/>
      <c r="W48"/>
      <c r="X48" s="110"/>
      <c r="Y48" s="110"/>
      <c r="Z48" s="110"/>
      <c r="AA48" s="110"/>
      <c r="AB48" s="110"/>
      <c r="AC48" s="583"/>
      <c r="AD48" s="327"/>
    </row>
    <row r="49" spans="1:30" ht="16.5" customHeight="1">
      <c r="A49" s="108"/>
      <c r="B49" s="316"/>
      <c r="C49" s="310"/>
      <c r="D49" s="338" t="s">
        <v>154</v>
      </c>
      <c r="E49" s="313" t="s">
        <v>155</v>
      </c>
      <c r="F49" s="313" t="s">
        <v>148</v>
      </c>
      <c r="G49" s="614" t="s">
        <v>156</v>
      </c>
      <c r="I49" s="330"/>
      <c r="J49" s="313"/>
      <c r="L49" s="613" t="s">
        <v>157</v>
      </c>
      <c r="M49" s="330"/>
      <c r="N49" s="331"/>
      <c r="O49" s="332"/>
      <c r="P49" s="332"/>
      <c r="Q49" s="332"/>
      <c r="R49" s="332"/>
      <c r="S49" s="332"/>
      <c r="AC49" s="583">
        <f>+L50</f>
        <v>0</v>
      </c>
      <c r="AD49" s="327"/>
    </row>
    <row r="50" spans="1:30" ht="16.5" customHeight="1">
      <c r="A50" s="108"/>
      <c r="B50" s="316"/>
      <c r="C50" s="310"/>
      <c r="D50" s="313" t="s">
        <v>158</v>
      </c>
      <c r="E50" s="393">
        <v>300</v>
      </c>
      <c r="F50" s="393" t="s">
        <v>12</v>
      </c>
      <c r="G50" s="607">
        <f>E50*F20*L20</f>
        <v>34372.8</v>
      </c>
      <c r="H50" s="4"/>
      <c r="I50" s="4"/>
      <c r="J50" s="609"/>
      <c r="L50" s="609">
        <v>0</v>
      </c>
      <c r="M50" s="4"/>
      <c r="N50" s="612" t="s">
        <v>223</v>
      </c>
      <c r="O50" s="325"/>
      <c r="P50" s="325"/>
      <c r="Q50" s="325"/>
      <c r="R50" s="325"/>
      <c r="S50" s="325"/>
      <c r="AC50" s="326">
        <f>G50</f>
        <v>34372.8</v>
      </c>
      <c r="AD50" s="327"/>
    </row>
    <row r="51" spans="1:30" ht="16.5" customHeight="1">
      <c r="A51" s="108"/>
      <c r="B51" s="316"/>
      <c r="C51" s="310"/>
      <c r="D51" s="313" t="s">
        <v>212</v>
      </c>
      <c r="E51" s="393">
        <v>150</v>
      </c>
      <c r="F51" s="393" t="s">
        <v>205</v>
      </c>
      <c r="G51" s="607">
        <f>E51*F20*L20</f>
        <v>17186.4</v>
      </c>
      <c r="H51" s="4"/>
      <c r="I51" s="4"/>
      <c r="J51" s="609"/>
      <c r="L51" s="609"/>
      <c r="M51" s="4"/>
      <c r="N51" s="612"/>
      <c r="O51" s="325"/>
      <c r="P51" s="325"/>
      <c r="Q51" s="325"/>
      <c r="R51" s="325"/>
      <c r="S51" s="325"/>
      <c r="AC51" s="326">
        <f>G51</f>
        <v>17186.4</v>
      </c>
      <c r="AD51" s="327"/>
    </row>
    <row r="52" spans="1:30" ht="16.5" customHeight="1">
      <c r="A52" s="108"/>
      <c r="B52" s="316"/>
      <c r="C52" s="310"/>
      <c r="D52" s="313"/>
      <c r="E52" s="393"/>
      <c r="F52" s="393"/>
      <c r="G52" s="607"/>
      <c r="H52" s="4"/>
      <c r="I52" s="4"/>
      <c r="J52" s="609"/>
      <c r="L52" s="609"/>
      <c r="M52" s="4"/>
      <c r="N52" s="612"/>
      <c r="O52" s="325"/>
      <c r="P52" s="325"/>
      <c r="Q52" s="325"/>
      <c r="R52" s="325"/>
      <c r="S52" s="325"/>
      <c r="AC52" s="326"/>
      <c r="AD52" s="327"/>
    </row>
    <row r="53" spans="1:30" ht="16.5" customHeight="1">
      <c r="A53" s="108"/>
      <c r="B53" s="316"/>
      <c r="C53" s="310"/>
      <c r="D53" s="338" t="s">
        <v>159</v>
      </c>
      <c r="E53" s="566" t="s">
        <v>160</v>
      </c>
      <c r="F53" s="566"/>
      <c r="G53" s="313" t="s">
        <v>148</v>
      </c>
      <c r="I53" s="330"/>
      <c r="J53" s="614" t="s">
        <v>161</v>
      </c>
      <c r="L53" s="613"/>
      <c r="M53" s="330"/>
      <c r="N53" s="331"/>
      <c r="O53" s="332"/>
      <c r="P53" s="332"/>
      <c r="Q53" s="332"/>
      <c r="R53" s="332"/>
      <c r="S53" s="332"/>
      <c r="AC53" s="583"/>
      <c r="AD53" s="327"/>
    </row>
    <row r="54" spans="1:30" ht="16.5" customHeight="1">
      <c r="A54" s="108"/>
      <c r="B54" s="316"/>
      <c r="C54" s="310"/>
      <c r="D54" s="313" t="s">
        <v>162</v>
      </c>
      <c r="E54" s="866" t="s">
        <v>163</v>
      </c>
      <c r="F54" s="728"/>
      <c r="G54" s="393">
        <v>132</v>
      </c>
      <c r="H54" s="4"/>
      <c r="I54" s="4"/>
      <c r="J54" s="607">
        <f>0*F21*L20</f>
        <v>0</v>
      </c>
      <c r="L54" s="609"/>
      <c r="M54" s="4"/>
      <c r="N54" s="612"/>
      <c r="O54" s="325"/>
      <c r="P54" s="325"/>
      <c r="Q54" s="325"/>
      <c r="R54" s="325"/>
      <c r="S54" s="325"/>
      <c r="AC54" s="326">
        <f>J54</f>
        <v>0</v>
      </c>
      <c r="AD54" s="327"/>
    </row>
    <row r="55" spans="1:30" ht="16.5" customHeight="1">
      <c r="A55" s="108"/>
      <c r="B55" s="316"/>
      <c r="C55" s="310"/>
      <c r="D55" s="313" t="s">
        <v>208</v>
      </c>
      <c r="E55" s="866" t="s">
        <v>209</v>
      </c>
      <c r="F55" s="728"/>
      <c r="G55" s="393">
        <v>500</v>
      </c>
      <c r="H55" s="4"/>
      <c r="I55" s="4"/>
      <c r="J55" s="607">
        <f>F22*L20</f>
        <v>22865.352</v>
      </c>
      <c r="L55" s="609"/>
      <c r="M55" s="4"/>
      <c r="N55" s="612"/>
      <c r="O55" s="325"/>
      <c r="P55" s="325"/>
      <c r="Q55" s="325"/>
      <c r="R55" s="325"/>
      <c r="S55" s="325"/>
      <c r="AC55" s="610">
        <f>J55</f>
        <v>22865.352</v>
      </c>
      <c r="AD55" s="327"/>
    </row>
    <row r="56" spans="1:30" ht="16.5" customHeight="1">
      <c r="A56" s="108"/>
      <c r="B56" s="316"/>
      <c r="C56" s="310"/>
      <c r="D56" s="298"/>
      <c r="E56" s="300"/>
      <c r="F56" s="313"/>
      <c r="G56" s="313"/>
      <c r="H56" s="314"/>
      <c r="J56" s="313"/>
      <c r="L56" s="335"/>
      <c r="M56" s="331"/>
      <c r="N56" s="331"/>
      <c r="O56" s="332"/>
      <c r="P56" s="332"/>
      <c r="Q56" s="332"/>
      <c r="R56" s="332"/>
      <c r="S56" s="332"/>
      <c r="AC56" s="581">
        <f>SUM(AC46:AC54)</f>
        <v>516715.59512</v>
      </c>
      <c r="AD56" s="327"/>
    </row>
    <row r="57" spans="2:30" ht="16.5" customHeight="1">
      <c r="B57" s="316"/>
      <c r="C57" s="328" t="s">
        <v>164</v>
      </c>
      <c r="D57" s="336" t="s">
        <v>165</v>
      </c>
      <c r="E57" s="313"/>
      <c r="F57" s="337"/>
      <c r="G57" s="299"/>
      <c r="H57" s="298"/>
      <c r="I57" s="298"/>
      <c r="J57" s="298"/>
      <c r="K57" s="313"/>
      <c r="L57" s="313"/>
      <c r="M57" s="298"/>
      <c r="N57" s="313"/>
      <c r="O57" s="298"/>
      <c r="P57" s="298"/>
      <c r="Q57" s="298"/>
      <c r="R57" s="298"/>
      <c r="S57" s="298"/>
      <c r="T57" s="298"/>
      <c r="U57" s="298"/>
      <c r="AC57" s="298"/>
      <c r="AD57" s="327"/>
    </row>
    <row r="58" spans="2:30" s="108" customFormat="1" ht="16.5" customHeight="1">
      <c r="B58" s="316"/>
      <c r="C58" s="310"/>
      <c r="D58" s="338" t="s">
        <v>166</v>
      </c>
      <c r="E58" s="339">
        <f>10*K41*K26/AC56</f>
        <v>7.984093039999999</v>
      </c>
      <c r="G58" s="299"/>
      <c r="L58" s="313"/>
      <c r="N58" s="313"/>
      <c r="O58" s="314"/>
      <c r="V58"/>
      <c r="W58"/>
      <c r="AD58" s="327"/>
    </row>
    <row r="59" spans="2:30" s="108" customFormat="1" ht="16.5" customHeight="1">
      <c r="B59" s="316"/>
      <c r="C59" s="310"/>
      <c r="E59" s="606"/>
      <c r="F59" s="312"/>
      <c r="G59" s="299"/>
      <c r="J59" s="299"/>
      <c r="K59" s="341"/>
      <c r="L59" s="313"/>
      <c r="M59" s="313"/>
      <c r="N59" s="313"/>
      <c r="O59" s="314"/>
      <c r="P59" s="313"/>
      <c r="Q59" s="313"/>
      <c r="R59" s="604"/>
      <c r="S59" s="604"/>
      <c r="T59" s="604"/>
      <c r="U59" s="605"/>
      <c r="V59"/>
      <c r="W59"/>
      <c r="AC59" s="605"/>
      <c r="AD59" s="327"/>
    </row>
    <row r="60" spans="2:30" ht="16.5" customHeight="1">
      <c r="B60" s="316"/>
      <c r="C60" s="310"/>
      <c r="D60" s="342" t="s">
        <v>167</v>
      </c>
      <c r="E60" s="340"/>
      <c r="F60" s="312"/>
      <c r="G60" s="299"/>
      <c r="H60" s="298"/>
      <c r="I60" s="298"/>
      <c r="N60" s="313"/>
      <c r="O60" s="314"/>
      <c r="P60" s="313"/>
      <c r="Q60" s="313"/>
      <c r="R60" s="330"/>
      <c r="S60" s="330"/>
      <c r="T60" s="330"/>
      <c r="U60" s="331"/>
      <c r="AC60" s="331"/>
      <c r="AD60" s="327"/>
    </row>
    <row r="61" spans="2:30" ht="16.5" customHeight="1" thickBot="1">
      <c r="B61" s="316"/>
      <c r="C61" s="310"/>
      <c r="D61" s="342"/>
      <c r="E61" s="340"/>
      <c r="F61" s="312"/>
      <c r="G61" s="299"/>
      <c r="H61" s="298"/>
      <c r="I61" s="298"/>
      <c r="N61" s="313"/>
      <c r="O61" s="314"/>
      <c r="P61" s="313"/>
      <c r="Q61" s="313"/>
      <c r="R61" s="330"/>
      <c r="S61" s="330"/>
      <c r="T61" s="330"/>
      <c r="U61" s="331"/>
      <c r="AC61" s="331"/>
      <c r="AD61" s="327"/>
    </row>
    <row r="62" spans="2:30" s="621" customFormat="1" ht="21" thickBot="1" thickTop="1">
      <c r="B62" s="615"/>
      <c r="C62" s="616"/>
      <c r="D62" s="617"/>
      <c r="E62" s="618"/>
      <c r="F62" s="619"/>
      <c r="G62" s="620"/>
      <c r="I62"/>
      <c r="J62" s="622" t="s">
        <v>168</v>
      </c>
      <c r="K62" s="623">
        <f>IF(E58&gt;3*K26,K26*3,E58)</f>
        <v>7.984093039999999</v>
      </c>
      <c r="M62" s="624"/>
      <c r="N62" s="624"/>
      <c r="O62" s="625"/>
      <c r="P62" s="624"/>
      <c r="Q62" s="624"/>
      <c r="R62" s="626"/>
      <c r="S62" s="626"/>
      <c r="T62" s="626"/>
      <c r="U62" s="627"/>
      <c r="V62"/>
      <c r="W62"/>
      <c r="AC62" s="627"/>
      <c r="AD62" s="628"/>
    </row>
    <row r="63" spans="2:30" ht="16.5" customHeight="1" thickBot="1" thickTop="1">
      <c r="B63" s="133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346"/>
      <c r="W63" s="346"/>
      <c r="X63" s="346"/>
      <c r="Y63" s="346"/>
      <c r="Z63" s="346"/>
      <c r="AA63" s="346"/>
      <c r="AB63" s="346"/>
      <c r="AC63" s="135"/>
      <c r="AD63" s="343"/>
    </row>
    <row r="64" spans="2:23" ht="16.5" customHeight="1" thickTop="1">
      <c r="B64" s="12"/>
      <c r="C64" s="713"/>
      <c r="W64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2007-09-28T15:35:38Z</cp:lastPrinted>
  <dcterms:created xsi:type="dcterms:W3CDTF">1998-04-21T14:28:46Z</dcterms:created>
  <dcterms:modified xsi:type="dcterms:W3CDTF">2007-10-11T19:09:23Z</dcterms:modified>
  <cp:category/>
  <cp:version/>
  <cp:contentType/>
  <cp:contentStatus/>
</cp:coreProperties>
</file>