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720" windowHeight="6795" tabRatio="601" activeTab="0"/>
  </bookViews>
  <sheets>
    <sheet name="total" sheetId="1" r:id="rId1"/>
    <sheet name="LI" sheetId="2" r:id="rId2"/>
    <sheet name="LI (2)" sheetId="3" r:id="rId3"/>
    <sheet name="LI (3)" sheetId="4" r:id="rId4"/>
    <sheet name="LI (4)" sheetId="5" r:id="rId5"/>
    <sheet name="LI (5)" sheetId="6" r:id="rId6"/>
    <sheet name="LI (6)" sheetId="7" r:id="rId7"/>
    <sheet name="LI (7)" sheetId="8" r:id="rId8"/>
    <sheet name="LI (8)" sheetId="9" r:id="rId9"/>
    <sheet name="LI (9)" sheetId="10" r:id="rId10"/>
    <sheet name="TR" sheetId="11" r:id="rId11"/>
    <sheet name="TR (2)" sheetId="12" r:id="rId12"/>
    <sheet name="TR (3)" sheetId="13" r:id="rId13"/>
    <sheet name="TR (4)" sheetId="14" r:id="rId14"/>
    <sheet name="TR (5)" sheetId="15" r:id="rId15"/>
    <sheet name="TR (6)" sheetId="16" r:id="rId16"/>
    <sheet name="SA" sheetId="17" r:id="rId17"/>
    <sheet name="SA (2)" sheetId="18" r:id="rId18"/>
    <sheet name="SA (3)" sheetId="19" r:id="rId19"/>
    <sheet name="SA (4)" sheetId="20" r:id="rId20"/>
    <sheet name="SA (5)" sheetId="21" r:id="rId21"/>
    <sheet name="SA (6)" sheetId="22" r:id="rId22"/>
    <sheet name="SA (7)" sheetId="23" r:id="rId23"/>
    <sheet name="SA (8)" sheetId="24" r:id="rId24"/>
    <sheet name="SA (9)" sheetId="25" r:id="rId25"/>
    <sheet name="SA (10)" sheetId="26" r:id="rId26"/>
  </sheets>
  <definedNames>
    <definedName name="_xlnm.Print_Area" localSheetId="16">'SA'!$A$1:$W$46</definedName>
    <definedName name="_xlnm.Print_Area" localSheetId="25">'SA (10)'!$A$1:$W$46</definedName>
    <definedName name="_xlnm.Print_Area" localSheetId="17">'SA (2)'!$A$1:$W$45</definedName>
    <definedName name="_xlnm.Print_Area" localSheetId="18">'SA (3)'!$A$1:$W$46</definedName>
    <definedName name="_xlnm.Print_Area" localSheetId="19">'SA (4)'!$A$1:$W$46</definedName>
    <definedName name="_xlnm.Print_Area" localSheetId="20">'SA (5)'!$A$1:$W$46</definedName>
    <definedName name="_xlnm.Print_Area" localSheetId="21">'SA (6)'!$A$1:$W$47</definedName>
    <definedName name="_xlnm.Print_Area" localSheetId="22">'SA (7)'!$A$1:$W$44</definedName>
    <definedName name="_xlnm.Print_Area" localSheetId="23">'SA (8)'!$A$1:$W$46</definedName>
    <definedName name="_xlnm.Print_Area" localSheetId="24">'SA (9)'!$A$1:$W$46</definedName>
    <definedName name="_xlnm.Print_Area" localSheetId="0">'total'!$A$1:$K$30</definedName>
    <definedName name="_xlnm.Print_Area" localSheetId="10">'TR'!$A$1:$AB$47</definedName>
    <definedName name="_xlnm.Print_Area" localSheetId="11">'TR (2)'!$A$1:$AB$46</definedName>
    <definedName name="_xlnm.Print_Area" localSheetId="12">'TR (3)'!$A$1:$AB$46</definedName>
    <definedName name="_xlnm.Print_Area" localSheetId="13">'TR (4)'!$A$1:$AB$48</definedName>
    <definedName name="_xlnm.Print_Area" localSheetId="14">'TR (5)'!$A$1:$AB$47</definedName>
    <definedName name="_xlnm.Print_Area" localSheetId="15">'TR (6)'!$A$1:$AB$46</definedName>
    <definedName name="DD" localSheetId="3">'LI (3)'!DD</definedName>
    <definedName name="DD" localSheetId="5">'LI (5)'!DD</definedName>
    <definedName name="DD" localSheetId="6">'LI (6)'!DD</definedName>
    <definedName name="DD" localSheetId="7">'LI (7)'!DD</definedName>
    <definedName name="DD" localSheetId="8">'LI (8)'!DD</definedName>
    <definedName name="DD" localSheetId="18">'SA (3)'!DD</definedName>
    <definedName name="DD" localSheetId="19">'SA (4)'!DD</definedName>
    <definedName name="DD" localSheetId="22">'SA (7)'!DD</definedName>
    <definedName name="DD" localSheetId="23">'SA (8)'!DD</definedName>
    <definedName name="DD" localSheetId="24">'SA (9)'!DD</definedName>
    <definedName name="DD" localSheetId="11">'TR (2)'!DD</definedName>
    <definedName name="DD" localSheetId="13">'TR (4)'!DD</definedName>
    <definedName name="DD" localSheetId="14">'TR (5)'!DD</definedName>
    <definedName name="DD">[0]!DD</definedName>
    <definedName name="DDD" localSheetId="3">'LI (3)'!DDD</definedName>
    <definedName name="DDD" localSheetId="5">'LI (5)'!DDD</definedName>
    <definedName name="DDD" localSheetId="6">'LI (6)'!DDD</definedName>
    <definedName name="DDD" localSheetId="7">'LI (7)'!DDD</definedName>
    <definedName name="DDD" localSheetId="8">'LI (8)'!DDD</definedName>
    <definedName name="DDD" localSheetId="18">'SA (3)'!DDD</definedName>
    <definedName name="DDD" localSheetId="19">'SA (4)'!DDD</definedName>
    <definedName name="DDD" localSheetId="22">'SA (7)'!DDD</definedName>
    <definedName name="DDD" localSheetId="23">'SA (8)'!DDD</definedName>
    <definedName name="DDD" localSheetId="24">'SA (9)'!DDD</definedName>
    <definedName name="DDD" localSheetId="11">'TR (2)'!DDD</definedName>
    <definedName name="DDD" localSheetId="13">'TR (4)'!DDD</definedName>
    <definedName name="DDD" localSheetId="14">'TR (5)'!DDD</definedName>
    <definedName name="DDD">[0]!DDD</definedName>
    <definedName name="DISTROCUYO" localSheetId="3">'LI (3)'!DISTROCUYO</definedName>
    <definedName name="DISTROCUYO" localSheetId="5">'LI (5)'!DISTROCUYO</definedName>
    <definedName name="DISTROCUYO" localSheetId="6">'LI (6)'!DISTROCUYO</definedName>
    <definedName name="DISTROCUYO" localSheetId="7">'LI (7)'!DISTROCUYO</definedName>
    <definedName name="DISTROCUYO" localSheetId="8">'LI (8)'!DISTROCUYO</definedName>
    <definedName name="DISTROCUYO" localSheetId="18">'SA (3)'!DISTROCUYO</definedName>
    <definedName name="DISTROCUYO" localSheetId="19">'SA (4)'!DISTROCUYO</definedName>
    <definedName name="DISTROCUYO" localSheetId="22">'SA (7)'!DISTROCUYO</definedName>
    <definedName name="DISTROCUYO" localSheetId="23">'SA (8)'!DISTROCUYO</definedName>
    <definedName name="DISTROCUYO" localSheetId="24">'SA (9)'!DISTROCUYO</definedName>
    <definedName name="DISTROCUYO" localSheetId="11">'TR (2)'!DISTROCUYO</definedName>
    <definedName name="DISTROCUYO" localSheetId="13">'TR (4)'!DISTROCUYO</definedName>
    <definedName name="DISTROCUYO" localSheetId="14">'TR (5)'!DISTROCUYO</definedName>
    <definedName name="DISTROCUYO">[0]!DISTROCUYO</definedName>
    <definedName name="INICIO" localSheetId="3">'LI (3)'!INICIO</definedName>
    <definedName name="INICIO" localSheetId="5">'LI (5)'!INICIO</definedName>
    <definedName name="INICIO" localSheetId="6">'LI (6)'!INICIO</definedName>
    <definedName name="INICIO" localSheetId="7">'LI (7)'!INICIO</definedName>
    <definedName name="INICIO" localSheetId="8">'LI (8)'!INICIO</definedName>
    <definedName name="INICIO" localSheetId="18">'SA (3)'!INICIO</definedName>
    <definedName name="INICIO" localSheetId="19">'SA (4)'!INICIO</definedName>
    <definedName name="INICIO" localSheetId="22">'SA (7)'!INICIO</definedName>
    <definedName name="INICIO" localSheetId="23">'SA (8)'!INICIO</definedName>
    <definedName name="INICIO" localSheetId="24">'SA (9)'!INICIO</definedName>
    <definedName name="INICIO" localSheetId="11">'TR (2)'!INICIO</definedName>
    <definedName name="INICIO" localSheetId="13">'TR (4)'!INICIO</definedName>
    <definedName name="INICIO" localSheetId="14">'TR (5)'!INICIO</definedName>
    <definedName name="INICIO">[0]!INICIO</definedName>
    <definedName name="INICIOTI" localSheetId="3">'LI (3)'!INICIOTI</definedName>
    <definedName name="INICIOTI" localSheetId="5">'LI (5)'!INICIOTI</definedName>
    <definedName name="INICIOTI" localSheetId="6">'LI (6)'!INICIOTI</definedName>
    <definedName name="INICIOTI" localSheetId="7">'LI (7)'!INICIOTI</definedName>
    <definedName name="INICIOTI" localSheetId="8">'LI (8)'!INICIOTI</definedName>
    <definedName name="INICIOTI" localSheetId="18">'SA (3)'!INICIOTI</definedName>
    <definedName name="INICIOTI" localSheetId="19">'SA (4)'!INICIOTI</definedName>
    <definedName name="INICIOTI" localSheetId="22">'SA (7)'!INICIOTI</definedName>
    <definedName name="INICIOTI" localSheetId="23">'SA (8)'!INICIOTI</definedName>
    <definedName name="INICIOTI" localSheetId="24">'SA (9)'!INICIOTI</definedName>
    <definedName name="INICIOTI" localSheetId="11">'TR (2)'!INICIOTI</definedName>
    <definedName name="INICIOTI" localSheetId="13">'TR (4)'!INICIOTI</definedName>
    <definedName name="INICIOTI" localSheetId="14">'TR (5)'!INICIOTI</definedName>
    <definedName name="INICIOTI">[0]!INICIOTI</definedName>
    <definedName name="LINEAS" localSheetId="3">'LI (3)'!LINEAS</definedName>
    <definedName name="LINEAS" localSheetId="5">'LI (5)'!LINEAS</definedName>
    <definedName name="LINEAS" localSheetId="6">'LI (6)'!LINEAS</definedName>
    <definedName name="LINEAS" localSheetId="7">'LI (7)'!LINEAS</definedName>
    <definedName name="LINEAS" localSheetId="8">'LI (8)'!LINEAS</definedName>
    <definedName name="LINEAS" localSheetId="18">'SA (3)'!LINEAS</definedName>
    <definedName name="LINEAS" localSheetId="19">'SA (4)'!LINEAS</definedName>
    <definedName name="LINEAS" localSheetId="22">'SA (7)'!LINEAS</definedName>
    <definedName name="LINEAS" localSheetId="23">'SA (8)'!LINEAS</definedName>
    <definedName name="LINEAS" localSheetId="24">'SA (9)'!LINEAS</definedName>
    <definedName name="LINEAS" localSheetId="11">'TR (2)'!LINEAS</definedName>
    <definedName name="LINEAS" localSheetId="13">'TR (4)'!LINEAS</definedName>
    <definedName name="LINEAS" localSheetId="14">'TR (5)'!LINEAS</definedName>
    <definedName name="LINEAS">[0]!LINEAS</definedName>
    <definedName name="LINEASTI" localSheetId="3">'LI (3)'!LINEASTI</definedName>
    <definedName name="LINEASTI" localSheetId="5">'LI (5)'!LINEASTI</definedName>
    <definedName name="LINEASTI" localSheetId="6">'LI (6)'!LINEASTI</definedName>
    <definedName name="LINEASTI" localSheetId="7">'LI (7)'!LINEASTI</definedName>
    <definedName name="LINEASTI" localSheetId="8">'LI (8)'!LINEASTI</definedName>
    <definedName name="LINEASTI" localSheetId="18">'SA (3)'!LINEASTI</definedName>
    <definedName name="LINEASTI" localSheetId="19">'SA (4)'!LINEASTI</definedName>
    <definedName name="LINEASTI" localSheetId="22">'SA (7)'!LINEASTI</definedName>
    <definedName name="LINEASTI" localSheetId="23">'SA (8)'!LINEASTI</definedName>
    <definedName name="LINEASTI" localSheetId="24">'SA (9)'!LINEASTI</definedName>
    <definedName name="LINEASTI" localSheetId="11">'TR (2)'!LINEASTI</definedName>
    <definedName name="LINEASTI" localSheetId="13">'TR (4)'!LINEASTI</definedName>
    <definedName name="LINEASTI" localSheetId="14">'TR (5)'!LINEASTI</definedName>
    <definedName name="LINEASTI">[0]!LINEASTI</definedName>
    <definedName name="NAME_L" localSheetId="3">'LI (3)'!NAME_L</definedName>
    <definedName name="NAME_L" localSheetId="5">'LI (5)'!NAME_L</definedName>
    <definedName name="NAME_L" localSheetId="6">'LI (6)'!NAME_L</definedName>
    <definedName name="NAME_L" localSheetId="7">'LI (7)'!NAME_L</definedName>
    <definedName name="NAME_L" localSheetId="8">'LI (8)'!NAME_L</definedName>
    <definedName name="NAME_L" localSheetId="18">'SA (3)'!NAME_L</definedName>
    <definedName name="NAME_L" localSheetId="19">'SA (4)'!NAME_L</definedName>
    <definedName name="NAME_L" localSheetId="22">'SA (7)'!NAME_L</definedName>
    <definedName name="NAME_L" localSheetId="23">'SA (8)'!NAME_L</definedName>
    <definedName name="NAME_L" localSheetId="24">'SA (9)'!NAME_L</definedName>
    <definedName name="NAME_L" localSheetId="11">'TR (2)'!NAME_L</definedName>
    <definedName name="NAME_L" localSheetId="13">'TR (4)'!NAME_L</definedName>
    <definedName name="NAME_L" localSheetId="14">'TR (5)'!NAME_L</definedName>
    <definedName name="NAME_L">[0]!NAME_L</definedName>
    <definedName name="NAME_L_TI" localSheetId="3">'LI (3)'!NAME_L_TI</definedName>
    <definedName name="NAME_L_TI" localSheetId="5">'LI (5)'!NAME_L_TI</definedName>
    <definedName name="NAME_L_TI" localSheetId="6">'LI (6)'!NAME_L_TI</definedName>
    <definedName name="NAME_L_TI" localSheetId="7">'LI (7)'!NAME_L_TI</definedName>
    <definedName name="NAME_L_TI" localSheetId="8">'LI (8)'!NAME_L_TI</definedName>
    <definedName name="NAME_L_TI" localSheetId="18">'SA (3)'!NAME_L_TI</definedName>
    <definedName name="NAME_L_TI" localSheetId="19">'SA (4)'!NAME_L_TI</definedName>
    <definedName name="NAME_L_TI" localSheetId="22">'SA (7)'!NAME_L_TI</definedName>
    <definedName name="NAME_L_TI" localSheetId="23">'SA (8)'!NAME_L_TI</definedName>
    <definedName name="NAME_L_TI" localSheetId="24">'SA (9)'!NAME_L_TI</definedName>
    <definedName name="NAME_L_TI" localSheetId="11">'TR (2)'!NAME_L_TI</definedName>
    <definedName name="NAME_L_TI" localSheetId="13">'TR (4)'!NAME_L_TI</definedName>
    <definedName name="NAME_L_TI" localSheetId="14">'TR (5)'!NAME_L_TI</definedName>
    <definedName name="NAME_L_TI">[0]!NAME_L_TI</definedName>
    <definedName name="TRANSNOA" localSheetId="3">'LI (3)'!TRANSNOA</definedName>
    <definedName name="TRANSNOA" localSheetId="5">'LI (5)'!TRANSNOA</definedName>
    <definedName name="TRANSNOA" localSheetId="6">'LI (6)'!TRANSNOA</definedName>
    <definedName name="TRANSNOA" localSheetId="7">'LI (7)'!TRANSNOA</definedName>
    <definedName name="TRANSNOA" localSheetId="8">'LI (8)'!TRANSNOA</definedName>
    <definedName name="TRANSNOA" localSheetId="18">'SA (3)'!TRANSNOA</definedName>
    <definedName name="TRANSNOA" localSheetId="19">'SA (4)'!TRANSNOA</definedName>
    <definedName name="TRANSNOA" localSheetId="22">'SA (7)'!TRANSNOA</definedName>
    <definedName name="TRANSNOA" localSheetId="23">'SA (8)'!TRANSNOA</definedName>
    <definedName name="TRANSNOA" localSheetId="24">'SA (9)'!TRANSNOA</definedName>
    <definedName name="TRANSNOA" localSheetId="11">'TR (2)'!TRANSNOA</definedName>
    <definedName name="TRANSNOA" localSheetId="13">'TR (4)'!TRANSNOA</definedName>
    <definedName name="TRANSNOA" localSheetId="14">'TR (5)'!TRANSNOA</definedName>
    <definedName name="TRANSNOA">[0]!TRANSNOA</definedName>
    <definedName name="TRANSPA" localSheetId="3">'LI (3)'!TRANSPA</definedName>
    <definedName name="TRANSPA" localSheetId="5">'LI (5)'!TRANSPA</definedName>
    <definedName name="TRANSPA" localSheetId="6">'LI (6)'!TRANSPA</definedName>
    <definedName name="TRANSPA" localSheetId="7">'LI (7)'!TRANSPA</definedName>
    <definedName name="TRANSPA" localSheetId="8">'LI (8)'!TRANSPA</definedName>
    <definedName name="TRANSPA" localSheetId="18">'SA (3)'!TRANSPA</definedName>
    <definedName name="TRANSPA" localSheetId="19">'SA (4)'!TRANSPA</definedName>
    <definedName name="TRANSPA" localSheetId="22">'SA (7)'!TRANSPA</definedName>
    <definedName name="TRANSPA" localSheetId="23">'SA (8)'!TRANSPA</definedName>
    <definedName name="TRANSPA" localSheetId="24">'SA (9)'!TRANSPA</definedName>
    <definedName name="TRANSPA" localSheetId="11">'TR (2)'!TRANSPA</definedName>
    <definedName name="TRANSPA" localSheetId="13">'TR (4)'!TRANSPA</definedName>
    <definedName name="TRANSPA" localSheetId="14">'TR (5)'!TRANSPA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<sst xmlns="http://schemas.openxmlformats.org/spreadsheetml/2006/main" count="2110" uniqueCount="259">
  <si>
    <t>SISTEMA DE TRANSPORTE DE ENERGÍA ELÉCTRICA POR DISTRIBUCIÓN TRONCAL</t>
  </si>
  <si>
    <t>TRANSCOMAHUE</t>
  </si>
  <si>
    <t>LÍNEAS</t>
  </si>
  <si>
    <t>ALTO VALLE - CENTENARIO</t>
  </si>
  <si>
    <t>CHOCON OESTE - CHOCON</t>
  </si>
  <si>
    <t>CINCO SALTOS - ALTO VALLE</t>
  </si>
  <si>
    <t>CIPOLLETTI - TERMOROCA</t>
  </si>
  <si>
    <t>DIVISADEROS - MEDANITOS</t>
  </si>
  <si>
    <t>ENTRE LOMAS - CENTENARIO</t>
  </si>
  <si>
    <t>ENTRE LOMAS - MEDANITOS</t>
  </si>
  <si>
    <t>GRAL. ROCA - VILLA REGINA</t>
  </si>
  <si>
    <t>MEDANITOS - PLAYA PLANICIE BANDERITA</t>
  </si>
  <si>
    <t xml:space="preserve"> TRAFO 1</t>
  </si>
  <si>
    <t>132/33/13,2</t>
  </si>
  <si>
    <t xml:space="preserve"> TRAFO 2</t>
  </si>
  <si>
    <t xml:space="preserve">ARROYITO </t>
  </si>
  <si>
    <t>TRAFO</t>
  </si>
  <si>
    <t xml:space="preserve">CIPOLLETTI </t>
  </si>
  <si>
    <t>132/66/13,2</t>
  </si>
  <si>
    <t xml:space="preserve">COLONIA VALENTINA </t>
  </si>
  <si>
    <t>TRAFO 1</t>
  </si>
  <si>
    <t xml:space="preserve">GENERAL ROCA </t>
  </si>
  <si>
    <t xml:space="preserve"> TRAFO 3</t>
  </si>
  <si>
    <t>132/13,2</t>
  </si>
  <si>
    <t xml:space="preserve">INDUPA </t>
  </si>
  <si>
    <t xml:space="preserve">MEDANITOS </t>
  </si>
  <si>
    <t>132/33</t>
  </si>
  <si>
    <t xml:space="preserve">PUESTO HERNANDEZ </t>
  </si>
  <si>
    <t xml:space="preserve"> TRAFO 4</t>
  </si>
  <si>
    <t xml:space="preserve">SEÑAL PICADA </t>
  </si>
  <si>
    <t xml:space="preserve">VILLA REGINA </t>
  </si>
  <si>
    <t>CINCO SALTOS</t>
  </si>
  <si>
    <t>SALIDA ALIMENT. N° 3 EDERSA</t>
  </si>
  <si>
    <t>ARROYITO</t>
  </si>
  <si>
    <t xml:space="preserve"> SALIDA LINEA AGUA CAJON 1</t>
  </si>
  <si>
    <t>SALIDA LINEA AGUA CAJON 2</t>
  </si>
  <si>
    <t>CIPOLLETTI</t>
  </si>
  <si>
    <t>SALIDA LINEA ALLEN</t>
  </si>
  <si>
    <t>GRAL. ROCA</t>
  </si>
  <si>
    <t>SALIDA ALIMENT. N° 4</t>
  </si>
  <si>
    <t>SALIDA ALIMENT. N° 5</t>
  </si>
  <si>
    <t>VILLA REGINA</t>
  </si>
  <si>
    <t>SALIDA ALIMENT. N° 4 EDERSA</t>
  </si>
  <si>
    <t>COLONIA VALENTINA</t>
  </si>
  <si>
    <t>DIVISADEROS</t>
  </si>
  <si>
    <t>SALIDA MEDANITOS</t>
  </si>
  <si>
    <t>DISTRIBUIDOR PLOTTIER</t>
  </si>
  <si>
    <t>PUESTO DE SECCIONAMIENTO</t>
  </si>
  <si>
    <t>CENTRAL HIDRAULICA</t>
  </si>
  <si>
    <t>ALIMENTADOR ALSINA</t>
  </si>
  <si>
    <t>ALIMENTADOR STEFENELLI</t>
  </si>
  <si>
    <t>ALIMENTADOR NORTE</t>
  </si>
  <si>
    <t>ALIMENTADOR PARQUE IND. 1</t>
  </si>
  <si>
    <t>ALIMENTADOR FLOR DEL VALLE</t>
  </si>
  <si>
    <t>ALIMENTADOR MITRE</t>
  </si>
  <si>
    <t>ALIMENTADOR SARMIENTO</t>
  </si>
  <si>
    <t>ALIMENTADOR PARQUE IND. 2</t>
  </si>
  <si>
    <t>PTO. HERNANDEZ</t>
  </si>
  <si>
    <t>ALIMENTADOR SAN JORGE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</si>
  <si>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</si>
  <si>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</si>
  <si>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</si>
  <si>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</si>
  <si>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</si>
  <si>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</si>
  <si>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</si>
  <si>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</si>
  <si>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</si>
  <si>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</si>
  <si>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</si>
  <si>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TRANSCOMAHUE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</si>
  <si>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</si>
  <si>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</si>
  <si>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</si>
  <si>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</si>
  <si>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</si>
  <si>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</si>
  <si>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</si>
  <si>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</si>
  <si>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</si>
  <si>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</si>
  <si>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</si>
  <si>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</si>
  <si>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</si>
  <si>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</si>
  <si>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</si>
  <si>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</si>
  <si>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</si>
  <si>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</si>
  <si>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</si>
  <si>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</si>
  <si>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</si>
  <si>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</si>
  <si>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</si>
  <si>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</si>
  <si>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</si>
  <si>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</si>
  <si>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</si>
  <si>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</si>
  <si>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</si>
  <si>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</si>
  <si>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</si>
  <si>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</si>
  <si>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</si>
  <si>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</si>
  <si>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</si>
  <si>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</si>
  <si>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</si>
  <si>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</si>
  <si>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</si>
  <si>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P - PROGRAMADA               RP - REDUCCIÓN PROGRAMADA               RR - REDUCCIÓN RESTANTE ( proveniente de horas anteriores )</t>
  </si>
  <si>
    <t>F - FORZADA                  R - REDUCCIÓN FORZADA                   RF - RESTANTE FORZADA ( proveniente de horas anteriores )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</si>
  <si>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</si>
  <si>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</si>
  <si>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</si>
  <si>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</si>
  <si>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</si>
  <si>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</si>
  <si>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</si>
  <si>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</si>
  <si>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</si>
  <si>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</t>
  </si>
  <si>
    <t>F</t>
  </si>
  <si>
    <t>R</t>
  </si>
  <si>
    <t>ALIMENT. OLDELVAL</t>
  </si>
  <si>
    <t>"1999 - Año de la Exportación"</t>
  </si>
  <si>
    <t/>
  </si>
  <si>
    <t>DIFERENCIA</t>
  </si>
  <si>
    <t>CINCO SALTOS - TERMOROCA</t>
  </si>
  <si>
    <t>SI</t>
  </si>
  <si>
    <t>MEDANITOS - PTO. SECCIONAMIENTO</t>
  </si>
  <si>
    <t>PTO. SECCIONAMIENTO - PTO. HERNANDEZ</t>
  </si>
  <si>
    <t xml:space="preserve">PTO. SECCIONAMIENTO - SEÑAL PICADA </t>
  </si>
  <si>
    <t>ALTO VALLE - CIPOLLETTI</t>
  </si>
  <si>
    <t>TERMOROCA - GRAL. ROCA</t>
  </si>
  <si>
    <t xml:space="preserve">ALTO VALLE </t>
  </si>
  <si>
    <t>SALIDA ALIMENT. N° 1</t>
  </si>
  <si>
    <t>ALIMENTADOR OLDELVAL</t>
  </si>
  <si>
    <t>ALIMENTADOR O.T.S.A.</t>
  </si>
  <si>
    <t>CHOCON</t>
  </si>
  <si>
    <t>SALIDA CUTRAL CO</t>
  </si>
  <si>
    <t>ALIMENTADOR OLEODUCTO MZA.</t>
  </si>
  <si>
    <t>CINCO SALTOS - PLAYA PLANICIE BANDERITA</t>
  </si>
  <si>
    <t>ALTO VALLE - COLONIA VALENTINA</t>
  </si>
  <si>
    <t>COLONIA VALENTINA - ARROYITO</t>
  </si>
  <si>
    <t>ARROYITO - GEN. 3 C.H. ARROYITO</t>
  </si>
  <si>
    <t>ARROYITO - GEN. 1 C.H. ARROYITO</t>
  </si>
  <si>
    <t>ARROYITO - GEN. 2 C.H. ARROYITO</t>
  </si>
  <si>
    <t>PLANICIE BANDERITA</t>
  </si>
  <si>
    <t>SALIDA ALIMENT. N° 2</t>
  </si>
  <si>
    <t>PLAYA PLANICIE BANDERITA - PLANICIE BANDERITA</t>
  </si>
  <si>
    <t>ARROYITO - CHOCON 1</t>
  </si>
  <si>
    <t>ARROYITO - CHOCON 2</t>
  </si>
  <si>
    <t xml:space="preserve">P. DEL AGUILA </t>
  </si>
  <si>
    <t>SALIDA L.OESTE</t>
  </si>
  <si>
    <t>SALIDA L. ESTE</t>
  </si>
  <si>
    <t>SEÑAL PICADA</t>
  </si>
  <si>
    <t>ALIMENTADOR GUERRICO</t>
  </si>
  <si>
    <t>SALIDA ALIMENT. N° 3</t>
  </si>
  <si>
    <t>ALIMENT. BAT. 7 Y 8</t>
  </si>
  <si>
    <t>P. HERNANDEZ</t>
  </si>
  <si>
    <t>SALIDA PIAD</t>
  </si>
  <si>
    <t>LINEA FILO MORADO</t>
  </si>
  <si>
    <t>ALIMENT. DESFILADERO BAYO 1</t>
  </si>
  <si>
    <t>CELDA DE TRANSF.</t>
  </si>
  <si>
    <t>SALIDA 1 ELECTROBOMBAS</t>
  </si>
  <si>
    <t>SALIDA ALIMENT. N° 1 EDERSA</t>
  </si>
  <si>
    <t>SALIDA ALIMENT. N° 6 EDERSA</t>
  </si>
  <si>
    <t>ALIMENT. BAT. 1,3 Y 6</t>
  </si>
  <si>
    <t>ALIMENT. PLANTA IND.</t>
  </si>
  <si>
    <t>ALIMENT. PTO. MOLINA</t>
  </si>
  <si>
    <t>ALIMENT. DESFILADERO BAYO 2</t>
  </si>
  <si>
    <t>ENTRE LOMAS - RÍO NEUQUEN</t>
  </si>
  <si>
    <t>ALTO VALLE - COLONIA VALENTINA - ARROYITO</t>
  </si>
  <si>
    <t>13A</t>
  </si>
  <si>
    <t>RIO NEUQUEN - CENTENARIO</t>
  </si>
  <si>
    <t>SALIDA ALIMENT. N° 2 EDERSA</t>
  </si>
  <si>
    <t>SALIDA ALIMENT. N° 5 EDERSA</t>
  </si>
  <si>
    <t>PIEDRA DEL AGUILA - CHOCON</t>
  </si>
  <si>
    <t xml:space="preserve"> SALIDA LINEA PLAZA HUINCUL</t>
  </si>
  <si>
    <t xml:space="preserve"> SALIDA LINEA GRAN NEUQUEN</t>
  </si>
  <si>
    <t>SALIDA CINCO SALTOS</t>
  </si>
  <si>
    <t>SALIDA C.O.D.</t>
  </si>
  <si>
    <t>RIO NEUQUEN - MEDANITOS</t>
  </si>
  <si>
    <t>ARROYITO - P.I.A.P.  1</t>
  </si>
  <si>
    <t>ARROYITO - P.I.A.P.  2</t>
  </si>
  <si>
    <t>CENTENARIO - RÍO NEUQUÉN</t>
  </si>
  <si>
    <t>RR</t>
  </si>
  <si>
    <t xml:space="preserve">PIEDRA DEL AGUILA </t>
  </si>
  <si>
    <t>P. DEL AGUILA</t>
  </si>
  <si>
    <t xml:space="preserve"> SALIDA ALIMENT. TRANSENER</t>
  </si>
  <si>
    <t>P. AGUILA</t>
  </si>
  <si>
    <t>SALIDA L. OESTE</t>
  </si>
  <si>
    <t>ALIMENTADOR CHIUIDO</t>
  </si>
  <si>
    <t>ALIMENT. ELECTROBOMBAS</t>
  </si>
  <si>
    <t>ALIMENT. BAT. 2 Y 5</t>
  </si>
  <si>
    <t>ALIMENT. CAMPAMENTO YPF</t>
  </si>
  <si>
    <t>ALIMENTADOR RINCON DE LOS SAUCES</t>
  </si>
  <si>
    <t>TERMOROCA</t>
  </si>
  <si>
    <t>CAMPO TRAFO TP1</t>
  </si>
  <si>
    <t>SALIDA PIAP 2</t>
  </si>
  <si>
    <t>SALIDA ALIMENT. N° 1 CALF</t>
  </si>
  <si>
    <t>SALIDA EPEN N° 1</t>
  </si>
  <si>
    <t>SALIDA ALIMENT. N° 4 CALF</t>
  </si>
  <si>
    <t>SALIDA TRAFO 2</t>
  </si>
  <si>
    <t>SALIDA TRAFO 4</t>
  </si>
  <si>
    <t>ALTO VALLE</t>
  </si>
  <si>
    <t>SALIDA ALIMENT. N° 7 EDERSA</t>
  </si>
  <si>
    <t>PTO. HERNÁNDEZ</t>
  </si>
  <si>
    <t>SALIDA ALIMENTADOR UTE</t>
  </si>
  <si>
    <t>SALIDA P.I.N.</t>
  </si>
  <si>
    <t>ALIMENT. PTA. DE AGUA</t>
  </si>
  <si>
    <t>ALIMENTADOR 1</t>
  </si>
  <si>
    <t xml:space="preserve"> SALIDA ALIMENT. N°1 EPEN</t>
  </si>
  <si>
    <t>Transporte de la hoja 1/9</t>
  </si>
  <si>
    <t>Transporte de la hoja 2/9</t>
  </si>
  <si>
    <t>Transporte de la hoja 3/9</t>
  </si>
  <si>
    <t>Transporte de la hoja 4/9</t>
  </si>
  <si>
    <t>Transporte de la hoja 5/9</t>
  </si>
  <si>
    <t>Transporte de la hoja 6/9</t>
  </si>
  <si>
    <t>Transporte de la hoja 7/9</t>
  </si>
  <si>
    <t>Transporte de la hoja 8/9</t>
  </si>
  <si>
    <t>Correspondiente al mes de septiembre de 1998 - Res. ENRE N° 7/99</t>
  </si>
  <si>
    <t>Correspondiente al mes de octubre de 1998 - Res. ENRE N° 310/99</t>
  </si>
  <si>
    <t>Correspondiente al mes de diciembre de 1998 - Res. ENRE N° 622/99</t>
  </si>
  <si>
    <t>Correspondiente al mes de noviembre de 1998 - Res. ENRE N° 318/99</t>
  </si>
  <si>
    <t>Res. ENRE
APLICADA</t>
  </si>
  <si>
    <t>Correspondiente al mes de agosto de 1998 - Res. ENRE N° 1748/98</t>
  </si>
  <si>
    <t>Correspondiente al mes de enero de 1999 - Res. ENRE N° 938/99</t>
  </si>
  <si>
    <t>Correspondiente al mes de febrero de 1999 - Res. ENRE N° 907/99</t>
  </si>
  <si>
    <t>Correspondiente al mes de marzo de 1999 - Res. ENRE N° 987/99</t>
  </si>
  <si>
    <t>Correspondiente al mes de abril de 1999 - Res. ENRE N° 984/99</t>
  </si>
  <si>
    <t>DIFERENCIA DE PENALIZACIONES A APLICAR</t>
  </si>
  <si>
    <t>Desde el 01 de agosto de 1998 al 31 de mayo de 1999</t>
  </si>
  <si>
    <t>PCIE. BANDERITA</t>
  </si>
  <si>
    <t>ALIMENTADOR EL CHAÑAR</t>
  </si>
  <si>
    <t>SALIDA ALIMENT. C. PCIE. BANDERITA</t>
  </si>
  <si>
    <t>LINEA CHIUIDO</t>
  </si>
  <si>
    <t>Correspondiente al mes de mayo de 1999 - Res. ENRE N° 1072/99</t>
  </si>
  <si>
    <t>Desde el 01 de agosto de 1998 al 31 de octubre de 1998</t>
  </si>
  <si>
    <t>Desde el 01 de noviembre de 1998 al 30 de abril de 1999</t>
  </si>
  <si>
    <t>Desde el 01 al 31 de mayo de 1999</t>
  </si>
  <si>
    <t>Transporte de la Hoja 2/6</t>
  </si>
  <si>
    <t>Transporte de la Hoja 3/6</t>
  </si>
  <si>
    <t>Transporte de la Hoja 4/6</t>
  </si>
  <si>
    <t>Transporte de la Hoja 1/6</t>
  </si>
  <si>
    <t>Transporte de la Hoja 5/6</t>
  </si>
  <si>
    <t>Transporte de la hoja 1/10</t>
  </si>
  <si>
    <t>Transporte de la hoja 2/10</t>
  </si>
  <si>
    <t>Transporte de la hoja 3/10</t>
  </si>
  <si>
    <t>Transporte de la hoja 4/10</t>
  </si>
  <si>
    <t>Transporte de la hoja 5/10</t>
  </si>
  <si>
    <t>Transporte de la hoja 6/10</t>
  </si>
  <si>
    <t>Transporte de la hoja 7/10</t>
  </si>
  <si>
    <t>Transporte de la hoja 8/10</t>
  </si>
  <si>
    <t>Transporte de la hoja 9/10</t>
  </si>
  <si>
    <t>Ajuste por Nuevo Cuadro Tarifario - Res. ENRE N° 1132/99</t>
  </si>
  <si>
    <t>FACTOR DE EFICIENCIA (X) =</t>
  </si>
  <si>
    <t>ANEXO III A LA RESOLUCION ENRE N° 1227/99</t>
  </si>
</sst>
</file>

<file path=xl/styles.xml><?xml version="1.0" encoding="utf-8"?>
<styleSheet xmlns="http://schemas.openxmlformats.org/spreadsheetml/2006/main">
  <numFmts count="9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dd\-mmm\-yy_)"/>
    <numFmt numFmtId="207" formatCode="#,##0.0_);\(#,##0.0\)"/>
    <numFmt numFmtId="208" formatCode="&quot;$&quot;\ #,##0.00;&quot;$&quot;\ \-#,##0.000"/>
    <numFmt numFmtId="209" formatCode="&quot;$&quot;#,##0.00"/>
    <numFmt numFmtId="210" formatCode="#.\-"/>
    <numFmt numFmtId="211" formatCode="#.#.\-"/>
    <numFmt numFmtId="212" formatCode="0.0000000"/>
    <numFmt numFmtId="213" formatCode="0.000000"/>
    <numFmt numFmtId="214" formatCode="&quot;$&quot;\ #,##0;\-&quot;$&quot;\ #,##0"/>
    <numFmt numFmtId="215" formatCode="&quot;$&quot;\ #,##0;[Red]\-&quot;$&quot;\ #,##0"/>
    <numFmt numFmtId="216" formatCode="&quot;$&quot;\ #,##0.00;\-&quot;$&quot;\ #,##0.00"/>
    <numFmt numFmtId="217" formatCode="&quot;$&quot;\ #,##0.00;[Red]\-&quot;$&quot;\ #,##0.00"/>
    <numFmt numFmtId="218" formatCode="_-&quot;$&quot;\ * #,##0_-;\-&quot;$&quot;\ * #,##0_-;_-&quot;$&quot;\ * &quot;-&quot;_-;_-@_-"/>
    <numFmt numFmtId="219" formatCode="_-* #,##0_-;\-* #,##0_-;_-* &quot;-&quot;_-;_-@_-"/>
    <numFmt numFmtId="220" formatCode="_-&quot;$&quot;\ * #,##0.00_-;\-&quot;$&quot;\ * #,##0.00_-;_-&quot;$&quot;\ * &quot;-&quot;??_-;_-@_-"/>
    <numFmt numFmtId="221" formatCode="_-* #,##0.00_-;\-* #,##0.00_-;_-* &quot;-&quot;??_-;_-@_-"/>
    <numFmt numFmtId="222" formatCode="\2.\5%"/>
    <numFmt numFmtId="223" formatCode=".00%"/>
    <numFmt numFmtId="224" formatCode="#,##0&quot;Pts&quot;_);\(#,##0&quot;Pts&quot;\)"/>
    <numFmt numFmtId="225" formatCode="#,##0&quot;Pts&quot;_);[Red]\(#,##0&quot;Pts&quot;\)"/>
    <numFmt numFmtId="226" formatCode="#,##0.00&quot;Pts&quot;_);\(#,##0.00&quot;Pts&quot;\)"/>
    <numFmt numFmtId="227" formatCode="#,##0.00&quot;Pts&quot;_);[Red]\(#,##0.00&quot;Pts&quot;\)"/>
    <numFmt numFmtId="228" formatCode="_ * #,##0_)&quot;Pts&quot;_ ;_ * \(#,##0\)&quot;Pts&quot;_ ;_ * &quot;-&quot;_)&quot;Pts&quot;_ ;_ @_ "/>
    <numFmt numFmtId="229" formatCode="_ * #,##0_)_P_t_s_ ;_ * \(#,##0\)_P_t_s_ ;_ * &quot;-&quot;_)_P_t_s_ ;_ @_ "/>
    <numFmt numFmtId="230" formatCode="_ * #,##0.00_)&quot;Pts&quot;_ ;_ * \(#,##0.00\)&quot;Pts&quot;_ ;_ * &quot;-&quot;??_)&quot;Pts&quot;_ ;_ @_ "/>
    <numFmt numFmtId="231" formatCode="_ * #,##0.00_)_P_t_s_ ;_ * \(#,##0.00\)_P_t_s_ ;_ * &quot;-&quot;??_)_P_t_s_ ;_ @_ "/>
    <numFmt numFmtId="232" formatCode="&quot;$&quot;#,##0.00;&quot;$&quot;\-#,##0.00"/>
    <numFmt numFmtId="233" formatCode="0.0\ \k\V"/>
    <numFmt numFmtId="234" formatCode="0.0\ &quot;km&quot;"/>
    <numFmt numFmtId="235" formatCode="#\ &quot;km&quot;"/>
    <numFmt numFmtId="236" formatCode="0.00\ &quot;km&quot;"/>
    <numFmt numFmtId="237" formatCode="0.00\ &quot;MVA&quot;"/>
    <numFmt numFmtId="238" formatCode="0.00000000"/>
    <numFmt numFmtId="239" formatCode="0#"/>
    <numFmt numFmtId="240" formatCode="d\ h:mm"/>
    <numFmt numFmtId="241" formatCode="d\ d\íyys\ \ h:mm"/>
    <numFmt numFmtId="242" formatCode="d\ \'d\íyys\'\ \ h:mm"/>
    <numFmt numFmtId="243" formatCode="d\ &quot;días&quot;\ \ h:mm"/>
    <numFmt numFmtId="244" formatCode="d\ &quot;días&quot;\ \ h:mm\ &quot;horas&quot;"/>
    <numFmt numFmtId="245" formatCode="d/m/yy\ h:mm"/>
  </numFmts>
  <fonts count="85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87">
      <alignment/>
      <protection/>
    </xf>
    <xf numFmtId="0" fontId="2" fillId="0" borderId="0" xfId="87" applyFont="1" applyAlignment="1">
      <alignment horizontal="center"/>
      <protection/>
    </xf>
    <xf numFmtId="0" fontId="9" fillId="0" borderId="0" xfId="87" applyFont="1">
      <alignment/>
      <protection/>
    </xf>
    <xf numFmtId="0" fontId="10" fillId="0" borderId="0" xfId="87" applyFont="1" applyAlignment="1">
      <alignment horizontal="centerContinuous"/>
      <protection/>
    </xf>
    <xf numFmtId="0" fontId="2" fillId="0" borderId="0" xfId="87" applyFont="1" applyAlignment="1">
      <alignment horizontal="right" vertical="top"/>
      <protection/>
    </xf>
    <xf numFmtId="0" fontId="11" fillId="0" borderId="0" xfId="87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2" fillId="0" borderId="0" xfId="87" applyFont="1">
      <alignment/>
      <protection/>
    </xf>
    <xf numFmtId="0" fontId="2" fillId="0" borderId="0" xfId="87" applyFont="1" applyAlignment="1">
      <alignment horizontal="centerContinuous"/>
      <protection/>
    </xf>
    <xf numFmtId="0" fontId="2" fillId="0" borderId="0" xfId="87" applyFont="1" applyBorder="1">
      <alignment/>
      <protection/>
    </xf>
    <xf numFmtId="0" fontId="5" fillId="0" borderId="0" xfId="87" applyFont="1" applyFill="1" applyBorder="1" applyAlignment="1" applyProtection="1">
      <alignment horizontal="centerContinuous"/>
      <protection/>
    </xf>
    <xf numFmtId="0" fontId="12" fillId="0" borderId="0" xfId="87" applyNumberFormat="1" applyFont="1" applyAlignment="1">
      <alignment horizontal="left"/>
      <protection/>
    </xf>
    <xf numFmtId="0" fontId="12" fillId="0" borderId="0" xfId="87" applyFont="1">
      <alignment/>
      <protection/>
    </xf>
    <xf numFmtId="0" fontId="12" fillId="0" borderId="0" xfId="87" applyFont="1" applyBorder="1">
      <alignment/>
      <protection/>
    </xf>
    <xf numFmtId="0" fontId="13" fillId="0" borderId="0" xfId="87" applyFont="1" applyFill="1" applyBorder="1" applyAlignment="1" applyProtection="1">
      <alignment horizontal="left"/>
      <protection/>
    </xf>
    <xf numFmtId="0" fontId="9" fillId="0" borderId="0" xfId="87" applyFont="1" applyBorder="1">
      <alignment/>
      <protection/>
    </xf>
    <xf numFmtId="0" fontId="14" fillId="0" borderId="0" xfId="87" applyFont="1">
      <alignment/>
      <protection/>
    </xf>
    <xf numFmtId="0" fontId="15" fillId="0" borderId="0" xfId="87" applyFont="1" applyBorder="1" applyAlignment="1">
      <alignment horizontal="centerContinuous"/>
      <protection/>
    </xf>
    <xf numFmtId="0" fontId="16" fillId="0" borderId="0" xfId="87" applyFont="1" applyAlignment="1">
      <alignment horizontal="centerContinuous"/>
      <protection/>
    </xf>
    <xf numFmtId="0" fontId="14" fillId="0" borderId="0" xfId="87" applyFont="1" applyAlignment="1">
      <alignment horizontal="centerContinuous"/>
      <protection/>
    </xf>
    <xf numFmtId="0" fontId="14" fillId="0" borderId="0" xfId="87" applyFont="1" applyBorder="1" applyAlignment="1">
      <alignment horizontal="centerContinuous"/>
      <protection/>
    </xf>
    <xf numFmtId="0" fontId="14" fillId="0" borderId="0" xfId="87" applyFont="1" applyBorder="1">
      <alignment/>
      <protection/>
    </xf>
    <xf numFmtId="0" fontId="17" fillId="0" borderId="0" xfId="87" applyFont="1">
      <alignment/>
      <protection/>
    </xf>
    <xf numFmtId="0" fontId="1" fillId="0" borderId="0" xfId="87" applyAlignment="1">
      <alignment horizontal="centerContinuous"/>
      <protection/>
    </xf>
    <xf numFmtId="0" fontId="18" fillId="0" borderId="0" xfId="87" applyFont="1" applyAlignment="1">
      <alignment horizontal="centerContinuous"/>
      <protection/>
    </xf>
    <xf numFmtId="0" fontId="19" fillId="0" borderId="0" xfId="87" applyFont="1">
      <alignment/>
      <protection/>
    </xf>
    <xf numFmtId="0" fontId="20" fillId="0" borderId="0" xfId="87" applyFont="1" applyBorder="1">
      <alignment/>
      <protection/>
    </xf>
    <xf numFmtId="0" fontId="19" fillId="0" borderId="0" xfId="87" applyFont="1" applyBorder="1">
      <alignment/>
      <protection/>
    </xf>
    <xf numFmtId="0" fontId="21" fillId="0" borderId="1" xfId="87" applyFont="1" applyBorder="1">
      <alignment/>
      <protection/>
    </xf>
    <xf numFmtId="0" fontId="21" fillId="0" borderId="2" xfId="87" applyFont="1" applyBorder="1">
      <alignment/>
      <protection/>
    </xf>
    <xf numFmtId="0" fontId="19" fillId="0" borderId="2" xfId="87" applyFont="1" applyBorder="1">
      <alignment/>
      <protection/>
    </xf>
    <xf numFmtId="0" fontId="19" fillId="0" borderId="3" xfId="87" applyFont="1" applyBorder="1">
      <alignment/>
      <protection/>
    </xf>
    <xf numFmtId="0" fontId="22" fillId="0" borderId="0" xfId="87" applyFont="1">
      <alignment/>
      <protection/>
    </xf>
    <xf numFmtId="0" fontId="23" fillId="0" borderId="4" xfId="87" applyFont="1" applyBorder="1" applyAlignment="1">
      <alignment horizontal="centerContinuous"/>
      <protection/>
    </xf>
    <xf numFmtId="0" fontId="1" fillId="0" borderId="0" xfId="87" applyNumberFormat="1" applyAlignment="1">
      <alignment horizontal="centerContinuous"/>
      <protection/>
    </xf>
    <xf numFmtId="0" fontId="22" fillId="0" borderId="0" xfId="87" applyNumberFormat="1" applyFont="1" applyAlignment="1">
      <alignment horizontal="centerContinuous"/>
      <protection/>
    </xf>
    <xf numFmtId="0" fontId="23" fillId="0" borderId="0" xfId="87" applyFont="1" applyBorder="1" applyAlignment="1">
      <alignment horizontal="centerContinuous"/>
      <protection/>
    </xf>
    <xf numFmtId="0" fontId="22" fillId="0" borderId="0" xfId="87" applyFont="1" applyBorder="1" applyAlignment="1">
      <alignment horizontal="centerContinuous"/>
      <protection/>
    </xf>
    <xf numFmtId="0" fontId="22" fillId="0" borderId="5" xfId="87" applyFont="1" applyBorder="1" applyAlignment="1">
      <alignment horizontal="centerContinuous"/>
      <protection/>
    </xf>
    <xf numFmtId="0" fontId="22" fillId="0" borderId="0" xfId="87" applyFont="1" applyBorder="1">
      <alignment/>
      <protection/>
    </xf>
    <xf numFmtId="0" fontId="22" fillId="0" borderId="4" xfId="87" applyFont="1" applyBorder="1">
      <alignment/>
      <protection/>
    </xf>
    <xf numFmtId="0" fontId="24" fillId="0" borderId="0" xfId="87" applyNumberFormat="1" applyFont="1" applyBorder="1" applyAlignment="1">
      <alignment horizontal="right"/>
      <protection/>
    </xf>
    <xf numFmtId="0" fontId="23" fillId="0" borderId="0" xfId="87" applyFont="1" applyBorder="1">
      <alignment/>
      <protection/>
    </xf>
    <xf numFmtId="0" fontId="22" fillId="0" borderId="5" xfId="87" applyFont="1" applyBorder="1">
      <alignment/>
      <protection/>
    </xf>
    <xf numFmtId="0" fontId="24" fillId="0" borderId="0" xfId="87" applyNumberFormat="1" applyFont="1" applyBorder="1" applyAlignment="1">
      <alignment horizontal="centerContinuous"/>
      <protection/>
    </xf>
    <xf numFmtId="0" fontId="24" fillId="0" borderId="0" xfId="87" applyNumberFormat="1" applyFont="1" applyBorder="1" applyAlignment="1">
      <alignment horizontal="right"/>
      <protection/>
    </xf>
    <xf numFmtId="0" fontId="24" fillId="0" borderId="0" xfId="87" applyNumberFormat="1" applyFont="1" applyBorder="1" applyAlignment="1">
      <alignment/>
      <protection/>
    </xf>
    <xf numFmtId="182" fontId="24" fillId="0" borderId="0" xfId="87" applyNumberFormat="1" applyFont="1" applyBorder="1" applyAlignment="1">
      <alignment horizontal="right"/>
      <protection/>
    </xf>
    <xf numFmtId="0" fontId="2" fillId="0" borderId="4" xfId="87" applyFont="1" applyBorder="1">
      <alignment/>
      <protection/>
    </xf>
    <xf numFmtId="0" fontId="4" fillId="0" borderId="0" xfId="87" applyNumberFormat="1" applyFont="1" applyBorder="1" applyAlignment="1">
      <alignment horizontal="right"/>
      <protection/>
    </xf>
    <xf numFmtId="0" fontId="4" fillId="0" borderId="0" xfId="87" applyNumberFormat="1" applyFont="1" applyBorder="1" applyAlignment="1">
      <alignment/>
      <protection/>
    </xf>
    <xf numFmtId="0" fontId="25" fillId="0" borderId="0" xfId="87" applyFont="1" applyBorder="1">
      <alignment/>
      <protection/>
    </xf>
    <xf numFmtId="182" fontId="4" fillId="0" borderId="0" xfId="87" applyNumberFormat="1" applyFont="1" applyBorder="1" applyAlignment="1">
      <alignment horizontal="right"/>
      <protection/>
    </xf>
    <xf numFmtId="0" fontId="2" fillId="0" borderId="5" xfId="87" applyFont="1" applyBorder="1">
      <alignment/>
      <protection/>
    </xf>
    <xf numFmtId="0" fontId="2" fillId="0" borderId="0" xfId="87" applyFont="1" applyBorder="1" applyAlignment="1">
      <alignment horizontal="right"/>
      <protection/>
    </xf>
    <xf numFmtId="0" fontId="24" fillId="0" borderId="0" xfId="87" applyFont="1" applyBorder="1">
      <alignment/>
      <protection/>
    </xf>
    <xf numFmtId="0" fontId="22" fillId="0" borderId="0" xfId="87" applyFont="1" applyBorder="1" applyAlignment="1">
      <alignment horizontal="right"/>
      <protection/>
    </xf>
    <xf numFmtId="0" fontId="24" fillId="0" borderId="6" xfId="87" applyFont="1" applyBorder="1" applyAlignment="1">
      <alignment horizontal="center"/>
      <protection/>
    </xf>
    <xf numFmtId="182" fontId="24" fillId="0" borderId="7" xfId="87" applyNumberFormat="1" applyFont="1" applyBorder="1" applyAlignment="1">
      <alignment horizontal="center"/>
      <protection/>
    </xf>
    <xf numFmtId="182" fontId="24" fillId="0" borderId="0" xfId="87" applyNumberFormat="1" applyFont="1" applyBorder="1" applyAlignment="1">
      <alignment horizontal="center"/>
      <protection/>
    </xf>
    <xf numFmtId="0" fontId="19" fillId="0" borderId="8" xfId="87" applyFont="1" applyBorder="1">
      <alignment/>
      <protection/>
    </xf>
    <xf numFmtId="0" fontId="19" fillId="0" borderId="9" xfId="87" applyNumberFormat="1" applyFont="1" applyBorder="1">
      <alignment/>
      <protection/>
    </xf>
    <xf numFmtId="0" fontId="19" fillId="0" borderId="9" xfId="87" applyFont="1" applyBorder="1">
      <alignment/>
      <protection/>
    </xf>
    <xf numFmtId="0" fontId="19" fillId="0" borderId="10" xfId="87" applyFont="1" applyBorder="1">
      <alignment/>
      <protection/>
    </xf>
    <xf numFmtId="0" fontId="19" fillId="0" borderId="0" xfId="87" applyFont="1" applyFill="1" applyBorder="1">
      <alignment/>
      <protection/>
    </xf>
    <xf numFmtId="4" fontId="19" fillId="0" borderId="0" xfId="87" applyNumberFormat="1" applyFont="1" applyFill="1" applyBorder="1">
      <alignment/>
      <protection/>
    </xf>
    <xf numFmtId="182" fontId="19" fillId="0" borderId="0" xfId="87" applyNumberFormat="1" applyFont="1" applyBorder="1">
      <alignment/>
      <protection/>
    </xf>
    <xf numFmtId="192" fontId="19" fillId="0" borderId="0" xfId="87" applyNumberFormat="1" applyFont="1" applyBorder="1" applyAlignment="1">
      <alignment horizontal="center"/>
      <protection/>
    </xf>
    <xf numFmtId="0" fontId="2" fillId="0" borderId="0" xfId="87" applyFont="1" applyFill="1" applyBorder="1">
      <alignment/>
      <protection/>
    </xf>
    <xf numFmtId="4" fontId="2" fillId="0" borderId="0" xfId="87" applyNumberFormat="1" applyFont="1" applyFill="1" applyBorder="1">
      <alignment/>
      <protection/>
    </xf>
    <xf numFmtId="0" fontId="2" fillId="0" borderId="0" xfId="87" applyFont="1" applyBorder="1" applyAlignment="1">
      <alignment horizontal="center"/>
      <protection/>
    </xf>
    <xf numFmtId="4" fontId="2" fillId="0" borderId="0" xfId="87" applyNumberFormat="1" applyFont="1" applyBorder="1">
      <alignment/>
      <protection/>
    </xf>
    <xf numFmtId="4" fontId="4" fillId="0" borderId="0" xfId="87" applyNumberFormat="1" applyFont="1" applyBorder="1" applyAlignment="1">
      <alignment horizontal="center"/>
      <protection/>
    </xf>
    <xf numFmtId="0" fontId="9" fillId="0" borderId="0" xfId="87" applyFont="1" applyProtection="1">
      <alignment/>
      <protection/>
    </xf>
    <xf numFmtId="0" fontId="9" fillId="0" borderId="0" xfId="87" applyFont="1" applyFill="1" applyProtection="1">
      <alignment/>
      <protection/>
    </xf>
    <xf numFmtId="0" fontId="10" fillId="0" borderId="0" xfId="87" applyFont="1" applyAlignment="1" applyProtection="1">
      <alignment horizontal="centerContinuous"/>
      <protection locked="0"/>
    </xf>
    <xf numFmtId="0" fontId="9" fillId="0" borderId="0" xfId="87" applyFont="1" applyAlignment="1" applyProtection="1">
      <alignment horizontal="centerContinuous"/>
      <protection/>
    </xf>
    <xf numFmtId="0" fontId="2" fillId="0" borderId="0" xfId="87" applyFont="1" applyProtection="1">
      <alignment/>
      <protection/>
    </xf>
    <xf numFmtId="0" fontId="2" fillId="0" borderId="0" xfId="87" applyFont="1" applyFill="1" applyProtection="1">
      <alignment/>
      <protection/>
    </xf>
    <xf numFmtId="0" fontId="12" fillId="0" borderId="0" xfId="87" applyFont="1" applyAlignment="1">
      <alignment horizontal="centerContinuous"/>
      <protection/>
    </xf>
    <xf numFmtId="0" fontId="12" fillId="0" borderId="0" xfId="87" applyFont="1" applyProtection="1">
      <alignment/>
      <protection/>
    </xf>
    <xf numFmtId="0" fontId="2" fillId="0" borderId="1" xfId="87" applyFont="1" applyBorder="1" applyProtection="1">
      <alignment/>
      <protection/>
    </xf>
    <xf numFmtId="0" fontId="2" fillId="0" borderId="2" xfId="87" applyFont="1" applyBorder="1" applyProtection="1">
      <alignment/>
      <protection/>
    </xf>
    <xf numFmtId="0" fontId="2" fillId="0" borderId="3" xfId="87" applyFont="1" applyBorder="1" applyProtection="1">
      <alignment/>
      <protection/>
    </xf>
    <xf numFmtId="0" fontId="2" fillId="0" borderId="4" xfId="87" applyFont="1" applyBorder="1" applyProtection="1">
      <alignment/>
      <protection/>
    </xf>
    <xf numFmtId="0" fontId="2" fillId="0" borderId="0" xfId="87" applyFont="1" applyBorder="1" applyProtection="1">
      <alignment/>
      <protection/>
    </xf>
    <xf numFmtId="0" fontId="18" fillId="0" borderId="0" xfId="87" applyFont="1" applyFill="1" applyBorder="1" applyProtection="1">
      <alignment/>
      <protection/>
    </xf>
    <xf numFmtId="0" fontId="2" fillId="0" borderId="5" xfId="87" applyFont="1" applyBorder="1" applyProtection="1">
      <alignment/>
      <protection/>
    </xf>
    <xf numFmtId="0" fontId="18" fillId="0" borderId="0" xfId="87" applyFont="1" applyBorder="1" applyProtection="1">
      <alignment/>
      <protection/>
    </xf>
    <xf numFmtId="0" fontId="24" fillId="0" borderId="0" xfId="87" applyFont="1" applyBorder="1" applyProtection="1">
      <alignment/>
      <protection/>
    </xf>
    <xf numFmtId="0" fontId="22" fillId="0" borderId="0" xfId="87" applyFont="1" applyProtection="1">
      <alignment/>
      <protection/>
    </xf>
    <xf numFmtId="0" fontId="23" fillId="0" borderId="4" xfId="87" applyFont="1" applyBorder="1" applyAlignment="1" applyProtection="1">
      <alignment horizontal="centerContinuous"/>
      <protection/>
    </xf>
    <xf numFmtId="0" fontId="23" fillId="0" borderId="0" xfId="87" applyFont="1" applyBorder="1" applyAlignment="1" applyProtection="1" quotePrefix="1">
      <alignment horizontal="centerContinuous"/>
      <protection locked="0"/>
    </xf>
    <xf numFmtId="0" fontId="22" fillId="0" borderId="0" xfId="87" applyFont="1" applyAlignment="1" applyProtection="1">
      <alignment horizontal="centerContinuous"/>
      <protection/>
    </xf>
    <xf numFmtId="0" fontId="22" fillId="0" borderId="0" xfId="87" applyFont="1" applyBorder="1" applyAlignment="1" applyProtection="1">
      <alignment horizontal="centerContinuous"/>
      <protection/>
    </xf>
    <xf numFmtId="0" fontId="22" fillId="0" borderId="0" xfId="87" applyFont="1" applyAlignment="1">
      <alignment horizontal="centerContinuous"/>
      <protection/>
    </xf>
    <xf numFmtId="0" fontId="22" fillId="0" borderId="5" xfId="87" applyFont="1" applyBorder="1" applyAlignment="1" applyProtection="1">
      <alignment horizontal="centerContinuous"/>
      <protection/>
    </xf>
    <xf numFmtId="0" fontId="2" fillId="0" borderId="0" xfId="87" applyFont="1" applyBorder="1" applyAlignment="1" applyProtection="1">
      <alignment horizontal="center"/>
      <protection/>
    </xf>
    <xf numFmtId="0" fontId="1" fillId="0" borderId="0" xfId="87" applyFont="1" applyBorder="1" applyProtection="1">
      <alignment/>
      <protection/>
    </xf>
    <xf numFmtId="0" fontId="1" fillId="0" borderId="6" xfId="87" applyFont="1" applyBorder="1" applyAlignment="1" applyProtection="1">
      <alignment horizontal="center"/>
      <protection/>
    </xf>
    <xf numFmtId="203" fontId="1" fillId="0" borderId="6" xfId="87" applyNumberFormat="1" applyFont="1" applyBorder="1" applyAlignment="1" applyProtection="1">
      <alignment horizontal="centerContinuous"/>
      <protection/>
    </xf>
    <xf numFmtId="191" fontId="1" fillId="0" borderId="7" xfId="87" applyNumberFormat="1" applyFont="1" applyBorder="1" applyAlignment="1" applyProtection="1">
      <alignment horizontal="centerContinuous"/>
      <protection/>
    </xf>
    <xf numFmtId="0" fontId="1" fillId="0" borderId="0" xfId="87" applyFont="1" applyProtection="1">
      <alignment/>
      <protection/>
    </xf>
    <xf numFmtId="0" fontId="1" fillId="0" borderId="0" xfId="87" applyFont="1" applyBorder="1" applyAlignment="1" applyProtection="1">
      <alignment horizontal="right"/>
      <protection/>
    </xf>
    <xf numFmtId="0" fontId="1" fillId="0" borderId="0" xfId="87" applyFont="1" applyBorder="1" applyAlignment="1" applyProtection="1">
      <alignment horizontal="left"/>
      <protection locked="0"/>
    </xf>
    <xf numFmtId="0" fontId="1" fillId="0" borderId="0" xfId="87" applyFont="1" applyAlignment="1" applyProtection="1">
      <alignment/>
      <protection/>
    </xf>
    <xf numFmtId="0" fontId="26" fillId="0" borderId="0" xfId="87" applyFont="1" applyBorder="1" applyAlignment="1" applyProtection="1">
      <alignment horizontal="centerContinuous"/>
      <protection/>
    </xf>
    <xf numFmtId="0" fontId="1" fillId="0" borderId="0" xfId="87" applyFont="1" applyBorder="1" applyAlignment="1" applyProtection="1">
      <alignment horizontal="centerContinuous"/>
      <protection/>
    </xf>
    <xf numFmtId="0" fontId="1" fillId="0" borderId="0" xfId="87" applyFont="1" applyAlignment="1" applyProtection="1">
      <alignment horizontal="centerContinuous"/>
      <protection/>
    </xf>
    <xf numFmtId="191" fontId="2" fillId="0" borderId="0" xfId="87" applyNumberFormat="1" applyFont="1" applyBorder="1" applyProtection="1">
      <alignment/>
      <protection/>
    </xf>
    <xf numFmtId="0" fontId="2" fillId="0" borderId="11" xfId="87" applyFont="1" applyBorder="1" applyProtection="1">
      <alignment/>
      <protection/>
    </xf>
    <xf numFmtId="0" fontId="27" fillId="0" borderId="0" xfId="87" applyFont="1" applyAlignment="1" applyProtection="1">
      <alignment horizontal="center" vertical="center"/>
      <protection/>
    </xf>
    <xf numFmtId="0" fontId="27" fillId="0" borderId="4" xfId="87" applyFont="1" applyBorder="1" applyAlignment="1" applyProtection="1">
      <alignment horizontal="center" vertical="center"/>
      <protection/>
    </xf>
    <xf numFmtId="0" fontId="28" fillId="0" borderId="12" xfId="87" applyFont="1" applyBorder="1" applyAlignment="1" applyProtection="1">
      <alignment horizontal="center" vertical="center"/>
      <protection/>
    </xf>
    <xf numFmtId="0" fontId="28" fillId="0" borderId="12" xfId="87" applyFont="1" applyBorder="1" applyAlignment="1" applyProtection="1">
      <alignment horizontal="center" vertical="center" wrapText="1"/>
      <protection/>
    </xf>
    <xf numFmtId="0" fontId="29" fillId="2" borderId="12" xfId="87" applyFont="1" applyFill="1" applyBorder="1" applyAlignment="1" applyProtection="1">
      <alignment horizontal="center" vertical="center"/>
      <protection/>
    </xf>
    <xf numFmtId="0" fontId="28" fillId="0" borderId="12" xfId="87" applyFont="1" applyBorder="1" applyAlignment="1" applyProtection="1">
      <alignment horizontal="centerContinuous" vertical="center" wrapText="1"/>
      <protection/>
    </xf>
    <xf numFmtId="0" fontId="28" fillId="0" borderId="6" xfId="87" applyFont="1" applyBorder="1" applyAlignment="1" applyProtection="1">
      <alignment horizontal="center" vertical="center" wrapText="1"/>
      <protection/>
    </xf>
    <xf numFmtId="0" fontId="31" fillId="3" borderId="12" xfId="87" applyFont="1" applyFill="1" applyBorder="1" applyAlignment="1" applyProtection="1">
      <alignment horizontal="center" vertical="center" wrapText="1"/>
      <protection/>
    </xf>
    <xf numFmtId="0" fontId="32" fillId="4" borderId="12" xfId="87" applyFont="1" applyFill="1" applyBorder="1" applyAlignment="1" applyProtection="1">
      <alignment horizontal="center" vertical="center" wrapText="1"/>
      <protection/>
    </xf>
    <xf numFmtId="0" fontId="33" fillId="3" borderId="6" xfId="87" applyFont="1" applyFill="1" applyBorder="1" applyAlignment="1" applyProtection="1">
      <alignment horizontal="centerContinuous" vertical="center" wrapText="1"/>
      <protection/>
    </xf>
    <xf numFmtId="0" fontId="34" fillId="3" borderId="13" xfId="87" applyFont="1" applyFill="1" applyBorder="1" applyAlignment="1" applyProtection="1">
      <alignment horizontal="centerContinuous" vertical="center"/>
      <protection/>
    </xf>
    <xf numFmtId="0" fontId="33" fillId="3" borderId="7" xfId="87" applyFont="1" applyFill="1" applyBorder="1" applyAlignment="1" applyProtection="1">
      <alignment horizontal="centerContinuous" vertical="center"/>
      <protection/>
    </xf>
    <xf numFmtId="0" fontId="35" fillId="4" borderId="6" xfId="87" applyFont="1" applyFill="1" applyBorder="1" applyAlignment="1" applyProtection="1">
      <alignment horizontal="centerContinuous" vertical="center" wrapText="1"/>
      <protection/>
    </xf>
    <xf numFmtId="0" fontId="6" fillId="4" borderId="13" xfId="87" applyFont="1" applyFill="1" applyBorder="1" applyAlignment="1" applyProtection="1">
      <alignment horizontal="centerContinuous" vertical="center"/>
      <protection/>
    </xf>
    <xf numFmtId="0" fontId="35" fillId="4" borderId="7" xfId="87" applyFont="1" applyFill="1" applyBorder="1" applyAlignment="1" applyProtection="1">
      <alignment horizontal="centerContinuous" vertical="center"/>
      <protection/>
    </xf>
    <xf numFmtId="0" fontId="36" fillId="2" borderId="12" xfId="87" applyFont="1" applyFill="1" applyBorder="1" applyAlignment="1" applyProtection="1">
      <alignment horizontal="center" vertical="center" wrapText="1"/>
      <protection/>
    </xf>
    <xf numFmtId="0" fontId="37" fillId="5" borderId="12" xfId="87" applyFont="1" applyFill="1" applyBorder="1" applyAlignment="1" applyProtection="1">
      <alignment horizontal="center" vertical="center" wrapText="1"/>
      <protection/>
    </xf>
    <xf numFmtId="0" fontId="27" fillId="0" borderId="5" xfId="87" applyFont="1" applyBorder="1" applyAlignment="1" applyProtection="1">
      <alignment horizontal="center" vertical="center"/>
      <protection/>
    </xf>
    <xf numFmtId="0" fontId="2" fillId="0" borderId="4" xfId="87" applyFont="1" applyBorder="1" applyProtection="1">
      <alignment/>
      <protection locked="0"/>
    </xf>
    <xf numFmtId="0" fontId="2" fillId="0" borderId="14" xfId="87" applyFont="1" applyBorder="1" applyProtection="1">
      <alignment/>
      <protection locked="0"/>
    </xf>
    <xf numFmtId="0" fontId="2" fillId="0" borderId="15" xfId="87" applyFont="1" applyBorder="1" applyAlignment="1" applyProtection="1">
      <alignment horizontal="center"/>
      <protection locked="0"/>
    </xf>
    <xf numFmtId="188" fontId="2" fillId="0" borderId="14" xfId="87" applyNumberFormat="1" applyFont="1" applyBorder="1" applyAlignment="1" applyProtection="1">
      <alignment horizontal="center"/>
      <protection locked="0"/>
    </xf>
    <xf numFmtId="188" fontId="2" fillId="0" borderId="14" xfId="87" applyNumberFormat="1" applyFont="1" applyBorder="1" applyAlignment="1" applyProtection="1">
      <alignment horizontal="center" vertical="center"/>
      <protection locked="0"/>
    </xf>
    <xf numFmtId="0" fontId="38" fillId="2" borderId="14" xfId="87" applyFont="1" applyFill="1" applyBorder="1" applyAlignment="1" applyProtection="1">
      <alignment horizontal="center"/>
      <protection locked="0"/>
    </xf>
    <xf numFmtId="0" fontId="2" fillId="0" borderId="14" xfId="87" applyFont="1" applyBorder="1" applyAlignment="1" applyProtection="1">
      <alignment horizontal="center"/>
      <protection locked="0"/>
    </xf>
    <xf numFmtId="0" fontId="2" fillId="0" borderId="15" xfId="87" applyFont="1" applyBorder="1" applyAlignment="1" applyProtection="1" quotePrefix="1">
      <alignment horizontal="center"/>
      <protection locked="0"/>
    </xf>
    <xf numFmtId="0" fontId="39" fillId="3" borderId="14" xfId="87" applyFont="1" applyFill="1" applyBorder="1" applyAlignment="1" applyProtection="1">
      <alignment horizontal="center"/>
      <protection locked="0"/>
    </xf>
    <xf numFmtId="0" fontId="40" fillId="6" borderId="14" xfId="87" applyFont="1" applyFill="1" applyBorder="1" applyAlignment="1" applyProtection="1">
      <alignment horizontal="center"/>
      <protection locked="0"/>
    </xf>
    <xf numFmtId="0" fontId="41" fillId="3" borderId="16" xfId="87" applyFont="1" applyFill="1" applyBorder="1" applyAlignment="1" applyProtection="1">
      <alignment horizontal="center"/>
      <protection locked="0"/>
    </xf>
    <xf numFmtId="0" fontId="41" fillId="3" borderId="15" xfId="87" applyFont="1" applyFill="1" applyBorder="1" applyAlignment="1" applyProtection="1">
      <alignment horizontal="center"/>
      <protection locked="0"/>
    </xf>
    <xf numFmtId="0" fontId="41" fillId="3" borderId="17" xfId="87" applyFont="1" applyFill="1" applyBorder="1" applyAlignment="1" applyProtection="1">
      <alignment horizontal="left"/>
      <protection locked="0"/>
    </xf>
    <xf numFmtId="0" fontId="7" fillId="6" borderId="16" xfId="87" applyFont="1" applyFill="1" applyBorder="1" applyAlignment="1" applyProtection="1">
      <alignment horizontal="center"/>
      <protection locked="0"/>
    </xf>
    <xf numFmtId="0" fontId="7" fillId="6" borderId="15" xfId="87" applyFont="1" applyFill="1" applyBorder="1" applyAlignment="1" applyProtection="1">
      <alignment horizontal="center"/>
      <protection locked="0"/>
    </xf>
    <xf numFmtId="0" fontId="7" fillId="6" borderId="17" xfId="87" applyFont="1" applyFill="1" applyBorder="1" applyAlignment="1" applyProtection="1">
      <alignment horizontal="left"/>
      <protection locked="0"/>
    </xf>
    <xf numFmtId="0" fontId="42" fillId="2" borderId="14" xfId="87" applyFont="1" applyFill="1" applyBorder="1" applyAlignment="1" applyProtection="1">
      <alignment horizontal="left"/>
      <protection locked="0"/>
    </xf>
    <xf numFmtId="0" fontId="43" fillId="5" borderId="14" xfId="87" applyFont="1" applyFill="1" applyBorder="1" applyAlignment="1" applyProtection="1">
      <alignment horizontal="left"/>
      <protection locked="0"/>
    </xf>
    <xf numFmtId="182" fontId="19" fillId="0" borderId="14" xfId="87" applyNumberFormat="1" applyFont="1" applyBorder="1" applyAlignment="1" applyProtection="1">
      <alignment horizontal="center"/>
      <protection locked="0"/>
    </xf>
    <xf numFmtId="0" fontId="2" fillId="0" borderId="0" xfId="87" applyFont="1" applyProtection="1">
      <alignment/>
      <protection locked="0"/>
    </xf>
    <xf numFmtId="0" fontId="2" fillId="0" borderId="18" xfId="87" applyFont="1" applyBorder="1" applyProtection="1">
      <alignment/>
      <protection locked="0"/>
    </xf>
    <xf numFmtId="0" fontId="2" fillId="0" borderId="19" xfId="87" applyFont="1" applyBorder="1" applyProtection="1">
      <alignment/>
      <protection locked="0"/>
    </xf>
    <xf numFmtId="0" fontId="38" fillId="2" borderId="18" xfId="87" applyFont="1" applyFill="1" applyBorder="1" applyProtection="1">
      <alignment/>
      <protection locked="0"/>
    </xf>
    <xf numFmtId="0" fontId="2" fillId="0" borderId="19" xfId="87" applyFont="1" applyBorder="1" applyAlignment="1" applyProtection="1">
      <alignment horizontal="center"/>
      <protection locked="0"/>
    </xf>
    <xf numFmtId="0" fontId="2" fillId="0" borderId="18" xfId="87" applyFont="1" applyBorder="1" applyAlignment="1" applyProtection="1">
      <alignment horizontal="center"/>
      <protection locked="0"/>
    </xf>
    <xf numFmtId="0" fontId="39" fillId="3" borderId="18" xfId="87" applyFont="1" applyFill="1" applyBorder="1" applyProtection="1">
      <alignment/>
      <protection locked="0"/>
    </xf>
    <xf numFmtId="0" fontId="40" fillId="6" borderId="18" xfId="87" applyFont="1" applyFill="1" applyBorder="1" applyProtection="1">
      <alignment/>
      <protection locked="0"/>
    </xf>
    <xf numFmtId="0" fontId="41" fillId="3" borderId="20" xfId="87" applyFont="1" applyFill="1" applyBorder="1" applyAlignment="1" applyProtection="1">
      <alignment horizontal="center"/>
      <protection locked="0"/>
    </xf>
    <xf numFmtId="0" fontId="41" fillId="3" borderId="19" xfId="87" applyFont="1" applyFill="1" applyBorder="1" applyProtection="1">
      <alignment/>
      <protection locked="0"/>
    </xf>
    <xf numFmtId="0" fontId="41" fillId="3" borderId="21" xfId="87" applyFont="1" applyFill="1" applyBorder="1" applyProtection="1">
      <alignment/>
      <protection locked="0"/>
    </xf>
    <xf numFmtId="0" fontId="7" fillId="6" borderId="20" xfId="87" applyFont="1" applyFill="1" applyBorder="1" applyAlignment="1" applyProtection="1">
      <alignment horizontal="center"/>
      <protection locked="0"/>
    </xf>
    <xf numFmtId="0" fontId="7" fillId="6" borderId="19" xfId="87" applyFont="1" applyFill="1" applyBorder="1" applyProtection="1">
      <alignment/>
      <protection locked="0"/>
    </xf>
    <xf numFmtId="0" fontId="7" fillId="6" borderId="21" xfId="87" applyFont="1" applyFill="1" applyBorder="1" applyProtection="1">
      <alignment/>
      <protection locked="0"/>
    </xf>
    <xf numFmtId="0" fontId="42" fillId="2" borderId="18" xfId="87" applyFont="1" applyFill="1" applyBorder="1" applyProtection="1">
      <alignment/>
      <protection locked="0"/>
    </xf>
    <xf numFmtId="0" fontId="43" fillId="5" borderId="18" xfId="87" applyFont="1" applyFill="1" applyBorder="1" applyProtection="1">
      <alignment/>
      <protection locked="0"/>
    </xf>
    <xf numFmtId="182" fontId="19" fillId="0" borderId="18" xfId="87" applyNumberFormat="1" applyFont="1" applyBorder="1" applyAlignment="1" applyProtection="1">
      <alignment horizontal="center"/>
      <protection locked="0"/>
    </xf>
    <xf numFmtId="0" fontId="2" fillId="0" borderId="5" xfId="87" applyFont="1" applyBorder="1" applyProtection="1">
      <alignment/>
      <protection locked="0"/>
    </xf>
    <xf numFmtId="0" fontId="2" fillId="0" borderId="22" xfId="87" applyFont="1" applyBorder="1" applyAlignment="1" applyProtection="1">
      <alignment horizontal="center"/>
      <protection locked="0"/>
    </xf>
    <xf numFmtId="2" fontId="2" fillId="0" borderId="21" xfId="87" applyNumberFormat="1" applyFont="1" applyBorder="1" applyAlignment="1" applyProtection="1">
      <alignment horizontal="center"/>
      <protection locked="0"/>
    </xf>
    <xf numFmtId="192" fontId="38" fillId="2" borderId="18" xfId="87" applyNumberFormat="1" applyFont="1" applyFill="1" applyBorder="1" applyAlignment="1" applyProtection="1">
      <alignment horizontal="center"/>
      <protection/>
    </xf>
    <xf numFmtId="22" fontId="2" fillId="0" borderId="18" xfId="87" applyNumberFormat="1" applyFont="1" applyBorder="1" applyAlignment="1" applyProtection="1">
      <alignment horizontal="center"/>
      <protection locked="0"/>
    </xf>
    <xf numFmtId="2" fontId="2" fillId="0" borderId="18" xfId="87" applyNumberFormat="1" applyFont="1" applyBorder="1" applyAlignment="1" applyProtection="1">
      <alignment horizontal="center"/>
      <protection/>
    </xf>
    <xf numFmtId="1" fontId="2" fillId="0" borderId="18" xfId="87" applyNumberFormat="1" applyFont="1" applyBorder="1" applyAlignment="1" applyProtection="1">
      <alignment horizontal="center"/>
      <protection/>
    </xf>
    <xf numFmtId="192" fontId="2" fillId="0" borderId="18" xfId="87" applyNumberFormat="1" applyFont="1" applyBorder="1" applyAlignment="1" applyProtection="1">
      <alignment horizontal="center"/>
      <protection locked="0"/>
    </xf>
    <xf numFmtId="38" fontId="2" fillId="0" borderId="18" xfId="87" applyNumberFormat="1" applyFont="1" applyBorder="1" applyAlignment="1" applyProtection="1">
      <alignment horizontal="center"/>
      <protection locked="0"/>
    </xf>
    <xf numFmtId="2" fontId="39" fillId="3" borderId="18" xfId="87" applyNumberFormat="1" applyFont="1" applyFill="1" applyBorder="1" applyAlignment="1" applyProtection="1">
      <alignment horizontal="center"/>
      <protection/>
    </xf>
    <xf numFmtId="2" fontId="40" fillId="6" borderId="18" xfId="87" applyNumberFormat="1" applyFont="1" applyFill="1" applyBorder="1" applyAlignment="1" applyProtection="1">
      <alignment horizontal="center"/>
      <protection/>
    </xf>
    <xf numFmtId="192" fontId="41" fillId="3" borderId="20" xfId="87" applyNumberFormat="1" applyFont="1" applyFill="1" applyBorder="1" applyAlignment="1" applyProtection="1" quotePrefix="1">
      <alignment horizontal="center"/>
      <protection/>
    </xf>
    <xf numFmtId="192" fontId="41" fillId="3" borderId="19" xfId="87" applyNumberFormat="1" applyFont="1" applyFill="1" applyBorder="1" applyAlignment="1" applyProtection="1" quotePrefix="1">
      <alignment horizontal="center"/>
      <protection/>
    </xf>
    <xf numFmtId="4" fontId="41" fillId="3" borderId="21" xfId="87" applyNumberFormat="1" applyFont="1" applyFill="1" applyBorder="1" applyAlignment="1" applyProtection="1">
      <alignment horizontal="center"/>
      <protection/>
    </xf>
    <xf numFmtId="192" fontId="7" fillId="6" borderId="20" xfId="87" applyNumberFormat="1" applyFont="1" applyFill="1" applyBorder="1" applyAlignment="1" applyProtection="1" quotePrefix="1">
      <alignment horizontal="center"/>
      <protection/>
    </xf>
    <xf numFmtId="192" fontId="7" fillId="6" borderId="19" xfId="87" applyNumberFormat="1" applyFont="1" applyFill="1" applyBorder="1" applyAlignment="1" applyProtection="1" quotePrefix="1">
      <alignment horizontal="center"/>
      <protection/>
    </xf>
    <xf numFmtId="4" fontId="7" fillId="6" borderId="21" xfId="87" applyNumberFormat="1" applyFont="1" applyFill="1" applyBorder="1" applyAlignment="1" applyProtection="1">
      <alignment horizontal="center"/>
      <protection/>
    </xf>
    <xf numFmtId="4" fontId="42" fillId="2" borderId="18" xfId="87" applyNumberFormat="1" applyFont="1" applyFill="1" applyBorder="1" applyAlignment="1" applyProtection="1">
      <alignment horizontal="center"/>
      <protection/>
    </xf>
    <xf numFmtId="4" fontId="43" fillId="5" borderId="18" xfId="87" applyNumberFormat="1" applyFont="1" applyFill="1" applyBorder="1" applyAlignment="1" applyProtection="1">
      <alignment horizontal="center"/>
      <protection/>
    </xf>
    <xf numFmtId="4" fontId="2" fillId="0" borderId="18" xfId="87" applyNumberFormat="1" applyFont="1" applyBorder="1" applyAlignment="1" applyProtection="1">
      <alignment horizontal="center"/>
      <protection locked="0"/>
    </xf>
    <xf numFmtId="2" fontId="27" fillId="0" borderId="18" xfId="87" applyNumberFormat="1" applyFont="1" applyBorder="1" applyAlignment="1" applyProtection="1">
      <alignment horizontal="right"/>
      <protection/>
    </xf>
    <xf numFmtId="2" fontId="2" fillId="0" borderId="5" xfId="87" applyNumberFormat="1" applyFont="1" applyBorder="1" applyProtection="1">
      <alignment/>
      <protection/>
    </xf>
    <xf numFmtId="0" fontId="2" fillId="0" borderId="23" xfId="87" applyFont="1" applyBorder="1" applyAlignment="1" applyProtection="1">
      <alignment horizontal="center"/>
      <protection locked="0"/>
    </xf>
    <xf numFmtId="0" fontId="2" fillId="0" borderId="24" xfId="87" applyFont="1" applyBorder="1" applyAlignment="1" applyProtection="1">
      <alignment horizontal="center"/>
      <protection locked="0"/>
    </xf>
    <xf numFmtId="0" fontId="44" fillId="0" borderId="24" xfId="87" applyFont="1" applyBorder="1" applyAlignment="1" applyProtection="1">
      <alignment horizontal="center"/>
      <protection locked="0"/>
    </xf>
    <xf numFmtId="195" fontId="2" fillId="0" borderId="24" xfId="87" applyNumberFormat="1" applyFont="1" applyBorder="1" applyAlignment="1" applyProtection="1">
      <alignment horizontal="center"/>
      <protection locked="0"/>
    </xf>
    <xf numFmtId="192" fontId="38" fillId="2" borderId="24" xfId="87" applyNumberFormat="1" applyFont="1" applyFill="1" applyBorder="1" applyAlignment="1" applyProtection="1">
      <alignment horizontal="center"/>
      <protection/>
    </xf>
    <xf numFmtId="192" fontId="2" fillId="0" borderId="24" xfId="87" applyNumberFormat="1" applyFont="1" applyBorder="1" applyAlignment="1" applyProtection="1">
      <alignment horizontal="center"/>
      <protection locked="0"/>
    </xf>
    <xf numFmtId="192" fontId="2" fillId="0" borderId="24" xfId="87" applyNumberFormat="1" applyFont="1" applyBorder="1" applyAlignment="1" applyProtection="1">
      <alignment horizontal="center"/>
      <protection/>
    </xf>
    <xf numFmtId="38" fontId="2" fillId="0" borderId="24" xfId="87" applyNumberFormat="1" applyFont="1" applyBorder="1" applyAlignment="1" applyProtection="1">
      <alignment horizontal="center"/>
      <protection locked="0"/>
    </xf>
    <xf numFmtId="2" fontId="39" fillId="3" borderId="24" xfId="87" applyNumberFormat="1" applyFont="1" applyFill="1" applyBorder="1" applyAlignment="1" applyProtection="1">
      <alignment horizontal="center"/>
      <protection/>
    </xf>
    <xf numFmtId="2" fontId="40" fillId="6" borderId="24" xfId="87" applyNumberFormat="1" applyFont="1" applyFill="1" applyBorder="1" applyAlignment="1" applyProtection="1">
      <alignment horizontal="center"/>
      <protection/>
    </xf>
    <xf numFmtId="192" fontId="41" fillId="3" borderId="25" xfId="87" applyNumberFormat="1" applyFont="1" applyFill="1" applyBorder="1" applyAlignment="1" applyProtection="1" quotePrefix="1">
      <alignment horizontal="center"/>
      <protection/>
    </xf>
    <xf numFmtId="192" fontId="41" fillId="3" borderId="26" xfId="87" applyNumberFormat="1" applyFont="1" applyFill="1" applyBorder="1" applyAlignment="1" applyProtection="1" quotePrefix="1">
      <alignment horizontal="center"/>
      <protection/>
    </xf>
    <xf numFmtId="4" fontId="41" fillId="3" borderId="27" xfId="87" applyNumberFormat="1" applyFont="1" applyFill="1" applyBorder="1" applyAlignment="1" applyProtection="1">
      <alignment horizontal="center"/>
      <protection/>
    </xf>
    <xf numFmtId="192" fontId="7" fillId="6" borderId="25" xfId="87" applyNumberFormat="1" applyFont="1" applyFill="1" applyBorder="1" applyAlignment="1" applyProtection="1" quotePrefix="1">
      <alignment horizontal="center"/>
      <protection/>
    </xf>
    <xf numFmtId="192" fontId="7" fillId="6" borderId="26" xfId="87" applyNumberFormat="1" applyFont="1" applyFill="1" applyBorder="1" applyAlignment="1" applyProtection="1" quotePrefix="1">
      <alignment horizontal="center"/>
      <protection/>
    </xf>
    <xf numFmtId="4" fontId="7" fillId="6" borderId="27" xfId="87" applyNumberFormat="1" applyFont="1" applyFill="1" applyBorder="1" applyAlignment="1" applyProtection="1">
      <alignment horizontal="center"/>
      <protection/>
    </xf>
    <xf numFmtId="4" fontId="42" fillId="2" borderId="24" xfId="87" applyNumberFormat="1" applyFont="1" applyFill="1" applyBorder="1" applyAlignment="1" applyProtection="1">
      <alignment horizontal="center"/>
      <protection/>
    </xf>
    <xf numFmtId="4" fontId="43" fillId="5" borderId="24" xfId="87" applyNumberFormat="1" applyFont="1" applyFill="1" applyBorder="1" applyAlignment="1" applyProtection="1">
      <alignment horizontal="center"/>
      <protection/>
    </xf>
    <xf numFmtId="4" fontId="2" fillId="0" borderId="24" xfId="87" applyNumberFormat="1" applyFont="1" applyBorder="1" applyAlignment="1" applyProtection="1">
      <alignment horizontal="center"/>
      <protection locked="0"/>
    </xf>
    <xf numFmtId="182" fontId="2" fillId="0" borderId="28" xfId="87" applyNumberFormat="1" applyFont="1" applyBorder="1" applyAlignment="1" applyProtection="1">
      <alignment horizontal="center"/>
      <protection/>
    </xf>
    <xf numFmtId="0" fontId="46" fillId="0" borderId="29" xfId="87" applyFont="1" applyBorder="1" applyAlignment="1">
      <alignment horizontal="center"/>
      <protection/>
    </xf>
    <xf numFmtId="0" fontId="47" fillId="0" borderId="0" xfId="87" applyFont="1" applyBorder="1" applyAlignment="1" applyProtection="1">
      <alignment horizontal="left"/>
      <protection/>
    </xf>
    <xf numFmtId="195" fontId="2" fillId="0" borderId="0" xfId="87" applyNumberFormat="1" applyFont="1" applyBorder="1" applyAlignment="1" applyProtection="1">
      <alignment horizontal="center"/>
      <protection/>
    </xf>
    <xf numFmtId="192" fontId="2" fillId="0" borderId="0" xfId="87" applyNumberFormat="1" applyFont="1" applyBorder="1" applyAlignment="1" applyProtection="1">
      <alignment horizontal="center"/>
      <protection/>
    </xf>
    <xf numFmtId="38" fontId="2" fillId="0" borderId="0" xfId="87" applyNumberFormat="1" applyFont="1" applyBorder="1" applyAlignment="1" applyProtection="1">
      <alignment horizontal="center"/>
      <protection/>
    </xf>
    <xf numFmtId="2" fontId="48" fillId="0" borderId="0" xfId="87" applyNumberFormat="1" applyFont="1" applyBorder="1" applyAlignment="1" applyProtection="1">
      <alignment horizontal="center"/>
      <protection/>
    </xf>
    <xf numFmtId="192" fontId="8" fillId="0" borderId="0" xfId="87" applyNumberFormat="1" applyFont="1" applyBorder="1" applyAlignment="1" applyProtection="1" quotePrefix="1">
      <alignment horizontal="center"/>
      <protection/>
    </xf>
    <xf numFmtId="4" fontId="8" fillId="0" borderId="0" xfId="87" applyNumberFormat="1" applyFont="1" applyBorder="1" applyAlignment="1" applyProtection="1">
      <alignment horizontal="center"/>
      <protection/>
    </xf>
    <xf numFmtId="4" fontId="2" fillId="0" borderId="0" xfId="87" applyNumberFormat="1" applyFont="1" applyBorder="1" applyAlignment="1" applyProtection="1">
      <alignment horizontal="center"/>
      <protection/>
    </xf>
    <xf numFmtId="0" fontId="46" fillId="0" borderId="0" xfId="87" applyFont="1" applyProtection="1">
      <alignment/>
      <protection/>
    </xf>
    <xf numFmtId="0" fontId="46" fillId="0" borderId="4" xfId="87" applyFont="1" applyBorder="1" applyProtection="1">
      <alignment/>
      <protection/>
    </xf>
    <xf numFmtId="0" fontId="47" fillId="0" borderId="0" xfId="87" applyFont="1" applyBorder="1" applyAlignment="1">
      <alignment horizontal="center"/>
      <protection/>
    </xf>
    <xf numFmtId="0" fontId="47" fillId="0" borderId="0" xfId="87" applyFont="1" applyBorder="1" applyAlignment="1" applyProtection="1">
      <alignment horizontal="left" vertical="top"/>
      <protection/>
    </xf>
    <xf numFmtId="0" fontId="46" fillId="0" borderId="5" xfId="87" applyFont="1" applyBorder="1" applyProtection="1">
      <alignment/>
      <protection/>
    </xf>
    <xf numFmtId="0" fontId="2" fillId="0" borderId="8" xfId="87" applyFont="1" applyBorder="1" applyProtection="1">
      <alignment/>
      <protection/>
    </xf>
    <xf numFmtId="0" fontId="2" fillId="0" borderId="9" xfId="87" applyFont="1" applyBorder="1" applyProtection="1">
      <alignment/>
      <protection/>
    </xf>
    <xf numFmtId="0" fontId="2" fillId="0" borderId="10" xfId="87" applyFont="1" applyBorder="1" applyProtection="1">
      <alignment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center"/>
      <protection/>
    </xf>
    <xf numFmtId="0" fontId="2" fillId="0" borderId="0" xfId="87" applyFont="1" applyAlignment="1" applyProtection="1">
      <alignment horizontal="left"/>
      <protection/>
    </xf>
    <xf numFmtId="0" fontId="9" fillId="0" borderId="0" xfId="87" applyFont="1" applyFill="1">
      <alignment/>
      <protection/>
    </xf>
    <xf numFmtId="0" fontId="2" fillId="0" borderId="0" xfId="87" applyFont="1" applyFill="1">
      <alignment/>
      <protection/>
    </xf>
    <xf numFmtId="0" fontId="5" fillId="0" borderId="0" xfId="87" applyFont="1" applyFill="1" applyBorder="1" applyAlignment="1">
      <alignment horizontal="centerContinuous"/>
      <protection/>
    </xf>
    <xf numFmtId="0" fontId="12" fillId="0" borderId="0" xfId="87" applyFont="1" applyAlignment="1">
      <alignment/>
      <protection/>
    </xf>
    <xf numFmtId="0" fontId="2" fillId="0" borderId="1" xfId="87" applyFont="1" applyFill="1" applyBorder="1">
      <alignment/>
      <protection/>
    </xf>
    <xf numFmtId="0" fontId="2" fillId="0" borderId="2" xfId="87" applyFont="1" applyFill="1" applyBorder="1">
      <alignment/>
      <protection/>
    </xf>
    <xf numFmtId="0" fontId="2" fillId="0" borderId="3" xfId="87" applyFont="1" applyFill="1" applyBorder="1">
      <alignment/>
      <protection/>
    </xf>
    <xf numFmtId="0" fontId="14" fillId="0" borderId="4" xfId="87" applyFont="1" applyFill="1" applyBorder="1">
      <alignment/>
      <protection/>
    </xf>
    <xf numFmtId="0" fontId="14" fillId="0" borderId="0" xfId="87" applyFont="1" applyFill="1" applyBorder="1">
      <alignment/>
      <protection/>
    </xf>
    <xf numFmtId="0" fontId="18" fillId="0" borderId="0" xfId="87" applyFont="1" applyFill="1" applyBorder="1">
      <alignment/>
      <protection/>
    </xf>
    <xf numFmtId="0" fontId="14" fillId="0" borderId="5" xfId="87" applyFont="1" applyFill="1" applyBorder="1">
      <alignment/>
      <protection/>
    </xf>
    <xf numFmtId="0" fontId="2" fillId="0" borderId="4" xfId="87" applyFont="1" applyFill="1" applyBorder="1">
      <alignment/>
      <protection/>
    </xf>
    <xf numFmtId="0" fontId="17" fillId="0" borderId="0" xfId="87" applyFont="1" applyFill="1" applyBorder="1">
      <alignment/>
      <protection/>
    </xf>
    <xf numFmtId="0" fontId="2" fillId="0" borderId="5" xfId="87" applyFont="1" applyFill="1" applyBorder="1">
      <alignment/>
      <protection/>
    </xf>
    <xf numFmtId="0" fontId="18" fillId="0" borderId="0" xfId="87" applyFont="1" applyBorder="1" applyAlignment="1">
      <alignment/>
      <protection/>
    </xf>
    <xf numFmtId="0" fontId="14" fillId="0" borderId="0" xfId="87" applyFont="1" applyFill="1" applyBorder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23" fillId="0" borderId="4" xfId="87" applyFont="1" applyFill="1" applyBorder="1" applyAlignment="1">
      <alignment horizontal="centerContinuous"/>
      <protection/>
    </xf>
    <xf numFmtId="0" fontId="23" fillId="0" borderId="0" xfId="87" applyFont="1" applyFill="1" applyBorder="1" applyAlignment="1" applyProtection="1">
      <alignment horizontal="centerContinuous"/>
      <protection locked="0"/>
    </xf>
    <xf numFmtId="0" fontId="22" fillId="0" borderId="0" xfId="87" applyFont="1" applyFill="1" applyBorder="1" applyAlignment="1">
      <alignment horizontal="centerContinuous"/>
      <protection/>
    </xf>
    <xf numFmtId="0" fontId="22" fillId="0" borderId="5" xfId="87" applyFont="1" applyFill="1" applyBorder="1" applyAlignment="1">
      <alignment horizontal="centerContinuous"/>
      <protection/>
    </xf>
    <xf numFmtId="0" fontId="2" fillId="0" borderId="0" xfId="87" applyFont="1" applyFill="1" applyBorder="1" applyAlignment="1">
      <alignment horizontal="center"/>
      <protection/>
    </xf>
    <xf numFmtId="0" fontId="49" fillId="0" borderId="0" xfId="87" applyFont="1" applyFill="1" applyBorder="1" applyAlignment="1" quotePrefix="1">
      <alignment horizontal="left"/>
      <protection/>
    </xf>
    <xf numFmtId="0" fontId="1" fillId="0" borderId="0" xfId="87" applyFont="1" applyFill="1" applyBorder="1">
      <alignment/>
      <protection/>
    </xf>
    <xf numFmtId="0" fontId="1" fillId="0" borderId="6" xfId="87" applyFont="1" applyFill="1" applyBorder="1" applyAlignment="1" applyProtection="1">
      <alignment horizontal="left"/>
      <protection/>
    </xf>
    <xf numFmtId="0" fontId="1" fillId="0" borderId="29" xfId="87" applyFont="1" applyFill="1" applyBorder="1" applyAlignment="1" applyProtection="1">
      <alignment horizontal="center"/>
      <protection/>
    </xf>
    <xf numFmtId="0" fontId="1" fillId="0" borderId="29" xfId="87" applyFont="1" applyFill="1" applyBorder="1">
      <alignment/>
      <protection/>
    </xf>
    <xf numFmtId="0" fontId="1" fillId="0" borderId="12" xfId="87" applyFont="1" applyFill="1" applyBorder="1" applyAlignment="1">
      <alignment horizontal="center"/>
      <protection/>
    </xf>
    <xf numFmtId="0" fontId="1" fillId="0" borderId="6" xfId="87" applyFont="1" applyFill="1" applyBorder="1" applyAlignment="1" applyProtection="1" quotePrefix="1">
      <alignment horizontal="left"/>
      <protection/>
    </xf>
    <xf numFmtId="0" fontId="1" fillId="0" borderId="13" xfId="87" applyFont="1" applyFill="1" applyBorder="1" applyAlignment="1" applyProtection="1">
      <alignment horizontal="center"/>
      <protection/>
    </xf>
    <xf numFmtId="188" fontId="1" fillId="0" borderId="7" xfId="87" applyNumberFormat="1" applyFont="1" applyFill="1" applyBorder="1" applyAlignment="1" applyProtection="1">
      <alignment horizontal="center"/>
      <protection locked="0"/>
    </xf>
    <xf numFmtId="22" fontId="1" fillId="0" borderId="0" xfId="87" applyNumberFormat="1" applyFont="1" applyFill="1" applyBorder="1">
      <alignment/>
      <protection/>
    </xf>
    <xf numFmtId="0" fontId="1" fillId="0" borderId="0" xfId="87" applyFont="1" applyFill="1" applyBorder="1" applyAlignment="1" applyProtection="1">
      <alignment horizontal="center"/>
      <protection/>
    </xf>
    <xf numFmtId="0" fontId="2" fillId="0" borderId="0" xfId="87" applyFont="1" applyAlignment="1">
      <alignment horizontal="center" vertical="center"/>
      <protection/>
    </xf>
    <xf numFmtId="0" fontId="2" fillId="0" borderId="4" xfId="87" applyFont="1" applyFill="1" applyBorder="1" applyAlignment="1">
      <alignment horizontal="center" vertical="center"/>
      <protection/>
    </xf>
    <xf numFmtId="0" fontId="28" fillId="0" borderId="12" xfId="87" applyFont="1" applyFill="1" applyBorder="1" applyAlignment="1">
      <alignment horizontal="center" vertical="center"/>
      <protection/>
    </xf>
    <xf numFmtId="0" fontId="28" fillId="0" borderId="12" xfId="87" applyFont="1" applyFill="1" applyBorder="1" applyAlignment="1" applyProtection="1">
      <alignment horizontal="center" vertical="center" wrapText="1"/>
      <protection/>
    </xf>
    <xf numFmtId="0" fontId="28" fillId="0" borderId="12" xfId="87" applyFont="1" applyFill="1" applyBorder="1" applyAlignment="1" applyProtection="1">
      <alignment horizontal="center" vertical="center"/>
      <protection/>
    </xf>
    <xf numFmtId="0" fontId="28" fillId="0" borderId="12" xfId="87" applyFont="1" applyFill="1" applyBorder="1" applyAlignment="1" applyProtection="1" quotePrefix="1">
      <alignment horizontal="center" vertical="center" wrapText="1"/>
      <protection/>
    </xf>
    <xf numFmtId="0" fontId="28" fillId="0" borderId="12" xfId="87" applyFont="1" applyFill="1" applyBorder="1" applyAlignment="1">
      <alignment horizontal="center" vertical="center" wrapText="1"/>
      <protection/>
    </xf>
    <xf numFmtId="0" fontId="28" fillId="0" borderId="6" xfId="87" applyFont="1" applyFill="1" applyBorder="1" applyAlignment="1" applyProtection="1">
      <alignment horizontal="center" vertical="center" wrapText="1"/>
      <protection/>
    </xf>
    <xf numFmtId="0" fontId="28" fillId="0" borderId="6" xfId="87" applyFont="1" applyFill="1" applyBorder="1" applyAlignment="1" applyProtection="1">
      <alignment horizontal="center" vertical="center"/>
      <protection/>
    </xf>
    <xf numFmtId="0" fontId="31" fillId="3" borderId="12" xfId="87" applyFont="1" applyFill="1" applyBorder="1" applyAlignment="1">
      <alignment horizontal="center" vertical="center" wrapText="1"/>
      <protection/>
    </xf>
    <xf numFmtId="0" fontId="50" fillId="4" borderId="12" xfId="87" applyFont="1" applyFill="1" applyBorder="1" applyAlignment="1">
      <alignment horizontal="center" vertical="center" wrapText="1"/>
      <protection/>
    </xf>
    <xf numFmtId="0" fontId="33" fillId="7" borderId="12" xfId="87" applyFont="1" applyFill="1" applyBorder="1" applyAlignment="1" applyProtection="1">
      <alignment horizontal="centerContinuous" vertical="center" wrapText="1"/>
      <protection/>
    </xf>
    <xf numFmtId="0" fontId="33" fillId="7" borderId="7" xfId="87" applyFont="1" applyFill="1" applyBorder="1" applyAlignment="1">
      <alignment horizontal="centerContinuous" vertical="center"/>
      <protection/>
    </xf>
    <xf numFmtId="0" fontId="35" fillId="8" borderId="6" xfId="87" applyFont="1" applyFill="1" applyBorder="1" applyAlignment="1" applyProtection="1">
      <alignment horizontal="centerContinuous" vertical="center" wrapText="1"/>
      <protection/>
    </xf>
    <xf numFmtId="0" fontId="35" fillId="8" borderId="7" xfId="87" applyFont="1" applyFill="1" applyBorder="1" applyAlignment="1">
      <alignment horizontal="centerContinuous" vertical="center"/>
      <protection/>
    </xf>
    <xf numFmtId="0" fontId="37" fillId="2" borderId="12" xfId="87" applyFont="1" applyFill="1" applyBorder="1" applyAlignment="1">
      <alignment horizontal="center" vertical="center" wrapText="1"/>
      <protection/>
    </xf>
    <xf numFmtId="0" fontId="51" fillId="9" borderId="12" xfId="87" applyFont="1" applyFill="1" applyBorder="1" applyAlignment="1">
      <alignment horizontal="center" vertical="center" wrapText="1"/>
      <protection/>
    </xf>
    <xf numFmtId="0" fontId="2" fillId="0" borderId="5" xfId="87" applyFont="1" applyBorder="1" applyAlignment="1">
      <alignment horizontal="center" vertical="center"/>
      <protection/>
    </xf>
    <xf numFmtId="0" fontId="1" fillId="0" borderId="14" xfId="87" applyFont="1" applyFill="1" applyBorder="1" applyAlignment="1" applyProtection="1">
      <alignment horizontal="center"/>
      <protection locked="0"/>
    </xf>
    <xf numFmtId="188" fontId="1" fillId="0" borderId="14" xfId="87" applyNumberFormat="1" applyFont="1" applyFill="1" applyBorder="1" applyAlignment="1" applyProtection="1">
      <alignment horizontal="center"/>
      <protection locked="0"/>
    </xf>
    <xf numFmtId="0" fontId="52" fillId="2" borderId="14" xfId="87" applyFont="1" applyFill="1" applyBorder="1" applyAlignment="1" applyProtection="1">
      <alignment horizontal="center"/>
      <protection/>
    </xf>
    <xf numFmtId="0" fontId="1" fillId="0" borderId="14" xfId="87" applyFont="1" applyFill="1" applyBorder="1" applyAlignment="1">
      <alignment horizontal="center"/>
      <protection/>
    </xf>
    <xf numFmtId="0" fontId="53" fillId="3" borderId="14" xfId="87" applyFont="1" applyFill="1" applyBorder="1" applyAlignment="1">
      <alignment horizontal="center"/>
      <protection/>
    </xf>
    <xf numFmtId="0" fontId="54" fillId="6" borderId="14" xfId="87" applyFont="1" applyFill="1" applyBorder="1" applyAlignment="1">
      <alignment horizontal="center"/>
      <protection/>
    </xf>
    <xf numFmtId="0" fontId="55" fillId="7" borderId="16" xfId="87" applyFont="1" applyFill="1" applyBorder="1" applyAlignment="1">
      <alignment horizontal="center"/>
      <protection/>
    </xf>
    <xf numFmtId="0" fontId="55" fillId="7" borderId="17" xfId="87" applyFont="1" applyFill="1" applyBorder="1" applyAlignment="1">
      <alignment horizontal="left"/>
      <protection/>
    </xf>
    <xf numFmtId="0" fontId="56" fillId="8" borderId="16" xfId="87" applyFont="1" applyFill="1" applyBorder="1" applyAlignment="1">
      <alignment horizontal="center"/>
      <protection/>
    </xf>
    <xf numFmtId="0" fontId="56" fillId="8" borderId="17" xfId="87" applyFont="1" applyFill="1" applyBorder="1" applyAlignment="1">
      <alignment horizontal="left"/>
      <protection/>
    </xf>
    <xf numFmtId="0" fontId="57" fillId="2" borderId="14" xfId="87" applyFont="1" applyFill="1" applyBorder="1" applyAlignment="1">
      <alignment horizontal="left"/>
      <protection/>
    </xf>
    <xf numFmtId="0" fontId="58" fillId="9" borderId="14" xfId="87" applyFont="1" applyFill="1" applyBorder="1" applyAlignment="1">
      <alignment horizontal="left"/>
      <protection/>
    </xf>
    <xf numFmtId="0" fontId="2" fillId="0" borderId="18" xfId="87" applyFont="1" applyFill="1" applyBorder="1" applyAlignment="1" applyProtection="1">
      <alignment horizontal="center"/>
      <protection locked="0"/>
    </xf>
    <xf numFmtId="0" fontId="2" fillId="0" borderId="18" xfId="87" applyFont="1" applyFill="1" applyBorder="1" applyProtection="1">
      <alignment/>
      <protection locked="0"/>
    </xf>
    <xf numFmtId="0" fontId="2" fillId="0" borderId="23" xfId="87" applyFont="1" applyBorder="1" applyAlignment="1" applyProtection="1">
      <alignment horizontal="center" vertical="center"/>
      <protection locked="0"/>
    </xf>
    <xf numFmtId="0" fontId="2" fillId="0" borderId="30" xfId="87" applyFont="1" applyBorder="1" applyAlignment="1" applyProtection="1">
      <alignment horizontal="center" vertical="center"/>
      <protection locked="0"/>
    </xf>
    <xf numFmtId="0" fontId="2" fillId="0" borderId="31" xfId="87" applyFont="1" applyBorder="1" applyAlignment="1" applyProtection="1" quotePrefix="1">
      <alignment horizontal="center" vertical="center"/>
      <protection locked="0"/>
    </xf>
    <xf numFmtId="2" fontId="2" fillId="0" borderId="32" xfId="87" applyNumberFormat="1" applyFont="1" applyBorder="1" applyAlignment="1" applyProtection="1" quotePrefix="1">
      <alignment horizontal="center" vertical="center"/>
      <protection locked="0"/>
    </xf>
    <xf numFmtId="22" fontId="2" fillId="0" borderId="18" xfId="87" applyNumberFormat="1" applyFont="1" applyFill="1" applyBorder="1" applyAlignment="1" applyProtection="1">
      <alignment horizontal="center"/>
      <protection locked="0"/>
    </xf>
    <xf numFmtId="2" fontId="2" fillId="0" borderId="18" xfId="87" applyNumberFormat="1" applyFont="1" applyFill="1" applyBorder="1" applyAlignment="1" applyProtection="1">
      <alignment horizontal="center"/>
      <protection/>
    </xf>
    <xf numFmtId="3" fontId="2" fillId="0" borderId="18" xfId="87" applyNumberFormat="1" applyFont="1" applyFill="1" applyBorder="1" applyAlignment="1" applyProtection="1">
      <alignment horizontal="center"/>
      <protection/>
    </xf>
    <xf numFmtId="192" fontId="2" fillId="0" borderId="18" xfId="87" applyNumberFormat="1" applyFont="1" applyFill="1" applyBorder="1" applyAlignment="1" applyProtection="1">
      <alignment horizontal="center"/>
      <protection locked="0"/>
    </xf>
    <xf numFmtId="192" fontId="2" fillId="0" borderId="18" xfId="87" applyNumberFormat="1" applyFont="1" applyFill="1" applyBorder="1" applyAlignment="1" applyProtection="1" quotePrefix="1">
      <alignment horizontal="center"/>
      <protection locked="0"/>
    </xf>
    <xf numFmtId="2" fontId="39" fillId="3" borderId="18" xfId="87" applyNumberFormat="1" applyFont="1" applyFill="1" applyBorder="1" applyAlignment="1">
      <alignment horizontal="center"/>
      <protection/>
    </xf>
    <xf numFmtId="2" fontId="60" fillId="6" borderId="18" xfId="87" applyNumberFormat="1" applyFont="1" applyFill="1" applyBorder="1" applyAlignment="1">
      <alignment horizontal="center"/>
      <protection/>
    </xf>
    <xf numFmtId="2" fontId="41" fillId="7" borderId="20" xfId="87" applyNumberFormat="1" applyFont="1" applyFill="1" applyBorder="1" applyAlignment="1">
      <alignment horizontal="center"/>
      <protection/>
    </xf>
    <xf numFmtId="2" fontId="41" fillId="7" borderId="21" xfId="87" applyNumberFormat="1" applyFont="1" applyFill="1" applyBorder="1" applyAlignment="1">
      <alignment horizontal="center"/>
      <protection/>
    </xf>
    <xf numFmtId="2" fontId="7" fillId="8" borderId="20" xfId="87" applyNumberFormat="1" applyFont="1" applyFill="1" applyBorder="1" applyAlignment="1">
      <alignment horizontal="center"/>
      <protection/>
    </xf>
    <xf numFmtId="2" fontId="7" fillId="8" borderId="21" xfId="87" applyNumberFormat="1" applyFont="1" applyFill="1" applyBorder="1" applyAlignment="1">
      <alignment horizontal="center"/>
      <protection/>
    </xf>
    <xf numFmtId="2" fontId="43" fillId="2" borderId="18" xfId="87" applyNumberFormat="1" applyFont="1" applyFill="1" applyBorder="1" applyAlignment="1">
      <alignment horizontal="center"/>
      <protection/>
    </xf>
    <xf numFmtId="2" fontId="61" fillId="9" borderId="18" xfId="87" applyNumberFormat="1" applyFont="1" applyFill="1" applyBorder="1" applyAlignment="1">
      <alignment horizontal="center"/>
      <protection/>
    </xf>
    <xf numFmtId="2" fontId="62" fillId="0" borderId="18" xfId="87" applyNumberFormat="1" applyFont="1" applyFill="1" applyBorder="1" applyAlignment="1">
      <alignment horizontal="right"/>
      <protection/>
    </xf>
    <xf numFmtId="2" fontId="2" fillId="0" borderId="5" xfId="87" applyNumberFormat="1" applyFont="1" applyBorder="1">
      <alignment/>
      <protection/>
    </xf>
    <xf numFmtId="0" fontId="2" fillId="0" borderId="22" xfId="87" applyFont="1" applyBorder="1" applyAlignment="1" applyProtection="1" quotePrefix="1">
      <alignment horizontal="center" vertical="center"/>
      <protection locked="0"/>
    </xf>
    <xf numFmtId="0" fontId="2" fillId="0" borderId="22" xfId="87" applyFont="1" applyBorder="1" applyAlignment="1" applyProtection="1">
      <alignment horizontal="center" vertical="center"/>
      <protection locked="0"/>
    </xf>
    <xf numFmtId="0" fontId="2" fillId="0" borderId="18" xfId="87" applyFont="1" applyBorder="1" applyAlignment="1" applyProtection="1">
      <alignment horizontal="center" vertical="center"/>
      <protection locked="0"/>
    </xf>
    <xf numFmtId="0" fontId="2" fillId="0" borderId="31" xfId="87" applyFont="1" applyBorder="1" applyAlignment="1" applyProtection="1">
      <alignment horizontal="center" vertical="center"/>
      <protection locked="0"/>
    </xf>
    <xf numFmtId="2" fontId="2" fillId="0" borderId="21" xfId="87" applyNumberFormat="1" applyFont="1" applyBorder="1" applyAlignment="1" applyProtection="1" quotePrefix="1">
      <alignment horizontal="center" vertical="center"/>
      <protection locked="0"/>
    </xf>
    <xf numFmtId="0" fontId="2" fillId="0" borderId="24" xfId="87" applyFont="1" applyFill="1" applyBorder="1" applyAlignment="1" applyProtection="1">
      <alignment horizontal="center"/>
      <protection locked="0"/>
    </xf>
    <xf numFmtId="0" fontId="44" fillId="0" borderId="24" xfId="87" applyFont="1" applyFill="1" applyBorder="1" applyAlignment="1" applyProtection="1">
      <alignment horizontal="center"/>
      <protection locked="0"/>
    </xf>
    <xf numFmtId="0" fontId="44" fillId="0" borderId="24" xfId="87" applyFont="1" applyFill="1" applyBorder="1" applyAlignment="1" applyProtection="1" quotePrefix="1">
      <alignment horizontal="center"/>
      <protection locked="0"/>
    </xf>
    <xf numFmtId="188" fontId="8" fillId="0" borderId="24" xfId="87" applyNumberFormat="1" applyFont="1" applyFill="1" applyBorder="1" applyAlignment="1" applyProtection="1" quotePrefix="1">
      <alignment horizontal="center"/>
      <protection locked="0"/>
    </xf>
    <xf numFmtId="192" fontId="59" fillId="2" borderId="24" xfId="87" applyNumberFormat="1" applyFont="1" applyFill="1" applyBorder="1" applyAlignment="1" applyProtection="1">
      <alignment horizontal="center"/>
      <protection/>
    </xf>
    <xf numFmtId="192" fontId="2" fillId="0" borderId="24" xfId="87" applyNumberFormat="1" applyFont="1" applyFill="1" applyBorder="1" applyAlignment="1" applyProtection="1">
      <alignment horizontal="center"/>
      <protection locked="0"/>
    </xf>
    <xf numFmtId="192" fontId="2" fillId="0" borderId="24" xfId="87" applyNumberFormat="1" applyFont="1" applyFill="1" applyBorder="1" applyAlignment="1" applyProtection="1">
      <alignment horizontal="center"/>
      <protection/>
    </xf>
    <xf numFmtId="192" fontId="2" fillId="0" borderId="24" xfId="87" applyNumberFormat="1" applyFont="1" applyFill="1" applyBorder="1" applyAlignment="1" applyProtection="1" quotePrefix="1">
      <alignment horizontal="center"/>
      <protection locked="0"/>
    </xf>
    <xf numFmtId="2" fontId="39" fillId="3" borderId="24" xfId="87" applyNumberFormat="1" applyFont="1" applyFill="1" applyBorder="1" applyAlignment="1">
      <alignment horizontal="center"/>
      <protection/>
    </xf>
    <xf numFmtId="2" fontId="60" fillId="6" borderId="24" xfId="87" applyNumberFormat="1" applyFont="1" applyFill="1" applyBorder="1" applyAlignment="1">
      <alignment horizontal="center"/>
      <protection/>
    </xf>
    <xf numFmtId="192" fontId="41" fillId="7" borderId="25" xfId="87" applyNumberFormat="1" applyFont="1" applyFill="1" applyBorder="1" applyAlignment="1" applyProtection="1" quotePrefix="1">
      <alignment horizontal="center"/>
      <protection/>
    </xf>
    <xf numFmtId="192" fontId="41" fillId="7" borderId="27" xfId="87" applyNumberFormat="1" applyFont="1" applyFill="1" applyBorder="1" applyAlignment="1" applyProtection="1" quotePrefix="1">
      <alignment horizontal="center"/>
      <protection/>
    </xf>
    <xf numFmtId="192" fontId="7" fillId="8" borderId="25" xfId="87" applyNumberFormat="1" applyFont="1" applyFill="1" applyBorder="1" applyAlignment="1" applyProtection="1" quotePrefix="1">
      <alignment horizontal="center"/>
      <protection/>
    </xf>
    <xf numFmtId="192" fontId="7" fillId="8" borderId="27" xfId="87" applyNumberFormat="1" applyFont="1" applyFill="1" applyBorder="1" applyAlignment="1" applyProtection="1" quotePrefix="1">
      <alignment horizontal="center"/>
      <protection/>
    </xf>
    <xf numFmtId="192" fontId="43" fillId="2" borderId="24" xfId="87" applyNumberFormat="1" applyFont="1" applyFill="1" applyBorder="1" applyAlignment="1" applyProtection="1" quotePrefix="1">
      <alignment horizontal="center"/>
      <protection/>
    </xf>
    <xf numFmtId="192" fontId="61" fillId="9" borderId="24" xfId="87" applyNumberFormat="1" applyFont="1" applyFill="1" applyBorder="1" applyAlignment="1" applyProtection="1" quotePrefix="1">
      <alignment horizontal="center"/>
      <protection/>
    </xf>
    <xf numFmtId="182" fontId="63" fillId="0" borderId="28" xfId="87" applyNumberFormat="1" applyFont="1" applyFill="1" applyBorder="1" applyAlignment="1">
      <alignment horizontal="right"/>
      <protection/>
    </xf>
    <xf numFmtId="182" fontId="3" fillId="0" borderId="12" xfId="87" applyNumberFormat="1" applyFont="1" applyFill="1" applyBorder="1" applyAlignment="1" applyProtection="1">
      <alignment horizontal="right"/>
      <protection locked="0"/>
    </xf>
    <xf numFmtId="0" fontId="46" fillId="0" borderId="0" xfId="87" applyFont="1">
      <alignment/>
      <protection/>
    </xf>
    <xf numFmtId="0" fontId="46" fillId="0" borderId="4" xfId="87" applyFont="1" applyFill="1" applyBorder="1">
      <alignment/>
      <protection/>
    </xf>
    <xf numFmtId="0" fontId="46" fillId="0" borderId="0" xfId="87" applyFont="1" applyFill="1" applyBorder="1">
      <alignment/>
      <protection/>
    </xf>
    <xf numFmtId="182" fontId="64" fillId="0" borderId="0" xfId="87" applyNumberFormat="1" applyFont="1" applyFill="1" applyBorder="1" applyAlignment="1" applyProtection="1">
      <alignment horizontal="right"/>
      <protection locked="0"/>
    </xf>
    <xf numFmtId="0" fontId="46" fillId="0" borderId="5" xfId="87" applyFont="1" applyBorder="1">
      <alignment/>
      <protection/>
    </xf>
    <xf numFmtId="0" fontId="2" fillId="0" borderId="8" xfId="87" applyFont="1" applyFill="1" applyBorder="1">
      <alignment/>
      <protection/>
    </xf>
    <xf numFmtId="0" fontId="2" fillId="0" borderId="9" xfId="87" applyFont="1" applyFill="1" applyBorder="1">
      <alignment/>
      <protection/>
    </xf>
    <xf numFmtId="0" fontId="2" fillId="0" borderId="10" xfId="87" applyFont="1" applyFill="1" applyBorder="1">
      <alignment/>
      <protection/>
    </xf>
    <xf numFmtId="0" fontId="9" fillId="0" borderId="0" xfId="87" applyFont="1" applyFill="1" applyAlignment="1">
      <alignment horizontal="centerContinuous"/>
      <protection/>
    </xf>
    <xf numFmtId="0" fontId="12" fillId="0" borderId="0" xfId="87" applyFont="1" applyFill="1" applyAlignment="1">
      <alignment/>
      <protection/>
    </xf>
    <xf numFmtId="0" fontId="12" fillId="0" borderId="0" xfId="87" applyFont="1" applyFill="1">
      <alignment/>
      <protection/>
    </xf>
    <xf numFmtId="0" fontId="2" fillId="0" borderId="3" xfId="87" applyFont="1" applyBorder="1">
      <alignment/>
      <protection/>
    </xf>
    <xf numFmtId="0" fontId="14" fillId="0" borderId="0" xfId="87" applyFont="1" applyFill="1">
      <alignment/>
      <protection/>
    </xf>
    <xf numFmtId="0" fontId="14" fillId="0" borderId="5" xfId="87" applyFont="1" applyBorder="1">
      <alignment/>
      <protection/>
    </xf>
    <xf numFmtId="0" fontId="18" fillId="0" borderId="0" xfId="87" applyFont="1" applyBorder="1">
      <alignment/>
      <protection/>
    </xf>
    <xf numFmtId="0" fontId="14" fillId="0" borderId="0" xfId="87" applyFont="1" applyAlignment="1" applyProtection="1">
      <alignment/>
      <protection/>
    </xf>
    <xf numFmtId="0" fontId="22" fillId="0" borderId="0" xfId="87" applyFont="1" applyFill="1" applyAlignment="1">
      <alignment horizontal="centerContinuous"/>
      <protection/>
    </xf>
    <xf numFmtId="0" fontId="1" fillId="0" borderId="6" xfId="87" applyFont="1" applyFill="1" applyBorder="1" applyAlignment="1" applyProtection="1">
      <alignment/>
      <protection/>
    </xf>
    <xf numFmtId="199" fontId="1" fillId="0" borderId="7" xfId="87" applyNumberFormat="1" applyFont="1" applyFill="1" applyBorder="1" applyAlignment="1" applyProtection="1">
      <alignment horizontal="center"/>
      <protection/>
    </xf>
    <xf numFmtId="0" fontId="1" fillId="0" borderId="12" xfId="87" applyFont="1" applyFill="1" applyBorder="1" applyAlignment="1" applyProtection="1">
      <alignment horizontal="center"/>
      <protection locked="0"/>
    </xf>
    <xf numFmtId="0" fontId="1" fillId="0" borderId="0" xfId="87" applyFont="1" applyFill="1">
      <alignment/>
      <protection/>
    </xf>
    <xf numFmtId="22" fontId="65" fillId="0" borderId="0" xfId="87" applyNumberFormat="1" applyFont="1" applyFill="1" applyBorder="1">
      <alignment/>
      <protection/>
    </xf>
    <xf numFmtId="0" fontId="1" fillId="0" borderId="6" xfId="87" applyFont="1" applyFill="1" applyBorder="1" applyAlignment="1">
      <alignment/>
      <protection/>
    </xf>
    <xf numFmtId="199" fontId="1" fillId="0" borderId="7" xfId="87" applyNumberFormat="1" applyFont="1" applyFill="1" applyBorder="1" applyAlignment="1">
      <alignment horizontal="center"/>
      <protection/>
    </xf>
    <xf numFmtId="0" fontId="1" fillId="0" borderId="0" xfId="87" applyFont="1" applyFill="1" applyBorder="1" applyAlignment="1" quotePrefix="1">
      <alignment horizontal="center"/>
      <protection/>
    </xf>
    <xf numFmtId="0" fontId="1" fillId="0" borderId="0" xfId="87" applyFont="1" applyFill="1" applyBorder="1" applyAlignment="1">
      <alignment horizontal="center"/>
      <protection/>
    </xf>
    <xf numFmtId="199" fontId="1" fillId="0" borderId="7" xfId="87" applyNumberFormat="1" applyFont="1" applyFill="1" applyBorder="1" applyAlignment="1" quotePrefix="1">
      <alignment horizontal="center"/>
      <protection/>
    </xf>
    <xf numFmtId="0" fontId="2" fillId="0" borderId="0" xfId="87" applyFont="1" applyFill="1" applyBorder="1" applyAlignment="1" applyProtection="1">
      <alignment horizontal="center"/>
      <protection/>
    </xf>
    <xf numFmtId="0" fontId="2" fillId="0" borderId="33" xfId="87" applyFont="1" applyFill="1" applyBorder="1" applyAlignment="1">
      <alignment horizontal="center"/>
      <protection/>
    </xf>
    <xf numFmtId="0" fontId="28" fillId="0" borderId="7" xfId="87" applyFont="1" applyFill="1" applyBorder="1" applyAlignment="1" applyProtection="1">
      <alignment horizontal="center" vertical="center"/>
      <protection/>
    </xf>
    <xf numFmtId="188" fontId="28" fillId="0" borderId="7" xfId="87" applyNumberFormat="1" applyFont="1" applyFill="1" applyBorder="1" applyAlignment="1" applyProtection="1">
      <alignment horizontal="center" vertical="center" wrapText="1"/>
      <protection/>
    </xf>
    <xf numFmtId="0" fontId="31" fillId="3" borderId="12" xfId="87" applyFont="1" applyFill="1" applyBorder="1" applyAlignment="1" applyProtection="1">
      <alignment horizontal="center" vertical="center"/>
      <protection/>
    </xf>
    <xf numFmtId="0" fontId="28" fillId="0" borderId="7" xfId="87" applyFont="1" applyFill="1" applyBorder="1" applyAlignment="1" applyProtection="1">
      <alignment horizontal="center" vertical="center" wrapText="1"/>
      <protection/>
    </xf>
    <xf numFmtId="0" fontId="51" fillId="2" borderId="12" xfId="87" applyFont="1" applyFill="1" applyBorder="1" applyAlignment="1" applyProtection="1">
      <alignment horizontal="center" vertical="center"/>
      <protection/>
    </xf>
    <xf numFmtId="0" fontId="66" fillId="6" borderId="12" xfId="87" applyFont="1" applyFill="1" applyBorder="1" applyAlignment="1">
      <alignment horizontal="center" vertical="center" wrapText="1"/>
      <protection/>
    </xf>
    <xf numFmtId="0" fontId="33" fillId="10" borderId="6" xfId="87" applyFont="1" applyFill="1" applyBorder="1" applyAlignment="1">
      <alignment horizontal="centerContinuous" vertical="center" wrapText="1"/>
      <protection/>
    </xf>
    <xf numFmtId="0" fontId="33" fillId="10" borderId="7" xfId="87" applyFont="1" applyFill="1" applyBorder="1" applyAlignment="1">
      <alignment horizontal="centerContinuous" vertical="center"/>
      <protection/>
    </xf>
    <xf numFmtId="0" fontId="67" fillId="11" borderId="12" xfId="87" applyFont="1" applyFill="1" applyBorder="1" applyAlignment="1">
      <alignment horizontal="center" vertical="center" wrapText="1"/>
      <protection/>
    </xf>
    <xf numFmtId="0" fontId="28" fillId="0" borderId="7" xfId="87" applyFont="1" applyFill="1" applyBorder="1" applyAlignment="1">
      <alignment horizontal="center" vertical="center" wrapText="1"/>
      <protection/>
    </xf>
    <xf numFmtId="0" fontId="2" fillId="0" borderId="5" xfId="87" applyFont="1" applyBorder="1" applyAlignment="1">
      <alignment horizontal="center"/>
      <protection/>
    </xf>
    <xf numFmtId="0" fontId="2" fillId="0" borderId="33" xfId="87" applyFont="1" applyFill="1" applyBorder="1" applyProtection="1">
      <alignment/>
      <protection locked="0"/>
    </xf>
    <xf numFmtId="0" fontId="1" fillId="0" borderId="34" xfId="87" applyFont="1" applyFill="1" applyBorder="1" applyProtection="1">
      <alignment/>
      <protection locked="0"/>
    </xf>
    <xf numFmtId="0" fontId="1" fillId="0" borderId="35" xfId="87" applyFont="1" applyFill="1" applyBorder="1" applyAlignment="1" applyProtection="1">
      <alignment horizontal="center"/>
      <protection locked="0"/>
    </xf>
    <xf numFmtId="188" fontId="1" fillId="0" borderId="35" xfId="87" applyNumberFormat="1" applyFont="1" applyFill="1" applyBorder="1" applyAlignment="1" applyProtection="1">
      <alignment horizontal="center"/>
      <protection locked="0"/>
    </xf>
    <xf numFmtId="0" fontId="68" fillId="3" borderId="14" xfId="87" applyFont="1" applyFill="1" applyBorder="1" applyAlignment="1" applyProtection="1">
      <alignment horizontal="center"/>
      <protection locked="0"/>
    </xf>
    <xf numFmtId="0" fontId="69" fillId="2" borderId="14" xfId="87" applyNumberFormat="1" applyFont="1" applyFill="1" applyBorder="1" applyAlignment="1" applyProtection="1">
      <alignment horizontal="center"/>
      <protection locked="0"/>
    </xf>
    <xf numFmtId="0" fontId="70" fillId="6" borderId="14" xfId="87" applyFont="1" applyFill="1" applyBorder="1" applyAlignment="1" applyProtection="1">
      <alignment horizontal="center"/>
      <protection locked="0"/>
    </xf>
    <xf numFmtId="0" fontId="55" fillId="10" borderId="16" xfId="87" applyFont="1" applyFill="1" applyBorder="1" applyAlignment="1" applyProtection="1">
      <alignment horizontal="center"/>
      <protection locked="0"/>
    </xf>
    <xf numFmtId="0" fontId="55" fillId="10" borderId="17" xfId="87" applyFont="1" applyFill="1" applyBorder="1" applyAlignment="1" applyProtection="1">
      <alignment horizontal="left"/>
      <protection locked="0"/>
    </xf>
    <xf numFmtId="0" fontId="71" fillId="11" borderId="14" xfId="87" applyFont="1" applyFill="1" applyBorder="1" applyAlignment="1" applyProtection="1">
      <alignment horizontal="left"/>
      <protection locked="0"/>
    </xf>
    <xf numFmtId="0" fontId="2" fillId="0" borderId="36" xfId="87" applyFont="1" applyFill="1" applyBorder="1" applyProtection="1">
      <alignment/>
      <protection locked="0"/>
    </xf>
    <xf numFmtId="0" fontId="2" fillId="0" borderId="37" xfId="87" applyFont="1" applyFill="1" applyBorder="1" applyProtection="1">
      <alignment/>
      <protection locked="0"/>
    </xf>
    <xf numFmtId="0" fontId="48" fillId="3" borderId="18" xfId="87" applyFont="1" applyFill="1" applyBorder="1" applyProtection="1">
      <alignment/>
      <protection locked="0"/>
    </xf>
    <xf numFmtId="0" fontId="2" fillId="0" borderId="21" xfId="87" applyFont="1" applyFill="1" applyBorder="1" applyAlignment="1" applyProtection="1">
      <alignment horizontal="center"/>
      <protection locked="0"/>
    </xf>
    <xf numFmtId="0" fontId="2" fillId="0" borderId="22" xfId="87" applyFont="1" applyFill="1" applyBorder="1" applyAlignment="1" applyProtection="1">
      <alignment horizontal="center"/>
      <protection locked="0"/>
    </xf>
    <xf numFmtId="0" fontId="2" fillId="0" borderId="38" xfId="87" applyFont="1" applyFill="1" applyBorder="1" applyProtection="1">
      <alignment/>
      <protection locked="0"/>
    </xf>
    <xf numFmtId="0" fontId="72" fillId="2" borderId="18" xfId="87" applyNumberFormat="1" applyFont="1" applyFill="1" applyBorder="1" applyProtection="1">
      <alignment/>
      <protection locked="0"/>
    </xf>
    <xf numFmtId="0" fontId="73" fillId="6" borderId="23" xfId="87" applyFont="1" applyFill="1" applyBorder="1" applyProtection="1">
      <alignment/>
      <protection locked="0"/>
    </xf>
    <xf numFmtId="0" fontId="41" fillId="10" borderId="20" xfId="87" applyFont="1" applyFill="1" applyBorder="1" applyAlignment="1" applyProtection="1">
      <alignment horizontal="center"/>
      <protection locked="0"/>
    </xf>
    <xf numFmtId="0" fontId="41" fillId="10" borderId="21" xfId="87" applyFont="1" applyFill="1" applyBorder="1" applyProtection="1">
      <alignment/>
      <protection locked="0"/>
    </xf>
    <xf numFmtId="0" fontId="74" fillId="11" borderId="18" xfId="87" applyFont="1" applyFill="1" applyBorder="1" applyProtection="1">
      <alignment/>
      <protection locked="0"/>
    </xf>
    <xf numFmtId="0" fontId="2" fillId="0" borderId="33" xfId="87" applyFont="1" applyFill="1" applyBorder="1">
      <alignment/>
      <protection/>
    </xf>
    <xf numFmtId="0" fontId="2" fillId="0" borderId="39" xfId="87" applyFont="1" applyFill="1" applyBorder="1" applyAlignment="1" applyProtection="1">
      <alignment horizontal="center"/>
      <protection locked="0"/>
    </xf>
    <xf numFmtId="199" fontId="48" fillId="3" borderId="40" xfId="87" applyNumberFormat="1" applyFont="1" applyFill="1" applyBorder="1" applyAlignment="1" applyProtection="1">
      <alignment horizontal="center"/>
      <protection locked="0"/>
    </xf>
    <xf numFmtId="22" fontId="2" fillId="0" borderId="41" xfId="87" applyNumberFormat="1" applyFont="1" applyFill="1" applyBorder="1" applyAlignment="1" applyProtection="1">
      <alignment horizontal="center"/>
      <protection locked="0"/>
    </xf>
    <xf numFmtId="2" fontId="2" fillId="0" borderId="40" xfId="87" applyNumberFormat="1" applyFont="1" applyFill="1" applyBorder="1" applyAlignment="1" applyProtection="1">
      <alignment horizontal="center"/>
      <protection/>
    </xf>
    <xf numFmtId="188" fontId="2" fillId="0" borderId="40" xfId="87" applyNumberFormat="1" applyFont="1" applyFill="1" applyBorder="1" applyAlignment="1" applyProtection="1" quotePrefix="1">
      <alignment horizontal="center"/>
      <protection/>
    </xf>
    <xf numFmtId="192" fontId="2" fillId="0" borderId="30" xfId="87" applyNumberFormat="1" applyFont="1" applyFill="1" applyBorder="1" applyAlignment="1" applyProtection="1">
      <alignment horizontal="center"/>
      <protection locked="0"/>
    </xf>
    <xf numFmtId="192" fontId="2" fillId="0" borderId="40" xfId="87" applyNumberFormat="1" applyFont="1" applyFill="1" applyBorder="1" applyAlignment="1" applyProtection="1">
      <alignment horizontal="center"/>
      <protection locked="0"/>
    </xf>
    <xf numFmtId="0" fontId="72" fillId="2" borderId="40" xfId="87" applyNumberFormat="1" applyFont="1" applyFill="1" applyBorder="1" applyAlignment="1" applyProtection="1">
      <alignment horizontal="center"/>
      <protection locked="0"/>
    </xf>
    <xf numFmtId="2" fontId="73" fillId="6" borderId="18" xfId="87" applyNumberFormat="1" applyFont="1" applyFill="1" applyBorder="1" applyAlignment="1">
      <alignment horizontal="center"/>
      <protection/>
    </xf>
    <xf numFmtId="2" fontId="41" fillId="10" borderId="20" xfId="87" applyNumberFormat="1" applyFont="1" applyFill="1" applyBorder="1" applyAlignment="1">
      <alignment horizontal="center"/>
      <protection/>
    </xf>
    <xf numFmtId="2" fontId="41" fillId="10" borderId="21" xfId="87" applyNumberFormat="1" applyFont="1" applyFill="1" applyBorder="1" applyAlignment="1">
      <alignment horizontal="center"/>
      <protection/>
    </xf>
    <xf numFmtId="2" fontId="74" fillId="11" borderId="40" xfId="87" applyNumberFormat="1" applyFont="1" applyFill="1" applyBorder="1" applyAlignment="1">
      <alignment horizontal="center"/>
      <protection/>
    </xf>
    <xf numFmtId="192" fontId="75" fillId="0" borderId="40" xfId="87" applyNumberFormat="1" applyFont="1" applyFill="1" applyBorder="1" applyAlignment="1" applyProtection="1">
      <alignment horizontal="center"/>
      <protection locked="0"/>
    </xf>
    <xf numFmtId="2" fontId="76" fillId="0" borderId="40" xfId="87" applyNumberFormat="1" applyFont="1" applyFill="1" applyBorder="1" applyAlignment="1">
      <alignment horizontal="right"/>
      <protection/>
    </xf>
    <xf numFmtId="195" fontId="2" fillId="0" borderId="21" xfId="87" applyNumberFormat="1" applyFont="1" applyBorder="1" applyAlignment="1" applyProtection="1" quotePrefix="1">
      <alignment horizontal="center" vertical="center"/>
      <protection locked="0"/>
    </xf>
    <xf numFmtId="0" fontId="2" fillId="0" borderId="11" xfId="87" applyFont="1" applyFill="1" applyBorder="1" applyProtection="1">
      <alignment/>
      <protection locked="0"/>
    </xf>
    <xf numFmtId="0" fontId="44" fillId="0" borderId="42" xfId="87" applyFont="1" applyFill="1" applyBorder="1" applyAlignment="1" applyProtection="1">
      <alignment horizontal="center"/>
      <protection locked="0"/>
    </xf>
    <xf numFmtId="0" fontId="2" fillId="0" borderId="43" xfId="87" applyFont="1" applyBorder="1" applyAlignment="1" applyProtection="1">
      <alignment horizontal="center" vertical="center"/>
      <protection locked="0"/>
    </xf>
    <xf numFmtId="192" fontId="48" fillId="3" borderId="43" xfId="87" applyNumberFormat="1" applyFont="1" applyFill="1" applyBorder="1" applyAlignment="1" applyProtection="1">
      <alignment horizontal="center"/>
      <protection locked="0"/>
    </xf>
    <xf numFmtId="192" fontId="2" fillId="0" borderId="44" xfId="87" applyNumberFormat="1" applyFont="1" applyFill="1" applyBorder="1" applyAlignment="1" applyProtection="1">
      <alignment horizontal="center"/>
      <protection locked="0"/>
    </xf>
    <xf numFmtId="192" fontId="2" fillId="0" borderId="44" xfId="87" applyNumberFormat="1" applyFont="1" applyFill="1" applyBorder="1" applyAlignment="1" applyProtection="1">
      <alignment horizontal="center"/>
      <protection/>
    </xf>
    <xf numFmtId="192" fontId="2" fillId="0" borderId="43" xfId="87" applyNumberFormat="1" applyFont="1" applyFill="1" applyBorder="1" applyAlignment="1" applyProtection="1">
      <alignment horizontal="center"/>
      <protection locked="0"/>
    </xf>
    <xf numFmtId="0" fontId="72" fillId="2" borderId="43" xfId="87" applyNumberFormat="1" applyFont="1" applyFill="1" applyBorder="1" applyAlignment="1" applyProtection="1">
      <alignment horizontal="center"/>
      <protection locked="0"/>
    </xf>
    <xf numFmtId="2" fontId="77" fillId="6" borderId="43" xfId="87" applyNumberFormat="1" applyFont="1" applyFill="1" applyBorder="1" applyAlignment="1" applyProtection="1">
      <alignment horizontal="center"/>
      <protection locked="0"/>
    </xf>
    <xf numFmtId="192" fontId="78" fillId="10" borderId="45" xfId="87" applyNumberFormat="1" applyFont="1" applyFill="1" applyBorder="1" applyAlignment="1" applyProtection="1" quotePrefix="1">
      <alignment horizontal="center"/>
      <protection locked="0"/>
    </xf>
    <xf numFmtId="192" fontId="78" fillId="10" borderId="46" xfId="87" applyNumberFormat="1" applyFont="1" applyFill="1" applyBorder="1" applyAlignment="1" applyProtection="1" quotePrefix="1">
      <alignment horizontal="center"/>
      <protection locked="0"/>
    </xf>
    <xf numFmtId="192" fontId="79" fillId="11" borderId="43" xfId="87" applyNumberFormat="1" applyFont="1" applyFill="1" applyBorder="1" applyAlignment="1" applyProtection="1" quotePrefix="1">
      <alignment horizontal="center"/>
      <protection locked="0"/>
    </xf>
    <xf numFmtId="192" fontId="63" fillId="0" borderId="43" xfId="87" applyNumberFormat="1" applyFont="1" applyFill="1" applyBorder="1" applyAlignment="1" applyProtection="1">
      <alignment horizontal="center"/>
      <protection locked="0"/>
    </xf>
    <xf numFmtId="182" fontId="80" fillId="0" borderId="47" xfId="87" applyNumberFormat="1" applyFont="1" applyFill="1" applyBorder="1" applyAlignment="1">
      <alignment horizontal="right"/>
      <protection/>
    </xf>
    <xf numFmtId="4" fontId="81" fillId="0" borderId="0" xfId="87" applyNumberFormat="1" applyFont="1" applyFill="1" applyBorder="1" applyAlignment="1">
      <alignment horizontal="center"/>
      <protection/>
    </xf>
    <xf numFmtId="4" fontId="41" fillId="0" borderId="0" xfId="87" applyNumberFormat="1" applyFont="1" applyFill="1" applyBorder="1" applyAlignment="1">
      <alignment horizontal="center"/>
      <protection/>
    </xf>
    <xf numFmtId="4" fontId="17" fillId="0" borderId="2" xfId="87" applyNumberFormat="1" applyFont="1" applyFill="1" applyBorder="1" applyAlignment="1">
      <alignment horizontal="center"/>
      <protection/>
    </xf>
    <xf numFmtId="2" fontId="2" fillId="0" borderId="48" xfId="87" applyNumberFormat="1" applyFont="1" applyBorder="1">
      <alignment/>
      <protection/>
    </xf>
    <xf numFmtId="4" fontId="82" fillId="0" borderId="0" xfId="87" applyNumberFormat="1" applyFont="1" applyFill="1" applyBorder="1" applyAlignment="1">
      <alignment horizontal="center"/>
      <protection/>
    </xf>
    <xf numFmtId="0" fontId="2" fillId="0" borderId="10" xfId="87" applyFont="1" applyBorder="1">
      <alignment/>
      <protection/>
    </xf>
    <xf numFmtId="0" fontId="2" fillId="0" borderId="18" xfId="87" applyFont="1" applyBorder="1" applyAlignment="1" applyProtection="1">
      <alignment horizontal="center" vertical="center"/>
      <protection/>
    </xf>
    <xf numFmtId="182" fontId="3" fillId="0" borderId="49" xfId="87" applyNumberFormat="1" applyFont="1" applyBorder="1" applyAlignment="1" applyProtection="1">
      <alignment horizontal="right"/>
      <protection locked="0"/>
    </xf>
    <xf numFmtId="182" fontId="3" fillId="0" borderId="49" xfId="87" applyNumberFormat="1" applyFont="1" applyFill="1" applyBorder="1" applyAlignment="1" applyProtection="1">
      <alignment horizontal="right"/>
      <protection locked="0"/>
    </xf>
    <xf numFmtId="22" fontId="2" fillId="0" borderId="43" xfId="87" applyNumberFormat="1" applyFont="1" applyBorder="1" applyAlignment="1" applyProtection="1">
      <alignment horizontal="center" vertical="center"/>
      <protection locked="0"/>
    </xf>
    <xf numFmtId="22" fontId="2" fillId="0" borderId="0" xfId="87" applyNumberFormat="1" applyFont="1" applyFill="1" applyBorder="1">
      <alignment/>
      <protection/>
    </xf>
    <xf numFmtId="182" fontId="80" fillId="0" borderId="50" xfId="87" applyNumberFormat="1" applyFont="1" applyFill="1" applyBorder="1" applyAlignment="1">
      <alignment horizontal="right"/>
      <protection/>
    </xf>
    <xf numFmtId="0" fontId="2" fillId="0" borderId="40" xfId="87" applyFont="1" applyFill="1" applyBorder="1" applyAlignment="1" applyProtection="1">
      <alignment horizontal="center"/>
      <protection locked="0"/>
    </xf>
    <xf numFmtId="182" fontId="19" fillId="0" borderId="14" xfId="87" applyNumberFormat="1" applyFont="1" applyFill="1" applyBorder="1" applyAlignment="1" applyProtection="1">
      <alignment horizontal="right"/>
      <protection locked="0"/>
    </xf>
    <xf numFmtId="0" fontId="83" fillId="0" borderId="0" xfId="87" applyFont="1" applyAlignment="1">
      <alignment horizontal="right" vertical="top"/>
      <protection/>
    </xf>
    <xf numFmtId="0" fontId="83" fillId="0" borderId="0" xfId="87" applyFont="1" applyAlignment="1" applyProtection="1">
      <alignment horizontal="right" vertical="top"/>
      <protection/>
    </xf>
    <xf numFmtId="182" fontId="3" fillId="0" borderId="12" xfId="87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43" fontId="2" fillId="0" borderId="4" xfId="15" applyFont="1" applyBorder="1" applyAlignment="1" applyProtection="1">
      <alignment/>
      <protection locked="0"/>
    </xf>
    <xf numFmtId="43" fontId="2" fillId="0" borderId="14" xfId="15" applyFont="1" applyBorder="1" applyAlignment="1" applyProtection="1">
      <alignment/>
      <protection locked="0"/>
    </xf>
    <xf numFmtId="43" fontId="2" fillId="0" borderId="15" xfId="15" applyFont="1" applyBorder="1" applyAlignment="1" applyProtection="1">
      <alignment horizontal="center"/>
      <protection locked="0"/>
    </xf>
    <xf numFmtId="43" fontId="2" fillId="0" borderId="14" xfId="15" applyFont="1" applyBorder="1" applyAlignment="1" applyProtection="1">
      <alignment horizontal="center"/>
      <protection locked="0"/>
    </xf>
    <xf numFmtId="43" fontId="2" fillId="0" borderId="14" xfId="15" applyFont="1" applyBorder="1" applyAlignment="1" applyProtection="1">
      <alignment horizontal="center" vertical="center"/>
      <protection locked="0"/>
    </xf>
    <xf numFmtId="43" fontId="38" fillId="2" borderId="14" xfId="15" applyFont="1" applyFill="1" applyBorder="1" applyAlignment="1" applyProtection="1">
      <alignment horizontal="center"/>
      <protection locked="0"/>
    </xf>
    <xf numFmtId="43" fontId="2" fillId="0" borderId="15" xfId="15" applyFont="1" applyBorder="1" applyAlignment="1" applyProtection="1" quotePrefix="1">
      <alignment horizontal="center"/>
      <protection locked="0"/>
    </xf>
    <xf numFmtId="43" fontId="39" fillId="3" borderId="14" xfId="15" applyFont="1" applyFill="1" applyBorder="1" applyAlignment="1" applyProtection="1">
      <alignment horizontal="center"/>
      <protection locked="0"/>
    </xf>
    <xf numFmtId="43" fontId="40" fillId="6" borderId="14" xfId="15" applyFont="1" applyFill="1" applyBorder="1" applyAlignment="1" applyProtection="1">
      <alignment horizontal="center"/>
      <protection locked="0"/>
    </xf>
    <xf numFmtId="43" fontId="41" fillId="3" borderId="16" xfId="15" applyFont="1" applyFill="1" applyBorder="1" applyAlignment="1" applyProtection="1">
      <alignment horizontal="center"/>
      <protection locked="0"/>
    </xf>
    <xf numFmtId="43" fontId="41" fillId="3" borderId="15" xfId="15" applyFont="1" applyFill="1" applyBorder="1" applyAlignment="1" applyProtection="1">
      <alignment horizontal="center"/>
      <protection locked="0"/>
    </xf>
    <xf numFmtId="43" fontId="41" fillId="3" borderId="17" xfId="15" applyFont="1" applyFill="1" applyBorder="1" applyAlignment="1" applyProtection="1">
      <alignment horizontal="left"/>
      <protection locked="0"/>
    </xf>
    <xf numFmtId="43" fontId="7" fillId="6" borderId="16" xfId="15" applyFont="1" applyFill="1" applyBorder="1" applyAlignment="1" applyProtection="1">
      <alignment horizontal="center"/>
      <protection locked="0"/>
    </xf>
    <xf numFmtId="43" fontId="7" fillId="6" borderId="15" xfId="15" applyFont="1" applyFill="1" applyBorder="1" applyAlignment="1" applyProtection="1">
      <alignment horizontal="center"/>
      <protection locked="0"/>
    </xf>
    <xf numFmtId="43" fontId="7" fillId="6" borderId="17" xfId="15" applyFont="1" applyFill="1" applyBorder="1" applyAlignment="1" applyProtection="1">
      <alignment horizontal="left"/>
      <protection locked="0"/>
    </xf>
    <xf numFmtId="43" fontId="42" fillId="2" borderId="14" xfId="15" applyFont="1" applyFill="1" applyBorder="1" applyAlignment="1" applyProtection="1">
      <alignment horizontal="left"/>
      <protection locked="0"/>
    </xf>
    <xf numFmtId="43" fontId="43" fillId="5" borderId="14" xfId="15" applyFont="1" applyFill="1" applyBorder="1" applyAlignment="1" applyProtection="1">
      <alignment horizontal="left"/>
      <protection locked="0"/>
    </xf>
    <xf numFmtId="43" fontId="19" fillId="0" borderId="14" xfId="15" applyFont="1" applyBorder="1" applyAlignment="1" applyProtection="1">
      <alignment horizontal="center"/>
      <protection locked="0"/>
    </xf>
    <xf numFmtId="43" fontId="19" fillId="0" borderId="14" xfId="15" applyFont="1" applyFill="1" applyBorder="1" applyAlignment="1" applyProtection="1">
      <alignment horizontal="center"/>
      <protection locked="0"/>
    </xf>
    <xf numFmtId="43" fontId="2" fillId="0" borderId="5" xfId="15" applyFont="1" applyBorder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2" fontId="27" fillId="0" borderId="18" xfId="87" applyNumberFormat="1" applyFont="1" applyFill="1" applyBorder="1" applyAlignment="1" applyProtection="1">
      <alignment horizontal="right"/>
      <protection/>
    </xf>
    <xf numFmtId="182" fontId="2" fillId="0" borderId="28" xfId="87" applyNumberFormat="1" applyFont="1" applyFill="1" applyBorder="1" applyAlignment="1" applyProtection="1">
      <alignment horizontal="center"/>
      <protection/>
    </xf>
    <xf numFmtId="4" fontId="2" fillId="0" borderId="0" xfId="87" applyNumberFormat="1" applyFont="1" applyProtection="1">
      <alignment/>
      <protection/>
    </xf>
    <xf numFmtId="203" fontId="1" fillId="0" borderId="12" xfId="87" applyNumberFormat="1" applyFont="1" applyFill="1" applyBorder="1" applyAlignment="1">
      <alignment horizontal="center"/>
      <protection/>
    </xf>
    <xf numFmtId="182" fontId="63" fillId="0" borderId="23" xfId="87" applyNumberFormat="1" applyFont="1" applyFill="1" applyBorder="1" applyAlignment="1">
      <alignment horizontal="right"/>
      <protection/>
    </xf>
    <xf numFmtId="182" fontId="2" fillId="0" borderId="23" xfId="87" applyNumberFormat="1" applyFont="1" applyBorder="1" applyAlignment="1" applyProtection="1">
      <alignment horizontal="center"/>
      <protection/>
    </xf>
    <xf numFmtId="0" fontId="2" fillId="0" borderId="23" xfId="87" applyFont="1" applyFill="1" applyBorder="1" applyAlignment="1" applyProtection="1">
      <alignment horizontal="center"/>
      <protection locked="0"/>
    </xf>
    <xf numFmtId="0" fontId="2" fillId="0" borderId="31" xfId="87" applyFont="1" applyFill="1" applyBorder="1" applyAlignment="1" applyProtection="1">
      <alignment horizontal="center"/>
      <protection locked="0"/>
    </xf>
    <xf numFmtId="0" fontId="2" fillId="0" borderId="51" xfId="87" applyFont="1" applyBorder="1" applyAlignment="1" applyProtection="1">
      <alignment horizontal="center" vertical="center"/>
      <protection locked="0"/>
    </xf>
    <xf numFmtId="22" fontId="2" fillId="0" borderId="23" xfId="87" applyNumberFormat="1" applyFont="1" applyFill="1" applyBorder="1" applyAlignment="1" applyProtection="1">
      <alignment horizontal="center"/>
      <protection locked="0"/>
    </xf>
    <xf numFmtId="2" fontId="2" fillId="0" borderId="23" xfId="87" applyNumberFormat="1" applyFont="1" applyFill="1" applyBorder="1" applyAlignment="1" applyProtection="1">
      <alignment horizontal="center"/>
      <protection/>
    </xf>
    <xf numFmtId="3" fontId="2" fillId="0" borderId="23" xfId="87" applyNumberFormat="1" applyFont="1" applyFill="1" applyBorder="1" applyAlignment="1" applyProtection="1">
      <alignment horizontal="center"/>
      <protection/>
    </xf>
    <xf numFmtId="192" fontId="2" fillId="0" borderId="23" xfId="87" applyNumberFormat="1" applyFont="1" applyFill="1" applyBorder="1" applyAlignment="1" applyProtection="1">
      <alignment horizontal="center"/>
      <protection locked="0"/>
    </xf>
    <xf numFmtId="192" fontId="2" fillId="0" borderId="23" xfId="87" applyNumberFormat="1" applyFont="1" applyFill="1" applyBorder="1" applyAlignment="1" applyProtection="1" quotePrefix="1">
      <alignment horizontal="center"/>
      <protection locked="0"/>
    </xf>
    <xf numFmtId="2" fontId="39" fillId="3" borderId="23" xfId="87" applyNumberFormat="1" applyFont="1" applyFill="1" applyBorder="1" applyAlignment="1">
      <alignment horizontal="center"/>
      <protection/>
    </xf>
    <xf numFmtId="2" fontId="60" fillId="6" borderId="23" xfId="87" applyNumberFormat="1" applyFont="1" applyFill="1" applyBorder="1" applyAlignment="1">
      <alignment horizontal="center"/>
      <protection/>
    </xf>
    <xf numFmtId="2" fontId="41" fillId="7" borderId="52" xfId="87" applyNumberFormat="1" applyFont="1" applyFill="1" applyBorder="1" applyAlignment="1">
      <alignment horizontal="center"/>
      <protection/>
    </xf>
    <xf numFmtId="2" fontId="41" fillId="7" borderId="32" xfId="87" applyNumberFormat="1" applyFont="1" applyFill="1" applyBorder="1" applyAlignment="1">
      <alignment horizontal="center"/>
      <protection/>
    </xf>
    <xf numFmtId="2" fontId="7" fillId="8" borderId="52" xfId="87" applyNumberFormat="1" applyFont="1" applyFill="1" applyBorder="1" applyAlignment="1">
      <alignment horizontal="center"/>
      <protection/>
    </xf>
    <xf numFmtId="2" fontId="7" fillId="8" borderId="32" xfId="87" applyNumberFormat="1" applyFont="1" applyFill="1" applyBorder="1" applyAlignment="1">
      <alignment horizontal="center"/>
      <protection/>
    </xf>
    <xf numFmtId="2" fontId="43" fillId="2" borderId="23" xfId="87" applyNumberFormat="1" applyFont="1" applyFill="1" applyBorder="1" applyAlignment="1">
      <alignment horizontal="center"/>
      <protection/>
    </xf>
    <xf numFmtId="2" fontId="61" fillId="9" borderId="23" xfId="87" applyNumberFormat="1" applyFont="1" applyFill="1" applyBorder="1" applyAlignment="1">
      <alignment horizontal="center"/>
      <protection/>
    </xf>
    <xf numFmtId="2" fontId="62" fillId="0" borderId="23" xfId="87" applyNumberFormat="1" applyFont="1" applyFill="1" applyBorder="1" applyAlignment="1">
      <alignment horizontal="right"/>
      <protection/>
    </xf>
    <xf numFmtId="0" fontId="2" fillId="0" borderId="50" xfId="87" applyFont="1" applyBorder="1" applyAlignment="1" applyProtection="1">
      <alignment horizontal="center" vertical="center"/>
      <protection locked="0"/>
    </xf>
    <xf numFmtId="2" fontId="2" fillId="0" borderId="53" xfId="87" applyNumberFormat="1" applyFont="1" applyBorder="1" applyAlignment="1" applyProtection="1" quotePrefix="1">
      <alignment horizontal="center" vertical="center"/>
      <protection locked="0"/>
    </xf>
    <xf numFmtId="192" fontId="38" fillId="2" borderId="40" xfId="87" applyNumberFormat="1" applyFont="1" applyFill="1" applyBorder="1" applyAlignment="1" applyProtection="1">
      <alignment horizontal="center"/>
      <protection/>
    </xf>
    <xf numFmtId="22" fontId="2" fillId="0" borderId="40" xfId="87" applyNumberFormat="1" applyFont="1" applyFill="1" applyBorder="1" applyAlignment="1" applyProtection="1">
      <alignment horizontal="center"/>
      <protection locked="0"/>
    </xf>
    <xf numFmtId="3" fontId="2" fillId="0" borderId="40" xfId="87" applyNumberFormat="1" applyFont="1" applyFill="1" applyBorder="1" applyAlignment="1" applyProtection="1">
      <alignment horizontal="center"/>
      <protection/>
    </xf>
    <xf numFmtId="192" fontId="2" fillId="0" borderId="40" xfId="87" applyNumberFormat="1" applyFont="1" applyFill="1" applyBorder="1" applyAlignment="1" applyProtection="1" quotePrefix="1">
      <alignment horizontal="center"/>
      <protection locked="0"/>
    </xf>
    <xf numFmtId="2" fontId="39" fillId="3" borderId="40" xfId="87" applyNumberFormat="1" applyFont="1" applyFill="1" applyBorder="1" applyAlignment="1">
      <alignment horizontal="center"/>
      <protection/>
    </xf>
    <xf numFmtId="2" fontId="60" fillId="6" borderId="40" xfId="87" applyNumberFormat="1" applyFont="1" applyFill="1" applyBorder="1" applyAlignment="1">
      <alignment horizontal="center"/>
      <protection/>
    </xf>
    <xf numFmtId="2" fontId="41" fillId="7" borderId="41" xfId="87" applyNumberFormat="1" applyFont="1" applyFill="1" applyBorder="1" applyAlignment="1">
      <alignment horizontal="center"/>
      <protection/>
    </xf>
    <xf numFmtId="2" fontId="41" fillId="7" borderId="53" xfId="87" applyNumberFormat="1" applyFont="1" applyFill="1" applyBorder="1" applyAlignment="1">
      <alignment horizontal="center"/>
      <protection/>
    </xf>
    <xf numFmtId="2" fontId="7" fillId="8" borderId="41" xfId="87" applyNumberFormat="1" applyFont="1" applyFill="1" applyBorder="1" applyAlignment="1">
      <alignment horizontal="center"/>
      <protection/>
    </xf>
    <xf numFmtId="2" fontId="7" fillId="8" borderId="53" xfId="87" applyNumberFormat="1" applyFont="1" applyFill="1" applyBorder="1" applyAlignment="1">
      <alignment horizontal="center"/>
      <protection/>
    </xf>
    <xf numFmtId="2" fontId="43" fillId="2" borderId="40" xfId="87" applyNumberFormat="1" applyFont="1" applyFill="1" applyBorder="1" applyAlignment="1">
      <alignment horizontal="center"/>
      <protection/>
    </xf>
    <xf numFmtId="2" fontId="61" fillId="9" borderId="40" xfId="87" applyNumberFormat="1" applyFont="1" applyFill="1" applyBorder="1" applyAlignment="1">
      <alignment horizontal="center"/>
      <protection/>
    </xf>
    <xf numFmtId="2" fontId="62" fillId="0" borderId="40" xfId="87" applyNumberFormat="1" applyFont="1" applyFill="1" applyBorder="1" applyAlignment="1">
      <alignment horizontal="right"/>
      <protection/>
    </xf>
    <xf numFmtId="0" fontId="59" fillId="2" borderId="23" xfId="87" applyFont="1" applyFill="1" applyBorder="1" applyProtection="1">
      <alignment/>
      <protection/>
    </xf>
    <xf numFmtId="0" fontId="2" fillId="0" borderId="23" xfId="87" applyFont="1" applyFill="1" applyBorder="1" applyProtection="1">
      <alignment/>
      <protection locked="0"/>
    </xf>
    <xf numFmtId="0" fontId="2" fillId="0" borderId="23" xfId="87" applyFont="1" applyFill="1" applyBorder="1" applyAlignment="1">
      <alignment horizontal="center"/>
      <protection/>
    </xf>
    <xf numFmtId="0" fontId="39" fillId="3" borderId="23" xfId="87" applyFont="1" applyFill="1" applyBorder="1">
      <alignment/>
      <protection/>
    </xf>
    <xf numFmtId="0" fontId="60" fillId="6" borderId="23" xfId="87" applyFont="1" applyFill="1" applyBorder="1">
      <alignment/>
      <protection/>
    </xf>
    <xf numFmtId="0" fontId="41" fillId="7" borderId="52" xfId="87" applyFont="1" applyFill="1" applyBorder="1" applyAlignment="1">
      <alignment horizontal="center"/>
      <protection/>
    </xf>
    <xf numFmtId="0" fontId="41" fillId="7" borderId="32" xfId="87" applyFont="1" applyFill="1" applyBorder="1">
      <alignment/>
      <protection/>
    </xf>
    <xf numFmtId="0" fontId="7" fillId="8" borderId="52" xfId="87" applyFont="1" applyFill="1" applyBorder="1" applyAlignment="1">
      <alignment horizontal="center"/>
      <protection/>
    </xf>
    <xf numFmtId="0" fontId="7" fillId="8" borderId="32" xfId="87" applyFont="1" applyFill="1" applyBorder="1">
      <alignment/>
      <protection/>
    </xf>
    <xf numFmtId="0" fontId="43" fillId="2" borderId="23" xfId="87" applyFont="1" applyFill="1" applyBorder="1">
      <alignment/>
      <protection/>
    </xf>
    <xf numFmtId="0" fontId="61" fillId="9" borderId="23" xfId="87" applyFont="1" applyFill="1" applyBorder="1">
      <alignment/>
      <protection/>
    </xf>
    <xf numFmtId="0" fontId="2" fillId="0" borderId="51" xfId="87" applyFont="1" applyBorder="1" applyAlignment="1" applyProtection="1" quotePrefix="1">
      <alignment horizontal="center" vertical="center"/>
      <protection locked="0"/>
    </xf>
    <xf numFmtId="2" fontId="2" fillId="0" borderId="54" xfId="87" applyNumberFormat="1" applyFont="1" applyBorder="1" applyAlignment="1" applyProtection="1" quotePrefix="1">
      <alignment horizontal="center" vertical="center"/>
      <protection locked="0"/>
    </xf>
    <xf numFmtId="0" fontId="2" fillId="0" borderId="23" xfId="87" applyFont="1" applyBorder="1" applyProtection="1">
      <alignment/>
      <protection locked="0"/>
    </xf>
    <xf numFmtId="0" fontId="2" fillId="0" borderId="55" xfId="87" applyFont="1" applyBorder="1" applyProtection="1">
      <alignment/>
      <protection locked="0"/>
    </xf>
    <xf numFmtId="0" fontId="38" fillId="2" borderId="23" xfId="87" applyFont="1" applyFill="1" applyBorder="1" applyProtection="1">
      <alignment/>
      <protection locked="0"/>
    </xf>
    <xf numFmtId="0" fontId="2" fillId="0" borderId="55" xfId="87" applyFont="1" applyBorder="1" applyAlignment="1" applyProtection="1">
      <alignment horizontal="center"/>
      <protection locked="0"/>
    </xf>
    <xf numFmtId="0" fontId="39" fillId="3" borderId="23" xfId="87" applyFont="1" applyFill="1" applyBorder="1" applyProtection="1">
      <alignment/>
      <protection locked="0"/>
    </xf>
    <xf numFmtId="0" fontId="40" fillId="6" borderId="23" xfId="87" applyFont="1" applyFill="1" applyBorder="1" applyProtection="1">
      <alignment/>
      <protection locked="0"/>
    </xf>
    <xf numFmtId="0" fontId="41" fillId="3" borderId="52" xfId="87" applyFont="1" applyFill="1" applyBorder="1" applyAlignment="1" applyProtection="1">
      <alignment horizontal="center"/>
      <protection locked="0"/>
    </xf>
    <xf numFmtId="0" fontId="41" fillId="3" borderId="55" xfId="87" applyFont="1" applyFill="1" applyBorder="1" applyProtection="1">
      <alignment/>
      <protection locked="0"/>
    </xf>
    <xf numFmtId="0" fontId="41" fillId="3" borderId="32" xfId="87" applyFont="1" applyFill="1" applyBorder="1" applyProtection="1">
      <alignment/>
      <protection locked="0"/>
    </xf>
    <xf numFmtId="0" fontId="7" fillId="6" borderId="52" xfId="87" applyFont="1" applyFill="1" applyBorder="1" applyAlignment="1" applyProtection="1">
      <alignment horizontal="center"/>
      <protection locked="0"/>
    </xf>
    <xf numFmtId="0" fontId="7" fillId="6" borderId="55" xfId="87" applyFont="1" applyFill="1" applyBorder="1" applyProtection="1">
      <alignment/>
      <protection locked="0"/>
    </xf>
    <xf numFmtId="0" fontId="7" fillId="6" borderId="32" xfId="87" applyFont="1" applyFill="1" applyBorder="1" applyProtection="1">
      <alignment/>
      <protection locked="0"/>
    </xf>
    <xf numFmtId="0" fontId="42" fillId="2" borderId="23" xfId="87" applyFont="1" applyFill="1" applyBorder="1" applyProtection="1">
      <alignment/>
      <protection locked="0"/>
    </xf>
    <xf numFmtId="0" fontId="43" fillId="5" borderId="23" xfId="87" applyFont="1" applyFill="1" applyBorder="1" applyProtection="1">
      <alignment/>
      <protection locked="0"/>
    </xf>
    <xf numFmtId="182" fontId="19" fillId="0" borderId="23" xfId="87" applyNumberFormat="1" applyFont="1" applyBorder="1" applyAlignment="1" applyProtection="1">
      <alignment horizontal="center"/>
      <protection locked="0"/>
    </xf>
    <xf numFmtId="182" fontId="19" fillId="0" borderId="23" xfId="87" applyNumberFormat="1" applyFont="1" applyFill="1" applyBorder="1" applyAlignment="1" applyProtection="1">
      <alignment horizontal="center"/>
      <protection locked="0"/>
    </xf>
    <xf numFmtId="0" fontId="2" fillId="0" borderId="40" xfId="87" applyFont="1" applyBorder="1" applyAlignment="1" applyProtection="1">
      <alignment horizontal="center"/>
      <protection locked="0"/>
    </xf>
    <xf numFmtId="0" fontId="2" fillId="0" borderId="30" xfId="87" applyFont="1" applyBorder="1" applyAlignment="1" applyProtection="1">
      <alignment horizontal="center"/>
      <protection locked="0"/>
    </xf>
    <xf numFmtId="2" fontId="2" fillId="0" borderId="53" xfId="87" applyNumberFormat="1" applyFont="1" applyBorder="1" applyAlignment="1" applyProtection="1">
      <alignment horizontal="center"/>
      <protection locked="0"/>
    </xf>
    <xf numFmtId="192" fontId="38" fillId="2" borderId="40" xfId="87" applyNumberFormat="1" applyFont="1" applyFill="1" applyBorder="1" applyAlignment="1" applyProtection="1">
      <alignment horizontal="center"/>
      <protection/>
    </xf>
    <xf numFmtId="22" fontId="2" fillId="0" borderId="40" xfId="87" applyNumberFormat="1" applyFont="1" applyBorder="1" applyAlignment="1" applyProtection="1">
      <alignment horizontal="center"/>
      <protection locked="0"/>
    </xf>
    <xf numFmtId="2" fontId="2" fillId="0" borderId="40" xfId="87" applyNumberFormat="1" applyFont="1" applyBorder="1" applyAlignment="1" applyProtection="1">
      <alignment horizontal="center"/>
      <protection/>
    </xf>
    <xf numFmtId="1" fontId="2" fillId="0" borderId="40" xfId="87" applyNumberFormat="1" applyFont="1" applyBorder="1" applyAlignment="1" applyProtection="1">
      <alignment horizontal="center"/>
      <protection/>
    </xf>
    <xf numFmtId="192" fontId="2" fillId="0" borderId="40" xfId="87" applyNumberFormat="1" applyFont="1" applyBorder="1" applyAlignment="1" applyProtection="1">
      <alignment horizontal="center"/>
      <protection locked="0"/>
    </xf>
    <xf numFmtId="38" fontId="2" fillId="0" borderId="40" xfId="87" applyNumberFormat="1" applyFont="1" applyBorder="1" applyAlignment="1" applyProtection="1">
      <alignment horizontal="center"/>
      <protection locked="0"/>
    </xf>
    <xf numFmtId="2" fontId="39" fillId="3" borderId="40" xfId="87" applyNumberFormat="1" applyFont="1" applyFill="1" applyBorder="1" applyAlignment="1" applyProtection="1">
      <alignment horizontal="center"/>
      <protection/>
    </xf>
    <xf numFmtId="2" fontId="40" fillId="6" borderId="40" xfId="87" applyNumberFormat="1" applyFont="1" applyFill="1" applyBorder="1" applyAlignment="1" applyProtection="1">
      <alignment horizontal="center"/>
      <protection/>
    </xf>
    <xf numFmtId="192" fontId="41" fillId="3" borderId="41" xfId="87" applyNumberFormat="1" applyFont="1" applyFill="1" applyBorder="1" applyAlignment="1" applyProtection="1" quotePrefix="1">
      <alignment horizontal="center"/>
      <protection/>
    </xf>
    <xf numFmtId="192" fontId="41" fillId="3" borderId="56" xfId="87" applyNumberFormat="1" applyFont="1" applyFill="1" applyBorder="1" applyAlignment="1" applyProtection="1" quotePrefix="1">
      <alignment horizontal="center"/>
      <protection/>
    </xf>
    <xf numFmtId="4" fontId="41" fillId="3" borderId="53" xfId="87" applyNumberFormat="1" applyFont="1" applyFill="1" applyBorder="1" applyAlignment="1" applyProtection="1">
      <alignment horizontal="center"/>
      <protection/>
    </xf>
    <xf numFmtId="192" fontId="7" fillId="6" borderId="41" xfId="87" applyNumberFormat="1" applyFont="1" applyFill="1" applyBorder="1" applyAlignment="1" applyProtection="1" quotePrefix="1">
      <alignment horizontal="center"/>
      <protection/>
    </xf>
    <xf numFmtId="192" fontId="7" fillId="6" borderId="56" xfId="87" applyNumberFormat="1" applyFont="1" applyFill="1" applyBorder="1" applyAlignment="1" applyProtection="1" quotePrefix="1">
      <alignment horizontal="center"/>
      <protection/>
    </xf>
    <xf numFmtId="4" fontId="7" fillId="6" borderId="53" xfId="87" applyNumberFormat="1" applyFont="1" applyFill="1" applyBorder="1" applyAlignment="1" applyProtection="1">
      <alignment horizontal="center"/>
      <protection/>
    </xf>
    <xf numFmtId="4" fontId="42" fillId="2" borderId="40" xfId="87" applyNumberFormat="1" applyFont="1" applyFill="1" applyBorder="1" applyAlignment="1" applyProtection="1">
      <alignment horizontal="center"/>
      <protection/>
    </xf>
    <xf numFmtId="4" fontId="43" fillId="5" borderId="40" xfId="87" applyNumberFormat="1" applyFont="1" applyFill="1" applyBorder="1" applyAlignment="1" applyProtection="1">
      <alignment horizontal="center"/>
      <protection/>
    </xf>
    <xf numFmtId="4" fontId="2" fillId="0" borderId="40" xfId="87" applyNumberFormat="1" applyFont="1" applyBorder="1" applyAlignment="1" applyProtection="1">
      <alignment horizontal="center"/>
      <protection locked="0"/>
    </xf>
    <xf numFmtId="2" fontId="27" fillId="0" borderId="40" xfId="87" applyNumberFormat="1" applyFont="1" applyBorder="1" applyAlignment="1" applyProtection="1">
      <alignment horizontal="right"/>
      <protection/>
    </xf>
    <xf numFmtId="2" fontId="27" fillId="0" borderId="40" xfId="87" applyNumberFormat="1" applyFont="1" applyFill="1" applyBorder="1" applyAlignment="1" applyProtection="1">
      <alignment horizontal="right"/>
      <protection/>
    </xf>
    <xf numFmtId="0" fontId="2" fillId="0" borderId="31" xfId="87" applyFont="1" applyBorder="1" applyAlignment="1" applyProtection="1">
      <alignment horizontal="center"/>
      <protection locked="0"/>
    </xf>
    <xf numFmtId="2" fontId="2" fillId="0" borderId="32" xfId="87" applyNumberFormat="1" applyFont="1" applyBorder="1" applyAlignment="1" applyProtection="1">
      <alignment horizontal="center"/>
      <protection locked="0"/>
    </xf>
    <xf numFmtId="22" fontId="2" fillId="0" borderId="23" xfId="87" applyNumberFormat="1" applyFont="1" applyBorder="1" applyAlignment="1" applyProtection="1">
      <alignment horizontal="center"/>
      <protection locked="0"/>
    </xf>
    <xf numFmtId="2" fontId="2" fillId="0" borderId="23" xfId="87" applyNumberFormat="1" applyFont="1" applyBorder="1" applyAlignment="1" applyProtection="1">
      <alignment horizontal="center"/>
      <protection/>
    </xf>
    <xf numFmtId="1" fontId="2" fillId="0" borderId="23" xfId="87" applyNumberFormat="1" applyFont="1" applyBorder="1" applyAlignment="1" applyProtection="1">
      <alignment horizontal="center"/>
      <protection/>
    </xf>
    <xf numFmtId="192" fontId="2" fillId="0" borderId="23" xfId="87" applyNumberFormat="1" applyFont="1" applyBorder="1" applyAlignment="1" applyProtection="1">
      <alignment horizontal="center"/>
      <protection locked="0"/>
    </xf>
    <xf numFmtId="38" fontId="2" fillId="0" borderId="23" xfId="87" applyNumberFormat="1" applyFont="1" applyBorder="1" applyAlignment="1" applyProtection="1">
      <alignment horizontal="center"/>
      <protection locked="0"/>
    </xf>
    <xf numFmtId="2" fontId="39" fillId="3" borderId="23" xfId="87" applyNumberFormat="1" applyFont="1" applyFill="1" applyBorder="1" applyAlignment="1" applyProtection="1">
      <alignment horizontal="center"/>
      <protection/>
    </xf>
    <xf numFmtId="2" fontId="40" fillId="6" borderId="23" xfId="87" applyNumberFormat="1" applyFont="1" applyFill="1" applyBorder="1" applyAlignment="1" applyProtection="1">
      <alignment horizontal="center"/>
      <protection/>
    </xf>
    <xf numFmtId="192" fontId="41" fillId="3" borderId="52" xfId="87" applyNumberFormat="1" applyFont="1" applyFill="1" applyBorder="1" applyAlignment="1" applyProtection="1" quotePrefix="1">
      <alignment horizontal="center"/>
      <protection/>
    </xf>
    <xf numFmtId="192" fontId="41" fillId="3" borderId="55" xfId="87" applyNumberFormat="1" applyFont="1" applyFill="1" applyBorder="1" applyAlignment="1" applyProtection="1" quotePrefix="1">
      <alignment horizontal="center"/>
      <protection/>
    </xf>
    <xf numFmtId="4" fontId="41" fillId="3" borderId="32" xfId="87" applyNumberFormat="1" applyFont="1" applyFill="1" applyBorder="1" applyAlignment="1" applyProtection="1">
      <alignment horizontal="center"/>
      <protection/>
    </xf>
    <xf numFmtId="192" fontId="7" fillId="6" borderId="52" xfId="87" applyNumberFormat="1" applyFont="1" applyFill="1" applyBorder="1" applyAlignment="1" applyProtection="1" quotePrefix="1">
      <alignment horizontal="center"/>
      <protection/>
    </xf>
    <xf numFmtId="192" fontId="7" fillId="6" borderId="55" xfId="87" applyNumberFormat="1" applyFont="1" applyFill="1" applyBorder="1" applyAlignment="1" applyProtection="1" quotePrefix="1">
      <alignment horizontal="center"/>
      <protection/>
    </xf>
    <xf numFmtId="4" fontId="7" fillId="6" borderId="32" xfId="87" applyNumberFormat="1" applyFont="1" applyFill="1" applyBorder="1" applyAlignment="1" applyProtection="1">
      <alignment horizontal="center"/>
      <protection/>
    </xf>
    <xf numFmtId="4" fontId="42" fillId="2" borderId="23" xfId="87" applyNumberFormat="1" applyFont="1" applyFill="1" applyBorder="1" applyAlignment="1" applyProtection="1">
      <alignment horizontal="center"/>
      <protection/>
    </xf>
    <xf numFmtId="4" fontId="43" fillId="5" borderId="23" xfId="87" applyNumberFormat="1" applyFont="1" applyFill="1" applyBorder="1" applyAlignment="1" applyProtection="1">
      <alignment horizontal="center"/>
      <protection/>
    </xf>
    <xf numFmtId="4" fontId="2" fillId="0" borderId="23" xfId="87" applyNumberFormat="1" applyFont="1" applyBorder="1" applyAlignment="1" applyProtection="1">
      <alignment horizontal="center"/>
      <protection locked="0"/>
    </xf>
    <xf numFmtId="2" fontId="27" fillId="0" borderId="23" xfId="87" applyNumberFormat="1" applyFont="1" applyBorder="1" applyAlignment="1" applyProtection="1">
      <alignment horizontal="right"/>
      <protection/>
    </xf>
    <xf numFmtId="0" fontId="2" fillId="0" borderId="50" xfId="87" applyFont="1" applyBorder="1" applyAlignment="1" applyProtection="1">
      <alignment horizontal="center"/>
      <protection locked="0"/>
    </xf>
    <xf numFmtId="0" fontId="2" fillId="0" borderId="57" xfId="87" applyFont="1" applyFill="1" applyBorder="1" applyProtection="1">
      <alignment/>
      <protection locked="0"/>
    </xf>
    <xf numFmtId="0" fontId="2" fillId="0" borderId="58" xfId="87" applyFont="1" applyFill="1" applyBorder="1" applyProtection="1">
      <alignment/>
      <protection locked="0"/>
    </xf>
    <xf numFmtId="0" fontId="48" fillId="3" borderId="23" xfId="87" applyFont="1" applyFill="1" applyBorder="1" applyProtection="1">
      <alignment/>
      <protection locked="0"/>
    </xf>
    <xf numFmtId="0" fontId="2" fillId="0" borderId="32" xfId="87" applyFont="1" applyFill="1" applyBorder="1" applyAlignment="1" applyProtection="1">
      <alignment horizontal="center"/>
      <protection locked="0"/>
    </xf>
    <xf numFmtId="0" fontId="2" fillId="0" borderId="59" xfId="87" applyFont="1" applyFill="1" applyBorder="1" applyProtection="1">
      <alignment/>
      <protection locked="0"/>
    </xf>
    <xf numFmtId="0" fontId="72" fillId="2" borderId="23" xfId="87" applyNumberFormat="1" applyFont="1" applyFill="1" applyBorder="1" applyProtection="1">
      <alignment/>
      <protection locked="0"/>
    </xf>
    <xf numFmtId="0" fontId="41" fillId="10" borderId="52" xfId="87" applyFont="1" applyFill="1" applyBorder="1" applyAlignment="1" applyProtection="1">
      <alignment horizontal="center"/>
      <protection locked="0"/>
    </xf>
    <xf numFmtId="0" fontId="41" fillId="10" borderId="32" xfId="87" applyFont="1" applyFill="1" applyBorder="1" applyProtection="1">
      <alignment/>
      <protection locked="0"/>
    </xf>
    <xf numFmtId="0" fontId="74" fillId="11" borderId="23" xfId="87" applyFont="1" applyFill="1" applyBorder="1" applyProtection="1">
      <alignment/>
      <protection locked="0"/>
    </xf>
    <xf numFmtId="0" fontId="2" fillId="0" borderId="40" xfId="87" applyFont="1" applyBorder="1" applyAlignment="1" applyProtection="1">
      <alignment horizontal="center" vertical="center"/>
      <protection locked="0"/>
    </xf>
    <xf numFmtId="2" fontId="73" fillId="6" borderId="40" xfId="87" applyNumberFormat="1" applyFont="1" applyFill="1" applyBorder="1" applyAlignment="1">
      <alignment horizontal="center"/>
      <protection/>
    </xf>
    <xf numFmtId="2" fontId="41" fillId="10" borderId="41" xfId="87" applyNumberFormat="1" applyFont="1" applyFill="1" applyBorder="1" applyAlignment="1">
      <alignment horizontal="center"/>
      <protection/>
    </xf>
    <xf numFmtId="2" fontId="41" fillId="10" borderId="53" xfId="87" applyNumberFormat="1" applyFont="1" applyFill="1" applyBorder="1" applyAlignment="1">
      <alignment horizontal="center"/>
      <protection/>
    </xf>
    <xf numFmtId="0" fontId="2" fillId="0" borderId="33" xfId="87" applyFont="1" applyFill="1" applyBorder="1" applyAlignment="1" applyProtection="1">
      <alignment horizontal="center"/>
      <protection locked="0"/>
    </xf>
    <xf numFmtId="22" fontId="2" fillId="0" borderId="60" xfId="87" applyNumberFormat="1" applyFont="1" applyFill="1" applyBorder="1" applyAlignment="1" applyProtection="1">
      <alignment horizontal="center"/>
      <protection locked="0"/>
    </xf>
    <xf numFmtId="2" fontId="2" fillId="0" borderId="50" xfId="87" applyNumberFormat="1" applyFont="1" applyFill="1" applyBorder="1" applyAlignment="1" applyProtection="1">
      <alignment horizontal="center"/>
      <protection/>
    </xf>
    <xf numFmtId="188" fontId="2" fillId="0" borderId="50" xfId="87" applyNumberFormat="1" applyFont="1" applyFill="1" applyBorder="1" applyAlignment="1" applyProtection="1" quotePrefix="1">
      <alignment horizontal="center"/>
      <protection/>
    </xf>
    <xf numFmtId="192" fontId="2" fillId="0" borderId="51" xfId="87" applyNumberFormat="1" applyFont="1" applyFill="1" applyBorder="1" applyAlignment="1" applyProtection="1">
      <alignment horizontal="center"/>
      <protection locked="0"/>
    </xf>
    <xf numFmtId="192" fontId="2" fillId="0" borderId="50" xfId="87" applyNumberFormat="1" applyFont="1" applyFill="1" applyBorder="1" applyAlignment="1" applyProtection="1">
      <alignment horizontal="center"/>
      <protection locked="0"/>
    </xf>
    <xf numFmtId="0" fontId="72" fillId="2" borderId="50" xfId="87" applyNumberFormat="1" applyFont="1" applyFill="1" applyBorder="1" applyAlignment="1" applyProtection="1">
      <alignment horizontal="center"/>
      <protection locked="0"/>
    </xf>
    <xf numFmtId="2" fontId="73" fillId="6" borderId="23" xfId="87" applyNumberFormat="1" applyFont="1" applyFill="1" applyBorder="1" applyAlignment="1">
      <alignment horizontal="center"/>
      <protection/>
    </xf>
    <xf numFmtId="2" fontId="41" fillId="10" borderId="52" xfId="87" applyNumberFormat="1" applyFont="1" applyFill="1" applyBorder="1" applyAlignment="1">
      <alignment horizontal="center"/>
      <protection/>
    </xf>
    <xf numFmtId="2" fontId="41" fillId="10" borderId="32" xfId="87" applyNumberFormat="1" applyFont="1" applyFill="1" applyBorder="1" applyAlignment="1">
      <alignment horizontal="center"/>
      <protection/>
    </xf>
    <xf numFmtId="2" fontId="74" fillId="11" borderId="50" xfId="87" applyNumberFormat="1" applyFont="1" applyFill="1" applyBorder="1" applyAlignment="1">
      <alignment horizontal="center"/>
      <protection/>
    </xf>
    <xf numFmtId="192" fontId="75" fillId="0" borderId="50" xfId="87" applyNumberFormat="1" applyFont="1" applyFill="1" applyBorder="1" applyAlignment="1" applyProtection="1">
      <alignment horizontal="center"/>
      <protection locked="0"/>
    </xf>
    <xf numFmtId="2" fontId="76" fillId="0" borderId="50" xfId="87" applyNumberFormat="1" applyFont="1" applyFill="1" applyBorder="1" applyAlignment="1">
      <alignment horizontal="right"/>
      <protection/>
    </xf>
    <xf numFmtId="195" fontId="2" fillId="0" borderId="32" xfId="87" applyNumberFormat="1" applyFont="1" applyBorder="1" applyAlignment="1" applyProtection="1" quotePrefix="1">
      <alignment horizontal="center" vertical="center"/>
      <protection locked="0"/>
    </xf>
    <xf numFmtId="195" fontId="2" fillId="0" borderId="53" xfId="87" applyNumberFormat="1" applyFont="1" applyBorder="1" applyAlignment="1" applyProtection="1" quotePrefix="1">
      <alignment horizontal="center" vertical="center"/>
      <protection locked="0"/>
    </xf>
    <xf numFmtId="203" fontId="1" fillId="0" borderId="12" xfId="87" applyNumberFormat="1" applyFont="1" applyFill="1" applyBorder="1" applyAlignment="1" applyProtection="1">
      <alignment horizontal="center" vertical="center"/>
      <protection locked="0"/>
    </xf>
    <xf numFmtId="0" fontId="84" fillId="3" borderId="6" xfId="87" applyFont="1" applyFill="1" applyBorder="1" applyAlignment="1" applyProtection="1">
      <alignment horizontal="center"/>
      <protection locked="0"/>
    </xf>
    <xf numFmtId="0" fontId="84" fillId="3" borderId="13" xfId="87" applyFont="1" applyFill="1" applyBorder="1" applyAlignment="1" applyProtection="1">
      <alignment horizontal="center"/>
      <protection locked="0"/>
    </xf>
    <xf numFmtId="0" fontId="84" fillId="3" borderId="7" xfId="87" applyFont="1" applyFill="1" applyBorder="1" applyAlignment="1" applyProtection="1">
      <alignment horizontal="center"/>
      <protection locked="0"/>
    </xf>
    <xf numFmtId="0" fontId="84" fillId="12" borderId="6" xfId="87" applyFont="1" applyFill="1" applyBorder="1" applyAlignment="1" applyProtection="1">
      <alignment horizontal="center"/>
      <protection locked="0"/>
    </xf>
    <xf numFmtId="0" fontId="84" fillId="12" borderId="13" xfId="87" applyFont="1" applyFill="1" applyBorder="1" applyAlignment="1" applyProtection="1">
      <alignment horizontal="center"/>
      <protection locked="0"/>
    </xf>
    <xf numFmtId="0" fontId="84" fillId="12" borderId="7" xfId="87" applyFont="1" applyFill="1" applyBorder="1" applyAlignment="1" applyProtection="1">
      <alignment horizontal="center"/>
      <protection locked="0"/>
    </xf>
    <xf numFmtId="0" fontId="0" fillId="12" borderId="13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203" fontId="1" fillId="0" borderId="12" xfId="87" applyNumberFormat="1" applyFont="1" applyFill="1" applyBorder="1" applyAlignment="1">
      <alignment horizontal="center" vertical="center"/>
      <protection/>
    </xf>
    <xf numFmtId="0" fontId="1" fillId="0" borderId="12" xfId="87" applyFont="1" applyFill="1" applyBorder="1" applyAlignment="1">
      <alignment horizontal="center" vertical="center"/>
      <protection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8">
    <cellStyle name="Normal" xfId="0"/>
    <cellStyle name="Comma" xfId="15"/>
    <cellStyle name="Comma [0]" xfId="16"/>
    <cellStyle name="Millares [0]_CCTNEA" xfId="17"/>
    <cellStyle name="Millares [0]_Comahue" xfId="18"/>
    <cellStyle name="Millares [0]_Hoja1" xfId="19"/>
    <cellStyle name="Millares [0]_Libro2" xfId="20"/>
    <cellStyle name="Millares [0]_líneas" xfId="21"/>
    <cellStyle name="Millares [0]_T9808COM" xfId="22"/>
    <cellStyle name="Millares [0]_T9809COM" xfId="23"/>
    <cellStyle name="Millares [0]_T9810COM" xfId="24"/>
    <cellStyle name="Millares [0]_T9811COM" xfId="25"/>
    <cellStyle name="Millares [0]_T9812COM" xfId="26"/>
    <cellStyle name="Millares [0]_T9901COM" xfId="27"/>
    <cellStyle name="Millares [0]_T9902COM" xfId="28"/>
    <cellStyle name="Millares [0]_T9903COM" xfId="29"/>
    <cellStyle name="Millares [0]_T9904COM" xfId="30"/>
    <cellStyle name="Millares [0]_T9905COM" xfId="31"/>
    <cellStyle name="Millares_CCTNEA" xfId="32"/>
    <cellStyle name="Millares_Comahue" xfId="33"/>
    <cellStyle name="Millares_Hoja1" xfId="34"/>
    <cellStyle name="Millares_Libro2" xfId="35"/>
    <cellStyle name="Millares_líneas" xfId="36"/>
    <cellStyle name="Millares_T9808COM" xfId="37"/>
    <cellStyle name="Millares_T9809COM" xfId="38"/>
    <cellStyle name="Millares_T9810COM" xfId="39"/>
    <cellStyle name="Millares_T9811COM" xfId="40"/>
    <cellStyle name="Millares_T9812COM" xfId="41"/>
    <cellStyle name="Millares_T9901COM" xfId="42"/>
    <cellStyle name="Millares_T9902COM" xfId="43"/>
    <cellStyle name="Millares_T9903COM" xfId="44"/>
    <cellStyle name="Millares_T9904COM" xfId="45"/>
    <cellStyle name="Millares_T9905COM" xfId="46"/>
    <cellStyle name="Currency" xfId="47"/>
    <cellStyle name="Currency [0]" xfId="48"/>
    <cellStyle name="Moneda [0]_CCTNEA" xfId="49"/>
    <cellStyle name="Moneda [0]_Comahue" xfId="50"/>
    <cellStyle name="Moneda [0]_COMAHUE9701" xfId="51"/>
    <cellStyle name="Moneda [0]_Hoja1" xfId="52"/>
    <cellStyle name="Moneda [0]_Libro2" xfId="53"/>
    <cellStyle name="Moneda [0]_líneas" xfId="54"/>
    <cellStyle name="Moneda [0]_T9808COM" xfId="55"/>
    <cellStyle name="Moneda [0]_T9809COM" xfId="56"/>
    <cellStyle name="Moneda [0]_T9810COM" xfId="57"/>
    <cellStyle name="Moneda [0]_T9811COM" xfId="58"/>
    <cellStyle name="Moneda [0]_T9812COM" xfId="59"/>
    <cellStyle name="Moneda [0]_T9901COM" xfId="60"/>
    <cellStyle name="Moneda [0]_T9902COM" xfId="61"/>
    <cellStyle name="Moneda [0]_T9903COM" xfId="62"/>
    <cellStyle name="Moneda [0]_T9904COM" xfId="63"/>
    <cellStyle name="Moneda [0]_T9905COM" xfId="64"/>
    <cellStyle name="Moneda [0]_TRANSPA9611" xfId="65"/>
    <cellStyle name="Moneda [0]_TRANSPA9701" xfId="66"/>
    <cellStyle name="Moneda [0]_TRANSPA9701 (2)" xfId="67"/>
    <cellStyle name="Moneda_CCTNEA" xfId="68"/>
    <cellStyle name="Moneda_Comahue" xfId="69"/>
    <cellStyle name="Moneda_COMAHUE9701" xfId="70"/>
    <cellStyle name="Moneda_Hoja1" xfId="71"/>
    <cellStyle name="Moneda_Libro2" xfId="72"/>
    <cellStyle name="Moneda_líneas" xfId="73"/>
    <cellStyle name="Moneda_T9808COM" xfId="74"/>
    <cellStyle name="Moneda_T9809COM" xfId="75"/>
    <cellStyle name="Moneda_T9810COM" xfId="76"/>
    <cellStyle name="Moneda_T9811COM" xfId="77"/>
    <cellStyle name="Moneda_T9812COM" xfId="78"/>
    <cellStyle name="Moneda_T9901COM" xfId="79"/>
    <cellStyle name="Moneda_T9902COM" xfId="80"/>
    <cellStyle name="Moneda_T9903COM" xfId="81"/>
    <cellStyle name="Moneda_T9904COM" xfId="82"/>
    <cellStyle name="Moneda_T9905COM" xfId="83"/>
    <cellStyle name="Moneda_TRANSPA9611" xfId="84"/>
    <cellStyle name="Moneda_TRANSPA9701" xfId="85"/>
    <cellStyle name="Moneda_TRANSPA9701 (2)" xfId="86"/>
    <cellStyle name="Normal_Comahue" xfId="87"/>
    <cellStyle name="Normal_Hoja1" xfId="88"/>
    <cellStyle name="Normal_Libro2" xfId="89"/>
    <cellStyle name="Normal_líneas" xfId="90"/>
    <cellStyle name="Normal_T9808COM" xfId="91"/>
    <cellStyle name="Normal_T9809COM" xfId="92"/>
    <cellStyle name="Normal_T9810COM" xfId="93"/>
    <cellStyle name="Normal_T9811COM" xfId="94"/>
    <cellStyle name="Normal_T9812COM" xfId="95"/>
    <cellStyle name="Normal_T9901COM" xfId="96"/>
    <cellStyle name="Normal_T9902COM" xfId="97"/>
    <cellStyle name="Normal_T9903COM" xfId="98"/>
    <cellStyle name="Normal_T9904COM" xfId="99"/>
    <cellStyle name="Normal_T9905COM" xfId="100"/>
    <cellStyle name="Percen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S41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0.8515625" style="8" customWidth="1"/>
    <col min="4" max="4" width="8.7109375" style="8" customWidth="1"/>
    <col min="5" max="5" width="6.8515625" style="8" customWidth="1"/>
    <col min="6" max="7" width="17.7109375" style="8" customWidth="1"/>
    <col min="8" max="8" width="3.7109375" style="8" customWidth="1"/>
    <col min="9" max="9" width="15.7109375" style="8" customWidth="1"/>
    <col min="10" max="10" width="15.1406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3" customFormat="1" ht="26.25">
      <c r="B1" s="4"/>
      <c r="J1" s="5"/>
      <c r="K1" s="440" t="s">
        <v>125</v>
      </c>
    </row>
    <row r="2" spans="2:10" s="3" customFormat="1" ht="26.25">
      <c r="B2" s="443" t="s">
        <v>258</v>
      </c>
      <c r="C2" s="6"/>
      <c r="D2" s="7"/>
      <c r="E2" s="7"/>
      <c r="F2" s="7"/>
      <c r="G2" s="7"/>
      <c r="H2" s="7"/>
      <c r="I2" s="7"/>
      <c r="J2" s="7"/>
    </row>
    <row r="3" spans="3:19" ht="12.75">
      <c r="C3" s="1"/>
      <c r="D3" s="9"/>
      <c r="E3" s="9"/>
      <c r="F3" s="9"/>
      <c r="G3" s="9"/>
      <c r="H3" s="9"/>
      <c r="I3" s="9"/>
      <c r="J3" s="9"/>
      <c r="P3" s="10"/>
      <c r="Q3" s="10"/>
      <c r="R3" s="10"/>
      <c r="S3" s="10"/>
    </row>
    <row r="4" spans="1:19" s="13" customFormat="1" ht="11.25">
      <c r="A4" s="11" t="s">
        <v>59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11" t="s">
        <v>60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3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21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7" customFormat="1" ht="21">
      <c r="B9" s="18" t="s">
        <v>1</v>
      </c>
      <c r="C9" s="19"/>
      <c r="D9" s="20"/>
      <c r="E9" s="20"/>
      <c r="F9" s="20"/>
      <c r="G9" s="20"/>
      <c r="H9" s="20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7" customFormat="1" ht="20.25">
      <c r="B11" s="444" t="s">
        <v>232</v>
      </c>
      <c r="C11" s="24"/>
      <c r="D11" s="25"/>
      <c r="E11" s="25"/>
      <c r="F11" s="20"/>
      <c r="G11" s="20"/>
      <c r="H11" s="20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2:19" s="17" customFormat="1" ht="20.25">
      <c r="B12" s="444" t="s">
        <v>256</v>
      </c>
      <c r="C12" s="24"/>
      <c r="D12" s="25"/>
      <c r="E12" s="25"/>
      <c r="F12" s="20"/>
      <c r="G12" s="20"/>
      <c r="H12" s="20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</row>
    <row r="13" spans="4:19" s="26" customFormat="1" ht="16.5" thickBot="1">
      <c r="D13" s="27"/>
      <c r="E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2:19" s="26" customFormat="1" ht="16.5" thickTop="1">
      <c r="B14" s="29">
        <f>IF(C14=TRUE,2,1)</f>
        <v>1</v>
      </c>
      <c r="C14" s="30"/>
      <c r="D14" s="31"/>
      <c r="E14" s="31"/>
      <c r="F14" s="31"/>
      <c r="G14" s="31"/>
      <c r="H14" s="31"/>
      <c r="I14" s="31"/>
      <c r="J14" s="32"/>
      <c r="K14" s="28"/>
      <c r="L14" s="28"/>
      <c r="M14" s="28"/>
      <c r="N14" s="28"/>
      <c r="O14" s="28"/>
      <c r="P14" s="28"/>
      <c r="Q14" s="28"/>
      <c r="R14" s="28"/>
      <c r="S14" s="28"/>
    </row>
    <row r="15" spans="2:19" s="33" customFormat="1" ht="19.5">
      <c r="B15" s="445" t="s">
        <v>233</v>
      </c>
      <c r="C15" s="35"/>
      <c r="D15" s="36"/>
      <c r="E15" s="37"/>
      <c r="F15" s="37"/>
      <c r="G15" s="37"/>
      <c r="H15" s="37"/>
      <c r="I15" s="38"/>
      <c r="J15" s="39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9.5" hidden="1">
      <c r="B16" s="41"/>
      <c r="C16" s="42"/>
      <c r="D16" s="42"/>
      <c r="E16" s="40"/>
      <c r="F16" s="43"/>
      <c r="G16" s="43"/>
      <c r="H16" s="43"/>
      <c r="I16" s="40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8" s="33" customFormat="1" ht="19.5" hidden="1">
      <c r="B17" s="34" t="s">
        <v>61</v>
      </c>
      <c r="C17" s="45"/>
      <c r="D17" s="45"/>
      <c r="E17" s="38"/>
      <c r="F17" s="37"/>
      <c r="G17" s="37"/>
      <c r="H17" s="38"/>
      <c r="I17" s="24"/>
      <c r="J17" s="39"/>
      <c r="K17" s="40"/>
      <c r="L17" s="40"/>
      <c r="M17" s="40"/>
      <c r="N17" s="40"/>
      <c r="O17" s="40"/>
      <c r="P17" s="40"/>
      <c r="Q17" s="40"/>
      <c r="R17" s="40"/>
    </row>
    <row r="18" spans="2:18" s="33" customFormat="1" ht="19.5">
      <c r="B18" s="41"/>
      <c r="C18" s="42"/>
      <c r="D18" s="42"/>
      <c r="E18" s="40"/>
      <c r="F18" s="43"/>
      <c r="G18" s="43"/>
      <c r="H18" s="40"/>
      <c r="I18" s="1"/>
      <c r="J18" s="44"/>
      <c r="K18" s="40"/>
      <c r="L18" s="40"/>
      <c r="M18" s="40"/>
      <c r="N18" s="40"/>
      <c r="O18" s="40"/>
      <c r="P18" s="40"/>
      <c r="Q18" s="40"/>
      <c r="R18" s="40"/>
    </row>
    <row r="19" spans="2:19" s="33" customFormat="1" ht="19.5">
      <c r="B19" s="41"/>
      <c r="C19" s="46" t="s">
        <v>62</v>
      </c>
      <c r="D19" s="47" t="s">
        <v>2</v>
      </c>
      <c r="E19" s="40"/>
      <c r="F19" s="43"/>
      <c r="G19" s="43"/>
      <c r="H19" s="43"/>
      <c r="I19" s="48">
        <f>+'LI (9)'!AB42</f>
        <v>14415.85</v>
      </c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3.5">
      <c r="B20" s="49"/>
      <c r="C20" s="50"/>
      <c r="D20" s="51"/>
      <c r="E20" s="10"/>
      <c r="F20" s="52"/>
      <c r="G20" s="52"/>
      <c r="H20" s="52"/>
      <c r="I20" s="53"/>
      <c r="J20" s="54"/>
      <c r="K20" s="10"/>
      <c r="L20" s="10"/>
      <c r="M20" s="10"/>
      <c r="N20" s="10"/>
      <c r="O20" s="10"/>
      <c r="P20" s="10"/>
      <c r="Q20" s="10"/>
      <c r="R20" s="10"/>
      <c r="S20" s="10"/>
    </row>
    <row r="21" spans="2:19" s="33" customFormat="1" ht="19.5">
      <c r="B21" s="41"/>
      <c r="C21" s="46" t="s">
        <v>63</v>
      </c>
      <c r="D21" s="47" t="s">
        <v>64</v>
      </c>
      <c r="E21" s="40"/>
      <c r="F21" s="43"/>
      <c r="G21" s="43"/>
      <c r="H21" s="43"/>
      <c r="I21" s="48"/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ht="13.5">
      <c r="B22" s="49"/>
      <c r="C22" s="50"/>
      <c r="D22" s="50"/>
      <c r="E22" s="10"/>
      <c r="F22" s="52"/>
      <c r="G22" s="52"/>
      <c r="H22" s="52"/>
      <c r="I22" s="55"/>
      <c r="J22" s="54"/>
      <c r="K22" s="10"/>
      <c r="L22" s="10"/>
      <c r="M22" s="10"/>
      <c r="N22" s="10"/>
      <c r="O22" s="10"/>
      <c r="P22" s="10"/>
      <c r="Q22" s="10"/>
      <c r="R22" s="10"/>
      <c r="S22" s="10"/>
    </row>
    <row r="23" spans="2:19" s="33" customFormat="1" ht="19.5">
      <c r="B23" s="41"/>
      <c r="C23" s="46"/>
      <c r="D23" s="46" t="s">
        <v>65</v>
      </c>
      <c r="E23" s="56" t="s">
        <v>66</v>
      </c>
      <c r="F23" s="43"/>
      <c r="G23" s="43"/>
      <c r="H23" s="43"/>
      <c r="I23" s="48">
        <f>+'TR (6)'!AA44</f>
        <v>16072.92</v>
      </c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3.5">
      <c r="B24" s="49"/>
      <c r="C24" s="50"/>
      <c r="D24" s="50"/>
      <c r="E24" s="10"/>
      <c r="F24" s="52"/>
      <c r="G24" s="52"/>
      <c r="H24" s="52"/>
      <c r="I24" s="55"/>
      <c r="J24" s="54"/>
      <c r="K24" s="10"/>
      <c r="L24" s="10"/>
      <c r="M24" s="10"/>
      <c r="N24" s="10"/>
      <c r="O24" s="10"/>
      <c r="P24" s="10"/>
      <c r="Q24" s="10"/>
      <c r="R24" s="10"/>
      <c r="S24" s="10"/>
    </row>
    <row r="25" spans="2:19" s="33" customFormat="1" ht="19.5">
      <c r="B25" s="41"/>
      <c r="C25" s="46"/>
      <c r="D25" s="46" t="s">
        <v>67</v>
      </c>
      <c r="E25" s="56" t="s">
        <v>68</v>
      </c>
      <c r="F25" s="43"/>
      <c r="G25" s="43"/>
      <c r="H25" s="43"/>
      <c r="I25" s="48">
        <f>+'SA (10)'!V44</f>
        <v>1470.72</v>
      </c>
      <c r="J25" s="44"/>
      <c r="K25" s="40"/>
      <c r="L25" s="40"/>
      <c r="M25" s="40"/>
      <c r="N25" s="40"/>
      <c r="O25" s="40"/>
      <c r="P25" s="40"/>
      <c r="Q25" s="40"/>
      <c r="R25" s="40"/>
      <c r="S25" s="40"/>
    </row>
    <row r="26" spans="2:19" s="33" customFormat="1" ht="19.5">
      <c r="B26" s="41"/>
      <c r="C26" s="42"/>
      <c r="D26" s="42"/>
      <c r="E26" s="56"/>
      <c r="F26" s="43"/>
      <c r="G26" s="43"/>
      <c r="H26" s="43"/>
      <c r="I26" s="48"/>
      <c r="J26" s="44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33" customFormat="1" ht="19.5">
      <c r="B27" s="41"/>
      <c r="C27" s="42"/>
      <c r="D27" s="42"/>
      <c r="E27" s="40"/>
      <c r="F27" s="43"/>
      <c r="G27" s="43"/>
      <c r="H27" s="43"/>
      <c r="I27" s="57"/>
      <c r="J27" s="44"/>
      <c r="K27" s="40"/>
      <c r="L27" s="40"/>
      <c r="M27" s="40"/>
      <c r="N27" s="40"/>
      <c r="O27" s="40"/>
      <c r="P27" s="40"/>
      <c r="Q27" s="40"/>
      <c r="R27" s="40"/>
      <c r="S27" s="40"/>
    </row>
    <row r="28" spans="2:19" s="33" customFormat="1" ht="20.25" thickBot="1">
      <c r="B28" s="41"/>
      <c r="C28" s="42"/>
      <c r="D28" s="42"/>
      <c r="E28" s="40"/>
      <c r="F28" s="43"/>
      <c r="G28" s="43"/>
      <c r="H28" s="43"/>
      <c r="I28" s="40"/>
      <c r="J28" s="44"/>
      <c r="K28" s="40"/>
      <c r="L28" s="40"/>
      <c r="M28" s="40"/>
      <c r="N28" s="40"/>
      <c r="O28" s="40"/>
      <c r="P28" s="40"/>
      <c r="Q28" s="40"/>
      <c r="R28" s="40"/>
      <c r="S28" s="40"/>
    </row>
    <row r="29" spans="2:19" s="33" customFormat="1" ht="20.25" thickBot="1" thickTop="1">
      <c r="B29" s="41"/>
      <c r="C29" s="46"/>
      <c r="D29" s="46"/>
      <c r="F29" s="58" t="s">
        <v>69</v>
      </c>
      <c r="G29" s="59">
        <f>SUM(I19:I27)</f>
        <v>31959.49</v>
      </c>
      <c r="H29" s="60"/>
      <c r="J29" s="44"/>
      <c r="K29" s="40"/>
      <c r="L29" s="40"/>
      <c r="M29" s="40"/>
      <c r="N29" s="40"/>
      <c r="O29" s="40"/>
      <c r="P29" s="40"/>
      <c r="Q29" s="40"/>
      <c r="R29" s="40"/>
      <c r="S29" s="40"/>
    </row>
    <row r="30" spans="2:19" s="26" customFormat="1" ht="17.25" thickBot="1" thickTop="1">
      <c r="B30" s="61"/>
      <c r="C30" s="62"/>
      <c r="D30" s="62"/>
      <c r="E30" s="63"/>
      <c r="F30" s="63"/>
      <c r="G30" s="63"/>
      <c r="H30" s="63"/>
      <c r="I30" s="63"/>
      <c r="J30" s="64"/>
      <c r="K30" s="28"/>
      <c r="L30" s="28"/>
      <c r="M30" s="65"/>
      <c r="N30" s="66"/>
      <c r="O30" s="66"/>
      <c r="P30" s="67"/>
      <c r="Q30" s="68"/>
      <c r="R30" s="28"/>
      <c r="S30" s="28"/>
    </row>
    <row r="31" spans="4:19" ht="13.5" thickTop="1">
      <c r="D31" s="10"/>
      <c r="F31" s="10"/>
      <c r="G31" s="10"/>
      <c r="H31" s="10"/>
      <c r="I31" s="10"/>
      <c r="J31" s="10"/>
      <c r="K31" s="10"/>
      <c r="L31" s="10"/>
      <c r="M31" s="69"/>
      <c r="N31" s="70"/>
      <c r="O31" s="70"/>
      <c r="P31" s="10"/>
      <c r="Q31" s="71"/>
      <c r="R31" s="10"/>
      <c r="S31" s="10"/>
    </row>
    <row r="32" spans="4:19" ht="12.75">
      <c r="D32" s="10"/>
      <c r="F32" s="10"/>
      <c r="G32" s="10"/>
      <c r="H32" s="10"/>
      <c r="I32" s="10"/>
      <c r="J32" s="10"/>
      <c r="K32" s="10"/>
      <c r="L32" s="10"/>
      <c r="M32" s="10"/>
      <c r="N32" s="72"/>
      <c r="O32" s="72"/>
      <c r="P32" s="73"/>
      <c r="Q32" s="71"/>
      <c r="R32" s="10"/>
      <c r="S32" s="10"/>
    </row>
    <row r="33" spans="4:19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2"/>
      <c r="O33" s="72"/>
      <c r="P33" s="73"/>
      <c r="Q33" s="71"/>
      <c r="R33" s="10"/>
      <c r="S33" s="10"/>
    </row>
    <row r="34" spans="4:19" ht="12.75">
      <c r="D34" s="10"/>
      <c r="E34" s="10"/>
      <c r="L34" s="10"/>
      <c r="M34" s="10"/>
      <c r="N34" s="10"/>
      <c r="O34" s="10"/>
      <c r="P34" s="10"/>
      <c r="Q34" s="10"/>
      <c r="R34" s="10"/>
      <c r="S34" s="10"/>
    </row>
    <row r="35" spans="4:19" ht="12.75">
      <c r="D35" s="10"/>
      <c r="E35" s="10"/>
      <c r="P35" s="10"/>
      <c r="Q35" s="10"/>
      <c r="R35" s="10"/>
      <c r="S35" s="10"/>
    </row>
    <row r="36" spans="4:19" ht="12.75">
      <c r="D36" s="10"/>
      <c r="E36" s="10"/>
      <c r="P36" s="10"/>
      <c r="Q36" s="10"/>
      <c r="R36" s="10"/>
      <c r="S36" s="10"/>
    </row>
    <row r="37" spans="4:19" ht="12.75">
      <c r="D37" s="10"/>
      <c r="E37" s="10"/>
      <c r="P37" s="10"/>
      <c r="Q37" s="10"/>
      <c r="R37" s="10"/>
      <c r="S37" s="10"/>
    </row>
    <row r="38" spans="4:19" ht="12.75">
      <c r="D38" s="10"/>
      <c r="E38" s="10"/>
      <c r="P38" s="10"/>
      <c r="Q38" s="10"/>
      <c r="R38" s="10"/>
      <c r="S38" s="10"/>
    </row>
    <row r="39" spans="4:19" ht="12.75">
      <c r="D39" s="10"/>
      <c r="E39" s="10"/>
      <c r="P39" s="10"/>
      <c r="Q39" s="10"/>
      <c r="R39" s="10"/>
      <c r="S39" s="10"/>
    </row>
    <row r="40" spans="16:19" ht="12.75">
      <c r="P40" s="10"/>
      <c r="Q40" s="10"/>
      <c r="R40" s="10"/>
      <c r="S40" s="10"/>
    </row>
    <row r="41" spans="16:19" ht="12.75">
      <c r="P41" s="10"/>
      <c r="Q41" s="10"/>
      <c r="R41" s="10"/>
      <c r="S41" s="10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5">
    <pageSetUpPr fitToPage="1"/>
  </sheetPr>
  <dimension ref="A1:AC58"/>
  <sheetViews>
    <sheetView zoomScale="75" zoomScaleNormal="75" workbookViewId="0" topLeftCell="C11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7.4218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241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60.347060675128475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221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(8)'!Z42</f>
        <v>64690.05</v>
      </c>
      <c r="AA18" s="148">
        <f>+'LI (8)'!AA42</f>
        <v>50327.7</v>
      </c>
      <c r="AB18" s="148">
        <f>+'LI (8)'!AB42</f>
        <v>14362.35</v>
      </c>
      <c r="AC18" s="88"/>
    </row>
    <row r="19" spans="2:29" s="149" customFormat="1" ht="16.5" customHeight="1" thickBot="1">
      <c r="B19" s="130"/>
      <c r="C19" s="518"/>
      <c r="D19" s="519"/>
      <c r="E19" s="518"/>
      <c r="F19" s="518"/>
      <c r="G19" s="520"/>
      <c r="H19" s="518"/>
      <c r="I19" s="521"/>
      <c r="J19" s="188"/>
      <c r="K19" s="521"/>
      <c r="L19" s="518"/>
      <c r="M19" s="519"/>
      <c r="N19" s="188"/>
      <c r="O19" s="522"/>
      <c r="P19" s="523"/>
      <c r="Q19" s="524"/>
      <c r="R19" s="525"/>
      <c r="S19" s="526"/>
      <c r="T19" s="527"/>
      <c r="U19" s="528"/>
      <c r="V19" s="529"/>
      <c r="W19" s="530"/>
      <c r="X19" s="531"/>
      <c r="Y19" s="188"/>
      <c r="Z19" s="532"/>
      <c r="AA19" s="532"/>
      <c r="AB19" s="532"/>
      <c r="AC19" s="166"/>
    </row>
    <row r="20" spans="2:29" ht="16.5" customHeight="1" thickBot="1" thickTop="1">
      <c r="B20" s="130"/>
      <c r="C20" s="605" t="s">
        <v>238</v>
      </c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7"/>
      <c r="AC20" s="187"/>
    </row>
    <row r="21" spans="2:29" ht="16.5" customHeight="1" thickTop="1">
      <c r="B21" s="130"/>
      <c r="C21" s="534">
        <v>1</v>
      </c>
      <c r="D21" s="534" t="s">
        <v>8</v>
      </c>
      <c r="E21" s="535">
        <v>132</v>
      </c>
      <c r="F21" s="536">
        <v>75.1</v>
      </c>
      <c r="G21" s="537">
        <f>F21*$E$14/100*$E$15</f>
        <v>44.86743614135126</v>
      </c>
      <c r="H21" s="538">
        <v>36287.41736111111</v>
      </c>
      <c r="I21" s="538">
        <v>36287.47152777778</v>
      </c>
      <c r="J21" s="539">
        <f aca="true" t="shared" si="0" ref="J21:J40">IF(H21="","",(I21-H21)*24)</f>
        <v>1.3000000000465661</v>
      </c>
      <c r="K21" s="540">
        <f aca="true" t="shared" si="1" ref="K21:K40">IF(I21="","",ROUND((I21-H21)*24*60,0))</f>
        <v>78</v>
      </c>
      <c r="L21" s="541" t="s">
        <v>121</v>
      </c>
      <c r="M21" s="541" t="str">
        <f aca="true" t="shared" si="2" ref="M21:M40">IF(D21="","","--")</f>
        <v>--</v>
      </c>
      <c r="N21" s="542" t="str">
        <f aca="true" t="shared" si="3" ref="N21:N40">IF(D21="","",IF(OR(L21="P",L21="RP"),"--","NO"))</f>
        <v>--</v>
      </c>
      <c r="O21" s="543">
        <f aca="true" t="shared" si="4" ref="O21:O40">IF(L21="P",ROUND(K21/60,2)*G21*$J$14*0.01,"--")</f>
        <v>17.498300095126993</v>
      </c>
      <c r="P21" s="544" t="str">
        <f aca="true" t="shared" si="5" ref="P21:P40">IF(L21="RP",ROUND(K21/60,2)*G21*$J$14*0.01*M21/100,"--")</f>
        <v>--</v>
      </c>
      <c r="Q21" s="545" t="str">
        <f aca="true" t="shared" si="6" ref="Q21:Q40">IF(N21="SI","--",IF(L21="F",ROUND(G21*$J$14,2),"--"))</f>
        <v>--</v>
      </c>
      <c r="R21" s="546" t="str">
        <f aca="true" t="shared" si="7" ref="R21:R40">IF(L21="F",IF(K21&lt;10,"--",IF(K21&gt;180,ROUND(G21*$J$14*3,2),G21*$J$14*ROUND(K21/60,2))),"--")</f>
        <v>--</v>
      </c>
      <c r="S21" s="547" t="str">
        <f aca="true" t="shared" si="8" ref="S21:S40">IF(AND(L21="F",K21&gt;180),G21*$J$14*0.1*(ROUND(K21/60,2)-3),"--")</f>
        <v>--</v>
      </c>
      <c r="T21" s="548" t="str">
        <f aca="true" t="shared" si="9" ref="T21:T40">IF(N21="SI","--",IF(L21="R",ROUND(G21*$J$14*M21/100,2),"--"))</f>
        <v>--</v>
      </c>
      <c r="U21" s="549" t="str">
        <f aca="true" t="shared" si="10" ref="U21:U40">IF(L21="R",IF(K21&lt;10,"--",IF(K21&gt;180,ROUND(G21*$J$14*3*M21/100,2),G21*$J$14*M21/100*ROUND(K21/60,2))),"--")</f>
        <v>--</v>
      </c>
      <c r="V21" s="550" t="str">
        <f aca="true" t="shared" si="11" ref="V21:V40">IF(AND(L21="R",K21&gt;180),G21*$J$14*M21/100*0.1*(ROUND(K21/60,2)-3),"--")</f>
        <v>--</v>
      </c>
      <c r="W21" s="551" t="str">
        <f aca="true" t="shared" si="12" ref="W21:W40">IF(L21="RF",G21*$J$14*0.1*ROUND(K21/60,2),"--")</f>
        <v>--</v>
      </c>
      <c r="X21" s="552" t="str">
        <f aca="true" t="shared" si="13" ref="X21:X40">IF(L21="RR",G21*$J$14*0.1*M21/100*ROUND(K21/60,2),"--")</f>
        <v>--</v>
      </c>
      <c r="Y21" s="553" t="str">
        <f aca="true" t="shared" si="14" ref="Y21:Y40">IF(D21="","","SI")</f>
        <v>SI</v>
      </c>
      <c r="Z21" s="554">
        <f aca="true" t="shared" si="15" ref="Z21:Z40">IF(D21="","",IF(Y21="SI",SUM(O21:X21),2*SUM(O21:X21)))</f>
        <v>17.498300095126993</v>
      </c>
      <c r="AA21" s="554">
        <v>13.660682489999997</v>
      </c>
      <c r="AB21" s="554">
        <f>+Z21-AA21</f>
        <v>3.8376176051269955</v>
      </c>
      <c r="AC21" s="187"/>
    </row>
    <row r="22" spans="2:29" ht="16.5" customHeight="1">
      <c r="B22" s="130"/>
      <c r="C22" s="154">
        <v>2</v>
      </c>
      <c r="D22" s="154" t="s">
        <v>9</v>
      </c>
      <c r="E22" s="167">
        <v>132</v>
      </c>
      <c r="F22" s="168">
        <v>25.5</v>
      </c>
      <c r="G22" s="537">
        <f aca="true" t="shared" si="16" ref="G22:G40">F22*$E$14/100*$E$15</f>
        <v>15.234615467436184</v>
      </c>
      <c r="H22" s="170">
        <v>36287.42013888889</v>
      </c>
      <c r="I22" s="170">
        <v>36287.47222222222</v>
      </c>
      <c r="J22" s="171">
        <f t="shared" si="0"/>
        <v>1.2499999998835847</v>
      </c>
      <c r="K22" s="172">
        <f t="shared" si="1"/>
        <v>75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5.712980800288569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5.712980800288569</v>
      </c>
      <c r="AA22" s="186">
        <v>4.460045625</v>
      </c>
      <c r="AB22" s="186">
        <f aca="true" t="shared" si="17" ref="AB22:AB31">+Z22-AA22</f>
        <v>1.2529351752885685</v>
      </c>
      <c r="AC22" s="187"/>
    </row>
    <row r="23" spans="2:29" ht="16.5" customHeight="1">
      <c r="B23" s="130"/>
      <c r="C23" s="154">
        <v>3</v>
      </c>
      <c r="D23" s="154" t="s">
        <v>10</v>
      </c>
      <c r="E23" s="167">
        <v>132</v>
      </c>
      <c r="F23" s="168">
        <v>44.7</v>
      </c>
      <c r="G23" s="537">
        <f t="shared" si="16"/>
        <v>26.705384760564606</v>
      </c>
      <c r="H23" s="170">
        <v>36289.33611111111</v>
      </c>
      <c r="I23" s="170">
        <v>36289.49722222222</v>
      </c>
      <c r="J23" s="171">
        <f t="shared" si="0"/>
        <v>3.8666666666977108</v>
      </c>
      <c r="K23" s="172">
        <f t="shared" si="1"/>
        <v>232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31.004951707015508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31.004951707015508</v>
      </c>
      <c r="AA23" s="186">
        <v>24.205139847</v>
      </c>
      <c r="AB23" s="186">
        <f t="shared" si="17"/>
        <v>6.799811860015506</v>
      </c>
      <c r="AC23" s="187"/>
    </row>
    <row r="24" spans="2:29" ht="16.5" customHeight="1">
      <c r="B24" s="130"/>
      <c r="C24" s="154">
        <v>4</v>
      </c>
      <c r="D24" s="154" t="s">
        <v>7</v>
      </c>
      <c r="E24" s="167">
        <v>132</v>
      </c>
      <c r="F24" s="168">
        <v>30</v>
      </c>
      <c r="G24" s="537">
        <f t="shared" si="16"/>
        <v>17.92307702051316</v>
      </c>
      <c r="H24" s="170">
        <v>36289.339583333334</v>
      </c>
      <c r="I24" s="170">
        <v>36289.56527777778</v>
      </c>
      <c r="J24" s="171">
        <f t="shared" si="0"/>
        <v>5.416666666686069</v>
      </c>
      <c r="K24" s="172">
        <f t="shared" si="1"/>
        <v>325</v>
      </c>
      <c r="L24" s="173" t="s">
        <v>121</v>
      </c>
      <c r="M24" s="173" t="str">
        <f t="shared" si="2"/>
        <v>--</v>
      </c>
      <c r="N24" s="174" t="str">
        <f t="shared" si="3"/>
        <v>--</v>
      </c>
      <c r="O24" s="175">
        <f t="shared" si="4"/>
        <v>29.14292323535439</v>
      </c>
      <c r="P24" s="176" t="str">
        <f t="shared" si="5"/>
        <v>--</v>
      </c>
      <c r="Q24" s="177" t="str">
        <f t="shared" si="6"/>
        <v>--</v>
      </c>
      <c r="R24" s="178" t="str">
        <f t="shared" si="7"/>
        <v>--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29.14292323535439</v>
      </c>
      <c r="AA24" s="186">
        <v>22.751479800000002</v>
      </c>
      <c r="AB24" s="186">
        <f t="shared" si="17"/>
        <v>6.39144343535439</v>
      </c>
      <c r="AC24" s="187"/>
    </row>
    <row r="25" spans="2:29" ht="16.5" customHeight="1">
      <c r="B25" s="130"/>
      <c r="C25" s="154">
        <v>5</v>
      </c>
      <c r="D25" s="154" t="s">
        <v>134</v>
      </c>
      <c r="E25" s="167">
        <v>132</v>
      </c>
      <c r="F25" s="168">
        <v>10.2</v>
      </c>
      <c r="G25" s="537">
        <f t="shared" si="16"/>
        <v>6.0938461869744724</v>
      </c>
      <c r="H25" s="170">
        <v>36289.34097222222</v>
      </c>
      <c r="I25" s="170">
        <v>36289.489583333336</v>
      </c>
      <c r="J25" s="171">
        <f t="shared" si="0"/>
        <v>3.56666666676756</v>
      </c>
      <c r="K25" s="172">
        <f t="shared" si="1"/>
        <v>214</v>
      </c>
      <c r="L25" s="173" t="s">
        <v>121</v>
      </c>
      <c r="M25" s="173" t="str">
        <f t="shared" si="2"/>
        <v>--</v>
      </c>
      <c r="N25" s="174" t="str">
        <f t="shared" si="3"/>
        <v>--</v>
      </c>
      <c r="O25" s="175">
        <f t="shared" si="4"/>
        <v>6.5265092662496595</v>
      </c>
      <c r="P25" s="176" t="str">
        <f t="shared" si="5"/>
        <v>--</v>
      </c>
      <c r="Q25" s="177" t="str">
        <f t="shared" si="6"/>
        <v>--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6.5265092662496595</v>
      </c>
      <c r="AA25" s="186">
        <v>5.095156121999999</v>
      </c>
      <c r="AB25" s="186">
        <f t="shared" si="17"/>
        <v>1.4313531442496608</v>
      </c>
      <c r="AC25" s="187"/>
    </row>
    <row r="26" spans="2:29" ht="16.5" customHeight="1">
      <c r="B26" s="130"/>
      <c r="C26" s="154">
        <v>6</v>
      </c>
      <c r="D26" s="154" t="s">
        <v>6</v>
      </c>
      <c r="E26" s="167">
        <v>132</v>
      </c>
      <c r="F26" s="168">
        <v>40.6</v>
      </c>
      <c r="G26" s="537">
        <f t="shared" si="16"/>
        <v>24.25589756776114</v>
      </c>
      <c r="H26" s="170">
        <v>36289.34305555555</v>
      </c>
      <c r="I26" s="170">
        <v>36289.486805555556</v>
      </c>
      <c r="J26" s="171">
        <f t="shared" si="0"/>
        <v>3.450000000069849</v>
      </c>
      <c r="K26" s="172">
        <f t="shared" si="1"/>
        <v>207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25.104853982632783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25.104853982632783</v>
      </c>
      <c r="AA26" s="186">
        <v>19.59901461</v>
      </c>
      <c r="AB26" s="186">
        <f t="shared" si="17"/>
        <v>5.5058393726327814</v>
      </c>
      <c r="AC26" s="187"/>
    </row>
    <row r="27" spans="2:29" ht="16.5" customHeight="1">
      <c r="B27" s="130"/>
      <c r="C27" s="154">
        <v>7</v>
      </c>
      <c r="D27" s="154" t="s">
        <v>7</v>
      </c>
      <c r="E27" s="167">
        <v>132</v>
      </c>
      <c r="F27" s="168">
        <v>30</v>
      </c>
      <c r="G27" s="537">
        <f t="shared" si="16"/>
        <v>17.92307702051316</v>
      </c>
      <c r="H27" s="170">
        <v>36296.375</v>
      </c>
      <c r="I27" s="170">
        <v>36296.43958333333</v>
      </c>
      <c r="J27" s="171">
        <f t="shared" si="0"/>
        <v>1.5499999999883585</v>
      </c>
      <c r="K27" s="172">
        <f t="shared" si="1"/>
        <v>93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8.33423081453862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8.33423081453862</v>
      </c>
      <c r="AA27" s="186">
        <v>6.506419500000001</v>
      </c>
      <c r="AB27" s="186">
        <f t="shared" si="17"/>
        <v>1.8278113145386188</v>
      </c>
      <c r="AC27" s="187"/>
    </row>
    <row r="28" spans="2:29" ht="16.5" customHeight="1">
      <c r="B28" s="130"/>
      <c r="C28" s="154">
        <v>8</v>
      </c>
      <c r="D28" s="154" t="s">
        <v>150</v>
      </c>
      <c r="E28" s="167">
        <v>132</v>
      </c>
      <c r="F28" s="168">
        <v>1.6</v>
      </c>
      <c r="G28" s="537">
        <f t="shared" si="16"/>
        <v>0.9558974410940351</v>
      </c>
      <c r="H28" s="170">
        <v>36302.72986111111</v>
      </c>
      <c r="I28" s="170">
        <v>36302.75069444445</v>
      </c>
      <c r="J28" s="171">
        <f t="shared" si="0"/>
        <v>0.5000000000582077</v>
      </c>
      <c r="K28" s="172">
        <f t="shared" si="1"/>
        <v>30</v>
      </c>
      <c r="L28" s="173" t="s">
        <v>121</v>
      </c>
      <c r="M28" s="173" t="str">
        <f t="shared" si="2"/>
        <v>--</v>
      </c>
      <c r="N28" s="174" t="str">
        <f t="shared" si="3"/>
        <v>--</v>
      </c>
      <c r="O28" s="175">
        <f t="shared" si="4"/>
        <v>0.14338461616410528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0.14338461616410528</v>
      </c>
      <c r="AA28" s="186">
        <v>0.1119384</v>
      </c>
      <c r="AB28" s="186">
        <f t="shared" si="17"/>
        <v>0.031446216164105284</v>
      </c>
      <c r="AC28" s="187"/>
    </row>
    <row r="29" spans="2:29" ht="16.5" customHeight="1">
      <c r="B29" s="130"/>
      <c r="C29" s="154">
        <v>9</v>
      </c>
      <c r="D29" s="154" t="s">
        <v>150</v>
      </c>
      <c r="E29" s="167">
        <v>132</v>
      </c>
      <c r="F29" s="168">
        <v>1.6</v>
      </c>
      <c r="G29" s="537">
        <f t="shared" si="16"/>
        <v>0.9558974410940351</v>
      </c>
      <c r="H29" s="170">
        <v>36302.77847222222</v>
      </c>
      <c r="I29" s="170">
        <v>36302.88125</v>
      </c>
      <c r="J29" s="171">
        <f t="shared" si="0"/>
        <v>2.4666666666744277</v>
      </c>
      <c r="K29" s="172">
        <f t="shared" si="1"/>
        <v>148</v>
      </c>
      <c r="L29" s="173" t="s">
        <v>122</v>
      </c>
      <c r="M29" s="173" t="str">
        <f t="shared" si="2"/>
        <v>--</v>
      </c>
      <c r="N29" s="174" t="s">
        <v>129</v>
      </c>
      <c r="O29" s="175" t="str">
        <f t="shared" si="4"/>
        <v>--</v>
      </c>
      <c r="P29" s="176" t="str">
        <f t="shared" si="5"/>
        <v>--</v>
      </c>
      <c r="Q29" s="177" t="str">
        <f t="shared" si="6"/>
        <v>--</v>
      </c>
      <c r="R29" s="178">
        <f t="shared" si="7"/>
        <v>70.83200038506801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70.83200038506801</v>
      </c>
      <c r="AA29" s="186">
        <v>55.2975696</v>
      </c>
      <c r="AB29" s="186">
        <f t="shared" si="17"/>
        <v>15.534430785068011</v>
      </c>
      <c r="AC29" s="187"/>
    </row>
    <row r="30" spans="2:29" ht="16.5" customHeight="1">
      <c r="B30" s="130"/>
      <c r="C30" s="154">
        <v>10</v>
      </c>
      <c r="D30" s="188" t="s">
        <v>10</v>
      </c>
      <c r="E30" s="167">
        <v>132</v>
      </c>
      <c r="F30" s="168">
        <v>44.7</v>
      </c>
      <c r="G30" s="537">
        <f t="shared" si="16"/>
        <v>26.705384760564606</v>
      </c>
      <c r="H30" s="170">
        <v>36307.415972222225</v>
      </c>
      <c r="I30" s="170">
        <v>36307.60902777778</v>
      </c>
      <c r="J30" s="171">
        <f t="shared" si="0"/>
        <v>4.633333333244082</v>
      </c>
      <c r="K30" s="172">
        <f t="shared" si="1"/>
        <v>278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37.093779432424235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37.093779432424235</v>
      </c>
      <c r="AA30" s="186">
        <v>28.958604003</v>
      </c>
      <c r="AB30" s="186">
        <f t="shared" si="17"/>
        <v>8.135175429424233</v>
      </c>
      <c r="AC30" s="187"/>
    </row>
    <row r="31" spans="2:29" ht="16.5" customHeight="1">
      <c r="B31" s="130"/>
      <c r="C31" s="154">
        <v>11</v>
      </c>
      <c r="D31" s="188" t="s">
        <v>7</v>
      </c>
      <c r="E31" s="167">
        <v>132</v>
      </c>
      <c r="F31" s="168">
        <v>30</v>
      </c>
      <c r="G31" s="537">
        <f t="shared" si="16"/>
        <v>17.92307702051316</v>
      </c>
      <c r="H31" s="170">
        <v>36309.5875</v>
      </c>
      <c r="I31" s="170">
        <v>36309.68472222222</v>
      </c>
      <c r="J31" s="171">
        <f t="shared" si="0"/>
        <v>2.333333333255723</v>
      </c>
      <c r="K31" s="172">
        <f t="shared" si="1"/>
        <v>140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12.528230837338699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12.528230837338699</v>
      </c>
      <c r="AA31" s="186">
        <v>9.780617700000002</v>
      </c>
      <c r="AB31" s="186">
        <f t="shared" si="17"/>
        <v>2.7476131373386963</v>
      </c>
      <c r="AC31" s="187"/>
    </row>
    <row r="32" spans="2:29" ht="16.5" customHeight="1">
      <c r="B32" s="130"/>
      <c r="C32" s="154"/>
      <c r="D32" s="188"/>
      <c r="E32" s="167"/>
      <c r="F32" s="168"/>
      <c r="G32" s="537">
        <f t="shared" si="16"/>
        <v>0</v>
      </c>
      <c r="H32" s="170"/>
      <c r="I32" s="170"/>
      <c r="J32" s="171">
        <f t="shared" si="0"/>
      </c>
      <c r="K32" s="172">
        <f t="shared" si="1"/>
      </c>
      <c r="L32" s="173"/>
      <c r="M32" s="173">
        <f t="shared" si="2"/>
      </c>
      <c r="N32" s="174">
        <f t="shared" si="3"/>
      </c>
      <c r="O32" s="175" t="str">
        <f t="shared" si="4"/>
        <v>--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>
        <f t="shared" si="14"/>
      </c>
      <c r="Z32" s="186">
        <f t="shared" si="15"/>
      </c>
      <c r="AA32" s="186" t="s">
        <v>126</v>
      </c>
      <c r="AB32" s="186"/>
      <c r="AC32" s="187"/>
    </row>
    <row r="33" spans="2:29" ht="16.5" customHeight="1">
      <c r="B33" s="130"/>
      <c r="C33" s="154"/>
      <c r="D33" s="188"/>
      <c r="E33" s="167"/>
      <c r="F33" s="168"/>
      <c r="G33" s="537">
        <f t="shared" si="16"/>
        <v>0</v>
      </c>
      <c r="H33" s="170"/>
      <c r="I33" s="170"/>
      <c r="J33" s="171">
        <f t="shared" si="0"/>
      </c>
      <c r="K33" s="172">
        <f t="shared" si="1"/>
      </c>
      <c r="L33" s="173"/>
      <c r="M33" s="173">
        <f t="shared" si="2"/>
      </c>
      <c r="N33" s="174">
        <f t="shared" si="3"/>
      </c>
      <c r="O33" s="175" t="str">
        <f t="shared" si="4"/>
        <v>--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>
        <f t="shared" si="14"/>
      </c>
      <c r="Z33" s="186">
        <f t="shared" si="15"/>
      </c>
      <c r="AA33" s="186" t="s">
        <v>126</v>
      </c>
      <c r="AB33" s="186"/>
      <c r="AC33" s="187"/>
    </row>
    <row r="34" spans="2:29" ht="16.5" customHeight="1">
      <c r="B34" s="130"/>
      <c r="C34" s="154"/>
      <c r="D34" s="188"/>
      <c r="E34" s="167"/>
      <c r="F34" s="168"/>
      <c r="G34" s="537">
        <f t="shared" si="16"/>
        <v>0</v>
      </c>
      <c r="H34" s="170"/>
      <c r="I34" s="170"/>
      <c r="J34" s="171">
        <f t="shared" si="0"/>
      </c>
      <c r="K34" s="172">
        <f t="shared" si="1"/>
      </c>
      <c r="L34" s="173"/>
      <c r="M34" s="173">
        <f t="shared" si="2"/>
      </c>
      <c r="N34" s="174">
        <f t="shared" si="3"/>
      </c>
      <c r="O34" s="175" t="str">
        <f t="shared" si="4"/>
        <v>--</v>
      </c>
      <c r="P34" s="176" t="str">
        <f t="shared" si="5"/>
        <v>--</v>
      </c>
      <c r="Q34" s="177" t="str">
        <f t="shared" si="6"/>
        <v>--</v>
      </c>
      <c r="R34" s="178" t="str">
        <f t="shared" si="7"/>
        <v>--</v>
      </c>
      <c r="S34" s="179" t="str">
        <f t="shared" si="8"/>
        <v>--</v>
      </c>
      <c r="T34" s="180" t="str">
        <f t="shared" si="9"/>
        <v>--</v>
      </c>
      <c r="U34" s="181" t="str">
        <f t="shared" si="10"/>
        <v>--</v>
      </c>
      <c r="V34" s="182" t="str">
        <f t="shared" si="11"/>
        <v>--</v>
      </c>
      <c r="W34" s="183" t="str">
        <f t="shared" si="12"/>
        <v>--</v>
      </c>
      <c r="X34" s="184" t="str">
        <f t="shared" si="13"/>
        <v>--</v>
      </c>
      <c r="Y34" s="185">
        <f t="shared" si="14"/>
      </c>
      <c r="Z34" s="186">
        <f t="shared" si="15"/>
      </c>
      <c r="AA34" s="186" t="s">
        <v>126</v>
      </c>
      <c r="AB34" s="186"/>
      <c r="AC34" s="187"/>
    </row>
    <row r="35" spans="2:29" ht="16.5" customHeight="1">
      <c r="B35" s="130"/>
      <c r="C35" s="154"/>
      <c r="D35" s="188"/>
      <c r="E35" s="167"/>
      <c r="F35" s="168"/>
      <c r="G35" s="537">
        <f t="shared" si="16"/>
        <v>0</v>
      </c>
      <c r="H35" s="170"/>
      <c r="I35" s="170"/>
      <c r="J35" s="171">
        <f t="shared" si="0"/>
      </c>
      <c r="K35" s="172">
        <f t="shared" si="1"/>
      </c>
      <c r="L35" s="173"/>
      <c r="M35" s="173">
        <f t="shared" si="2"/>
      </c>
      <c r="N35" s="174">
        <f t="shared" si="3"/>
      </c>
      <c r="O35" s="175" t="str">
        <f t="shared" si="4"/>
        <v>--</v>
      </c>
      <c r="P35" s="176" t="str">
        <f t="shared" si="5"/>
        <v>--</v>
      </c>
      <c r="Q35" s="177" t="str">
        <f t="shared" si="6"/>
        <v>--</v>
      </c>
      <c r="R35" s="178" t="str">
        <f t="shared" si="7"/>
        <v>--</v>
      </c>
      <c r="S35" s="179" t="str">
        <f t="shared" si="8"/>
        <v>--</v>
      </c>
      <c r="T35" s="180" t="str">
        <f t="shared" si="9"/>
        <v>--</v>
      </c>
      <c r="U35" s="181" t="str">
        <f t="shared" si="10"/>
        <v>--</v>
      </c>
      <c r="V35" s="182" t="str">
        <f t="shared" si="11"/>
        <v>--</v>
      </c>
      <c r="W35" s="183" t="str">
        <f t="shared" si="12"/>
        <v>--</v>
      </c>
      <c r="X35" s="184" t="str">
        <f t="shared" si="13"/>
        <v>--</v>
      </c>
      <c r="Y35" s="185">
        <f t="shared" si="14"/>
      </c>
      <c r="Z35" s="186">
        <f t="shared" si="15"/>
      </c>
      <c r="AA35" s="186" t="s">
        <v>126</v>
      </c>
      <c r="AB35" s="186"/>
      <c r="AC35" s="187"/>
    </row>
    <row r="36" spans="2:29" ht="16.5" customHeight="1">
      <c r="B36" s="130"/>
      <c r="C36" s="154"/>
      <c r="D36" s="188"/>
      <c r="E36" s="167"/>
      <c r="F36" s="168"/>
      <c r="G36" s="537">
        <f t="shared" si="16"/>
        <v>0</v>
      </c>
      <c r="H36" s="170"/>
      <c r="I36" s="170"/>
      <c r="J36" s="171">
        <f t="shared" si="0"/>
      </c>
      <c r="K36" s="172">
        <f t="shared" si="1"/>
      </c>
      <c r="L36" s="173"/>
      <c r="M36" s="173">
        <f t="shared" si="2"/>
      </c>
      <c r="N36" s="174">
        <f t="shared" si="3"/>
      </c>
      <c r="O36" s="175" t="str">
        <f t="shared" si="4"/>
        <v>--</v>
      </c>
      <c r="P36" s="176" t="str">
        <f t="shared" si="5"/>
        <v>--</v>
      </c>
      <c r="Q36" s="177" t="str">
        <f t="shared" si="6"/>
        <v>--</v>
      </c>
      <c r="R36" s="178" t="str">
        <f t="shared" si="7"/>
        <v>--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>
        <f t="shared" si="14"/>
      </c>
      <c r="Z36" s="186">
        <f t="shared" si="15"/>
      </c>
      <c r="AA36" s="186" t="s">
        <v>126</v>
      </c>
      <c r="AB36" s="186"/>
      <c r="AC36" s="187"/>
    </row>
    <row r="37" spans="2:29" ht="16.5" customHeight="1">
      <c r="B37" s="130"/>
      <c r="C37" s="154"/>
      <c r="D37" s="188"/>
      <c r="E37" s="167"/>
      <c r="F37" s="168"/>
      <c r="G37" s="537">
        <f t="shared" si="16"/>
        <v>0</v>
      </c>
      <c r="H37" s="170"/>
      <c r="I37" s="170"/>
      <c r="J37" s="171">
        <f t="shared" si="0"/>
      </c>
      <c r="K37" s="172">
        <f t="shared" si="1"/>
      </c>
      <c r="L37" s="173"/>
      <c r="M37" s="173">
        <f t="shared" si="2"/>
      </c>
      <c r="N37" s="174">
        <f t="shared" si="3"/>
      </c>
      <c r="O37" s="175" t="str">
        <f t="shared" si="4"/>
        <v>--</v>
      </c>
      <c r="P37" s="176" t="str">
        <f t="shared" si="5"/>
        <v>--</v>
      </c>
      <c r="Q37" s="177" t="str">
        <f t="shared" si="6"/>
        <v>--</v>
      </c>
      <c r="R37" s="178" t="str">
        <f t="shared" si="7"/>
        <v>--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>
        <f t="shared" si="14"/>
      </c>
      <c r="Z37" s="186">
        <f t="shared" si="15"/>
      </c>
      <c r="AA37" s="186" t="s">
        <v>126</v>
      </c>
      <c r="AB37" s="186"/>
      <c r="AC37" s="187"/>
    </row>
    <row r="38" spans="2:29" ht="16.5" customHeight="1">
      <c r="B38" s="130"/>
      <c r="C38" s="154"/>
      <c r="D38" s="188"/>
      <c r="E38" s="167"/>
      <c r="F38" s="168"/>
      <c r="G38" s="537">
        <f t="shared" si="16"/>
        <v>0</v>
      </c>
      <c r="H38" s="170"/>
      <c r="I38" s="170"/>
      <c r="J38" s="171">
        <f t="shared" si="0"/>
      </c>
      <c r="K38" s="172">
        <f t="shared" si="1"/>
      </c>
      <c r="L38" s="173"/>
      <c r="M38" s="173">
        <f t="shared" si="2"/>
      </c>
      <c r="N38" s="174">
        <f t="shared" si="3"/>
      </c>
      <c r="O38" s="175" t="str">
        <f t="shared" si="4"/>
        <v>--</v>
      </c>
      <c r="P38" s="176" t="str">
        <f t="shared" si="5"/>
        <v>--</v>
      </c>
      <c r="Q38" s="177" t="str">
        <f t="shared" si="6"/>
        <v>--</v>
      </c>
      <c r="R38" s="178" t="str">
        <f t="shared" si="7"/>
        <v>--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>
        <f t="shared" si="14"/>
      </c>
      <c r="Z38" s="186">
        <f t="shared" si="15"/>
      </c>
      <c r="AA38" s="186" t="s">
        <v>126</v>
      </c>
      <c r="AB38" s="186"/>
      <c r="AC38" s="187"/>
    </row>
    <row r="39" spans="2:29" ht="16.5" customHeight="1">
      <c r="B39" s="130"/>
      <c r="C39" s="154"/>
      <c r="D39" s="188"/>
      <c r="E39" s="167"/>
      <c r="F39" s="168"/>
      <c r="G39" s="537">
        <f t="shared" si="16"/>
        <v>0</v>
      </c>
      <c r="H39" s="170"/>
      <c r="I39" s="170"/>
      <c r="J39" s="171">
        <f t="shared" si="0"/>
      </c>
      <c r="K39" s="172">
        <f t="shared" si="1"/>
      </c>
      <c r="L39" s="173"/>
      <c r="M39" s="173">
        <f t="shared" si="2"/>
      </c>
      <c r="N39" s="174">
        <f t="shared" si="3"/>
      </c>
      <c r="O39" s="175" t="str">
        <f t="shared" si="4"/>
        <v>--</v>
      </c>
      <c r="P39" s="176" t="str">
        <f t="shared" si="5"/>
        <v>--</v>
      </c>
      <c r="Q39" s="177" t="str">
        <f t="shared" si="6"/>
        <v>--</v>
      </c>
      <c r="R39" s="178" t="str">
        <f t="shared" si="7"/>
        <v>--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>
        <f t="shared" si="14"/>
      </c>
      <c r="Z39" s="186">
        <f t="shared" si="15"/>
      </c>
      <c r="AA39" s="186" t="s">
        <v>126</v>
      </c>
      <c r="AB39" s="186"/>
      <c r="AC39" s="187"/>
    </row>
    <row r="40" spans="2:29" ht="16.5" customHeight="1">
      <c r="B40" s="130"/>
      <c r="C40" s="154"/>
      <c r="D40" s="188"/>
      <c r="E40" s="167"/>
      <c r="F40" s="168"/>
      <c r="G40" s="537">
        <f t="shared" si="16"/>
        <v>0</v>
      </c>
      <c r="H40" s="170"/>
      <c r="I40" s="170"/>
      <c r="J40" s="171">
        <f t="shared" si="0"/>
      </c>
      <c r="K40" s="172">
        <f t="shared" si="1"/>
      </c>
      <c r="L40" s="173"/>
      <c r="M40" s="173">
        <f t="shared" si="2"/>
      </c>
      <c r="N40" s="174">
        <f t="shared" si="3"/>
      </c>
      <c r="O40" s="175" t="str">
        <f t="shared" si="4"/>
        <v>--</v>
      </c>
      <c r="P40" s="176" t="str">
        <f t="shared" si="5"/>
        <v>--</v>
      </c>
      <c r="Q40" s="177" t="str">
        <f t="shared" si="6"/>
        <v>--</v>
      </c>
      <c r="R40" s="178" t="str">
        <f t="shared" si="7"/>
        <v>--</v>
      </c>
      <c r="S40" s="179" t="str">
        <f t="shared" si="8"/>
        <v>--</v>
      </c>
      <c r="T40" s="180" t="str">
        <f t="shared" si="9"/>
        <v>--</v>
      </c>
      <c r="U40" s="181" t="str">
        <f t="shared" si="10"/>
        <v>--</v>
      </c>
      <c r="V40" s="182" t="str">
        <f t="shared" si="11"/>
        <v>--</v>
      </c>
      <c r="W40" s="183" t="str">
        <f t="shared" si="12"/>
        <v>--</v>
      </c>
      <c r="X40" s="184" t="str">
        <f t="shared" si="13"/>
        <v>--</v>
      </c>
      <c r="Y40" s="185">
        <f t="shared" si="14"/>
      </c>
      <c r="Z40" s="186">
        <f t="shared" si="15"/>
      </c>
      <c r="AA40" s="186" t="s">
        <v>126</v>
      </c>
      <c r="AB40" s="186"/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207"/>
      <c r="AA41" s="207"/>
      <c r="AB41" s="207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33">
        <f>ROUND(SUM(Z18:Z41),2)</f>
        <v>64933.97</v>
      </c>
      <c r="AA42" s="433">
        <f>ROUND(SUM(AA18:AA41),2)</f>
        <v>50518.13</v>
      </c>
      <c r="AB42" s="433">
        <f>ROUND(SUM(AB18:AB41),2)</f>
        <v>14415.85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20:AB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3">
    <pageSetUpPr fitToPage="1"/>
  </sheetPr>
  <dimension ref="A1:AC47"/>
  <sheetViews>
    <sheetView zoomScale="75" zoomScaleNormal="75" workbookViewId="0" topLeftCell="E11">
      <selection activeCell="G16" sqref="G16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+LI!B12</f>
        <v>Desde el 01 de agosto de 1998 al 31 de octubre de 1998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470">
        <v>0.21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267" t="s">
        <v>226</v>
      </c>
      <c r="AA19" s="267" t="s">
        <v>127</v>
      </c>
      <c r="AB19" s="278"/>
    </row>
    <row r="20" spans="2:28" ht="16.5" customHeight="1" hidden="1" thickTop="1">
      <c r="B20" s="239"/>
      <c r="C20" s="279"/>
      <c r="D20" s="279"/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/>
      <c r="Z20" s="148"/>
      <c r="AA20" s="148"/>
      <c r="AB20" s="54"/>
    </row>
    <row r="21" spans="2:28" ht="16.5" customHeight="1" thickBot="1" thickTop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9" s="78" customFormat="1" ht="16.5" customHeight="1" thickBot="1" thickTop="1">
      <c r="B22" s="130"/>
      <c r="C22" s="608" t="s">
        <v>227</v>
      </c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2"/>
      <c r="AB22" s="311"/>
      <c r="AC22" s="8"/>
    </row>
    <row r="23" spans="2:28" ht="16.5" customHeight="1" thickTop="1">
      <c r="B23" s="239"/>
      <c r="C23" s="438">
        <v>30</v>
      </c>
      <c r="D23" s="490" t="s">
        <v>25</v>
      </c>
      <c r="E23" s="294" t="s">
        <v>12</v>
      </c>
      <c r="F23" s="516">
        <v>15</v>
      </c>
      <c r="G23" s="517" t="s">
        <v>26</v>
      </c>
      <c r="H23" s="492">
        <f>F23*$G$16*$M$16</f>
        <v>3.1185</v>
      </c>
      <c r="I23" s="493">
        <v>36011.72777777778</v>
      </c>
      <c r="J23" s="493">
        <v>36011.73472222222</v>
      </c>
      <c r="K23" s="400">
        <f aca="true" t="shared" si="0" ref="K23:K43">IF(I23="","",(J23-I23)*24)</f>
        <v>0.16666666668606922</v>
      </c>
      <c r="L23" s="494">
        <f aca="true" t="shared" si="1" ref="L23:L43">IF(J23="","",ROUND((J23-I23)*24*60,0))</f>
        <v>10</v>
      </c>
      <c r="M23" s="403" t="s">
        <v>122</v>
      </c>
      <c r="N23" s="495" t="str">
        <f aca="true" t="shared" si="2" ref="N23:N43">IF(D23="","","--")</f>
        <v>--</v>
      </c>
      <c r="O23" s="403" t="str">
        <f aca="true" t="shared" si="3" ref="O23:O43">IF(M23="","",IF(M23="P","--","NO"))</f>
        <v>NO</v>
      </c>
      <c r="P23" s="496" t="str">
        <f aca="true" t="shared" si="4" ref="P23:P43">IF(M23="P",H23*$G$17*0.1*ROUND(L23/60,2),"--")</f>
        <v>--</v>
      </c>
      <c r="Q23" s="497" t="str">
        <f aca="true" t="shared" si="5" ref="Q23:Q43">IF(M23="RP",H23*$G$17*0.1*N23/100*ROUND(L23/60,2),"--")</f>
        <v>--</v>
      </c>
      <c r="R23" s="498">
        <f aca="true" t="shared" si="6" ref="R23:R43">IF(AND(M23="F",O23="NO"),H23*$G$17,"--")</f>
        <v>93.555</v>
      </c>
      <c r="S23" s="499">
        <f aca="true" t="shared" si="7" ref="S23:S43">IF(M23="F",H23*$G$17*ROUND(L23/60,2),"--")</f>
        <v>15.904350000000003</v>
      </c>
      <c r="T23" s="500" t="str">
        <f aca="true" t="shared" si="8" ref="T23:T43">IF(AND(M23="R",O23="NO"),H23*$G$17*N23/100,"--")</f>
        <v>--</v>
      </c>
      <c r="U23" s="501" t="str">
        <f aca="true" t="shared" si="9" ref="U23:U43">IF(M23="R",H23*$G$17*N23/100*ROUND(L23/60,2),"--")</f>
        <v>--</v>
      </c>
      <c r="V23" s="502" t="str">
        <f aca="true" t="shared" si="10" ref="V23:V43">IF(M23="RF",H23*$G$17*ROUND(L23/60,2),"--")</f>
        <v>--</v>
      </c>
      <c r="W23" s="503" t="str">
        <f aca="true" t="shared" si="11" ref="W23:W43">IF(M23="RR",H23*$G$17*N23/100*ROUND(L23/60,2),"--")</f>
        <v>--</v>
      </c>
      <c r="X23" s="403" t="str">
        <f aca="true" t="shared" si="12" ref="X23:X43">IF(D23="","","SI")</f>
        <v>SI</v>
      </c>
      <c r="Y23" s="504">
        <f aca="true" t="shared" si="13" ref="Y23:Y43">IF(D23="","",IF(X23="SI",SUM(P23:W23),2*SUM(P23:W23)))</f>
        <v>109.45935000000001</v>
      </c>
      <c r="Z23" s="504">
        <v>84.76650000000001</v>
      </c>
      <c r="AA23" s="504">
        <f aca="true" t="shared" si="14" ref="AA23:AA41">+Y23-Z23</f>
        <v>24.692850000000007</v>
      </c>
      <c r="AB23" s="311"/>
    </row>
    <row r="24" spans="2:28" ht="16.5" customHeight="1">
      <c r="B24" s="239"/>
      <c r="C24" s="291">
        <v>31</v>
      </c>
      <c r="D24" s="293" t="s">
        <v>25</v>
      </c>
      <c r="E24" s="294" t="s">
        <v>14</v>
      </c>
      <c r="F24" s="312">
        <v>15</v>
      </c>
      <c r="G24" s="296" t="s">
        <v>26</v>
      </c>
      <c r="H24" s="492">
        <f aca="true" t="shared" si="15" ref="H24:H32">F24*$G$16*$M$16</f>
        <v>3.1185</v>
      </c>
      <c r="I24" s="297">
        <v>36027.42083333333</v>
      </c>
      <c r="J24" s="297">
        <v>36027.552083333336</v>
      </c>
      <c r="K24" s="298">
        <f t="shared" si="0"/>
        <v>3.1500000001396984</v>
      </c>
      <c r="L24" s="299">
        <f t="shared" si="1"/>
        <v>189</v>
      </c>
      <c r="M24" s="300" t="s">
        <v>121</v>
      </c>
      <c r="N24" s="301" t="str">
        <f t="shared" si="2"/>
        <v>--</v>
      </c>
      <c r="O24" s="300" t="str">
        <f t="shared" si="3"/>
        <v>--</v>
      </c>
      <c r="P24" s="302">
        <f t="shared" si="4"/>
        <v>29.469825000000004</v>
      </c>
      <c r="Q24" s="303" t="str">
        <f t="shared" si="5"/>
        <v>--</v>
      </c>
      <c r="R24" s="304" t="str">
        <f t="shared" si="6"/>
        <v>--</v>
      </c>
      <c r="S24" s="305" t="str">
        <f t="shared" si="7"/>
        <v>--</v>
      </c>
      <c r="T24" s="306" t="str">
        <f t="shared" si="8"/>
        <v>--</v>
      </c>
      <c r="U24" s="307" t="str">
        <f t="shared" si="9"/>
        <v>--</v>
      </c>
      <c r="V24" s="308" t="str">
        <f t="shared" si="10"/>
        <v>--</v>
      </c>
      <c r="W24" s="309" t="str">
        <f t="shared" si="11"/>
        <v>--</v>
      </c>
      <c r="X24" s="300" t="str">
        <f t="shared" si="12"/>
        <v>SI</v>
      </c>
      <c r="Y24" s="310">
        <f t="shared" si="13"/>
        <v>29.469825000000004</v>
      </c>
      <c r="Z24" s="310">
        <v>22.82175</v>
      </c>
      <c r="AA24" s="310">
        <f t="shared" si="14"/>
        <v>6.648075000000002</v>
      </c>
      <c r="AB24" s="311"/>
    </row>
    <row r="25" spans="2:28" ht="16.5" customHeight="1">
      <c r="B25" s="239"/>
      <c r="C25" s="291">
        <v>32</v>
      </c>
      <c r="D25" s="293" t="s">
        <v>30</v>
      </c>
      <c r="E25" s="294" t="s">
        <v>12</v>
      </c>
      <c r="F25" s="313">
        <v>30</v>
      </c>
      <c r="G25" s="296" t="s">
        <v>18</v>
      </c>
      <c r="H25" s="492">
        <f t="shared" si="15"/>
        <v>6.237</v>
      </c>
      <c r="I25" s="297">
        <v>36032.42986111111</v>
      </c>
      <c r="J25" s="297">
        <v>36032.60277777778</v>
      </c>
      <c r="K25" s="298">
        <f t="shared" si="0"/>
        <v>4.150000000081491</v>
      </c>
      <c r="L25" s="299">
        <f t="shared" si="1"/>
        <v>249</v>
      </c>
      <c r="M25" s="300" t="s">
        <v>121</v>
      </c>
      <c r="N25" s="301" t="str">
        <f t="shared" si="2"/>
        <v>--</v>
      </c>
      <c r="O25" s="300" t="str">
        <f t="shared" si="3"/>
        <v>--</v>
      </c>
      <c r="P25" s="302">
        <f t="shared" si="4"/>
        <v>77.65065000000001</v>
      </c>
      <c r="Q25" s="303" t="str">
        <f t="shared" si="5"/>
        <v>--</v>
      </c>
      <c r="R25" s="304" t="str">
        <f t="shared" si="6"/>
        <v>--</v>
      </c>
      <c r="S25" s="305" t="str">
        <f t="shared" si="7"/>
        <v>--</v>
      </c>
      <c r="T25" s="306" t="str">
        <f t="shared" si="8"/>
        <v>--</v>
      </c>
      <c r="U25" s="307" t="str">
        <f t="shared" si="9"/>
        <v>--</v>
      </c>
      <c r="V25" s="308" t="str">
        <f t="shared" si="10"/>
        <v>--</v>
      </c>
      <c r="W25" s="309" t="str">
        <f t="shared" si="11"/>
        <v>--</v>
      </c>
      <c r="X25" s="300" t="str">
        <f t="shared" si="12"/>
        <v>SI</v>
      </c>
      <c r="Y25" s="310">
        <f t="shared" si="13"/>
        <v>77.65065000000001</v>
      </c>
      <c r="Z25" s="310">
        <v>60.13350000000001</v>
      </c>
      <c r="AA25" s="310">
        <f t="shared" si="14"/>
        <v>17.51715</v>
      </c>
      <c r="AB25" s="311"/>
    </row>
    <row r="26" spans="2:28" ht="16.5" customHeight="1">
      <c r="B26" s="239"/>
      <c r="C26" s="291">
        <v>33</v>
      </c>
      <c r="D26" s="293" t="s">
        <v>27</v>
      </c>
      <c r="E26" s="294" t="s">
        <v>12</v>
      </c>
      <c r="F26" s="294">
        <v>15</v>
      </c>
      <c r="G26" s="296" t="s">
        <v>13</v>
      </c>
      <c r="H26" s="492">
        <f t="shared" si="15"/>
        <v>3.1185</v>
      </c>
      <c r="I26" s="297">
        <v>36033.336805555555</v>
      </c>
      <c r="J26" s="297">
        <v>36033.42847222222</v>
      </c>
      <c r="K26" s="298">
        <f t="shared" si="0"/>
        <v>2.2000000000116415</v>
      </c>
      <c r="L26" s="299">
        <f t="shared" si="1"/>
        <v>132</v>
      </c>
      <c r="M26" s="300" t="s">
        <v>121</v>
      </c>
      <c r="N26" s="301" t="str">
        <f t="shared" si="2"/>
        <v>--</v>
      </c>
      <c r="O26" s="300" t="str">
        <f t="shared" si="3"/>
        <v>--</v>
      </c>
      <c r="P26" s="302">
        <f t="shared" si="4"/>
        <v>20.582100000000004</v>
      </c>
      <c r="Q26" s="303" t="str">
        <f t="shared" si="5"/>
        <v>--</v>
      </c>
      <c r="R26" s="304" t="str">
        <f t="shared" si="6"/>
        <v>--</v>
      </c>
      <c r="S26" s="305" t="str">
        <f t="shared" si="7"/>
        <v>--</v>
      </c>
      <c r="T26" s="306" t="str">
        <f t="shared" si="8"/>
        <v>--</v>
      </c>
      <c r="U26" s="307" t="str">
        <f t="shared" si="9"/>
        <v>--</v>
      </c>
      <c r="V26" s="308" t="str">
        <f t="shared" si="10"/>
        <v>--</v>
      </c>
      <c r="W26" s="309" t="str">
        <f t="shared" si="11"/>
        <v>--</v>
      </c>
      <c r="X26" s="300" t="str">
        <f t="shared" si="12"/>
        <v>SI</v>
      </c>
      <c r="Y26" s="310">
        <f t="shared" si="13"/>
        <v>20.582100000000004</v>
      </c>
      <c r="Z26" s="310">
        <v>15.939000000000004</v>
      </c>
      <c r="AA26" s="310">
        <f t="shared" si="14"/>
        <v>4.6431000000000004</v>
      </c>
      <c r="AB26" s="311"/>
    </row>
    <row r="27" spans="2:28" ht="16.5" customHeight="1">
      <c r="B27" s="239"/>
      <c r="C27" s="291">
        <v>34</v>
      </c>
      <c r="D27" s="293" t="s">
        <v>27</v>
      </c>
      <c r="E27" s="294" t="s">
        <v>14</v>
      </c>
      <c r="F27" s="294">
        <v>15</v>
      </c>
      <c r="G27" s="296" t="s">
        <v>13</v>
      </c>
      <c r="H27" s="492">
        <f t="shared" si="15"/>
        <v>3.1185</v>
      </c>
      <c r="I27" s="297">
        <v>36033.45277777778</v>
      </c>
      <c r="J27" s="297">
        <v>36033.680555555555</v>
      </c>
      <c r="K27" s="298">
        <f t="shared" si="0"/>
        <v>5.466666666674428</v>
      </c>
      <c r="L27" s="299">
        <f t="shared" si="1"/>
        <v>328</v>
      </c>
      <c r="M27" s="300" t="s">
        <v>121</v>
      </c>
      <c r="N27" s="301" t="str">
        <f t="shared" si="2"/>
        <v>--</v>
      </c>
      <c r="O27" s="300" t="str">
        <f t="shared" si="3"/>
        <v>--</v>
      </c>
      <c r="P27" s="302">
        <f t="shared" si="4"/>
        <v>51.174585</v>
      </c>
      <c r="Q27" s="303" t="str">
        <f t="shared" si="5"/>
        <v>--</v>
      </c>
      <c r="R27" s="304" t="str">
        <f t="shared" si="6"/>
        <v>--</v>
      </c>
      <c r="S27" s="305" t="str">
        <f t="shared" si="7"/>
        <v>--</v>
      </c>
      <c r="T27" s="306" t="str">
        <f t="shared" si="8"/>
        <v>--</v>
      </c>
      <c r="U27" s="307" t="str">
        <f t="shared" si="9"/>
        <v>--</v>
      </c>
      <c r="V27" s="308" t="str">
        <f t="shared" si="10"/>
        <v>--</v>
      </c>
      <c r="W27" s="309" t="str">
        <f t="shared" si="11"/>
        <v>--</v>
      </c>
      <c r="X27" s="300" t="str">
        <f t="shared" si="12"/>
        <v>SI</v>
      </c>
      <c r="Y27" s="310">
        <f t="shared" si="13"/>
        <v>51.174585</v>
      </c>
      <c r="Z27" s="310">
        <v>39.63015</v>
      </c>
      <c r="AA27" s="310">
        <f t="shared" si="14"/>
        <v>11.544435</v>
      </c>
      <c r="AB27" s="311"/>
    </row>
    <row r="28" spans="2:28" ht="16.5" customHeight="1">
      <c r="B28" s="239"/>
      <c r="C28" s="291">
        <v>35</v>
      </c>
      <c r="D28" s="293" t="s">
        <v>17</v>
      </c>
      <c r="E28" s="294" t="s">
        <v>12</v>
      </c>
      <c r="F28" s="294">
        <v>20</v>
      </c>
      <c r="G28" s="296" t="s">
        <v>18</v>
      </c>
      <c r="H28" s="492">
        <f t="shared" si="15"/>
        <v>4.158</v>
      </c>
      <c r="I28" s="297">
        <v>36008</v>
      </c>
      <c r="J28" s="297">
        <v>36038.99998842592</v>
      </c>
      <c r="K28" s="298">
        <f t="shared" si="0"/>
        <v>743.9997222221573</v>
      </c>
      <c r="L28" s="299">
        <f t="shared" si="1"/>
        <v>44640</v>
      </c>
      <c r="M28" s="300" t="s">
        <v>187</v>
      </c>
      <c r="N28" s="301">
        <v>25</v>
      </c>
      <c r="O28" s="300" t="str">
        <f t="shared" si="3"/>
        <v>NO</v>
      </c>
      <c r="P28" s="302" t="str">
        <f t="shared" si="4"/>
        <v>--</v>
      </c>
      <c r="Q28" s="303" t="str">
        <f t="shared" si="5"/>
        <v>--</v>
      </c>
      <c r="R28" s="304" t="str">
        <f t="shared" si="6"/>
        <v>--</v>
      </c>
      <c r="S28" s="305" t="str">
        <f t="shared" si="7"/>
        <v>--</v>
      </c>
      <c r="T28" s="306" t="str">
        <f t="shared" si="8"/>
        <v>--</v>
      </c>
      <c r="U28" s="307" t="str">
        <f t="shared" si="9"/>
        <v>--</v>
      </c>
      <c r="V28" s="308" t="str">
        <f t="shared" si="10"/>
        <v>--</v>
      </c>
      <c r="W28" s="309">
        <f t="shared" si="11"/>
        <v>23201.64</v>
      </c>
      <c r="X28" s="300" t="str">
        <f t="shared" si="12"/>
        <v>SI</v>
      </c>
      <c r="Y28" s="310">
        <f t="shared" si="13"/>
        <v>23201.64</v>
      </c>
      <c r="Z28" s="310">
        <v>17967.6</v>
      </c>
      <c r="AA28" s="310">
        <f t="shared" si="14"/>
        <v>5234.040000000001</v>
      </c>
      <c r="AB28" s="311"/>
    </row>
    <row r="29" spans="2:28" ht="16.5" customHeight="1">
      <c r="B29" s="239"/>
      <c r="C29" s="291">
        <v>36</v>
      </c>
      <c r="D29" s="314" t="s">
        <v>27</v>
      </c>
      <c r="E29" s="294" t="s">
        <v>22</v>
      </c>
      <c r="F29" s="313">
        <v>30</v>
      </c>
      <c r="G29" s="296" t="s">
        <v>13</v>
      </c>
      <c r="H29" s="492">
        <f t="shared" si="15"/>
        <v>6.237</v>
      </c>
      <c r="I29" s="297">
        <v>36033.68541666667</v>
      </c>
      <c r="J29" s="297">
        <v>36033.7875</v>
      </c>
      <c r="K29" s="298">
        <f t="shared" si="0"/>
        <v>2.449999999953434</v>
      </c>
      <c r="L29" s="299">
        <f t="shared" si="1"/>
        <v>147</v>
      </c>
      <c r="M29" s="300" t="s">
        <v>121</v>
      </c>
      <c r="N29" s="301" t="str">
        <f t="shared" si="2"/>
        <v>--</v>
      </c>
      <c r="O29" s="300" t="str">
        <f t="shared" si="3"/>
        <v>--</v>
      </c>
      <c r="P29" s="302">
        <f t="shared" si="4"/>
        <v>45.84195000000001</v>
      </c>
      <c r="Q29" s="303" t="str">
        <f t="shared" si="5"/>
        <v>--</v>
      </c>
      <c r="R29" s="304" t="str">
        <f t="shared" si="6"/>
        <v>--</v>
      </c>
      <c r="S29" s="305" t="str">
        <f t="shared" si="7"/>
        <v>--</v>
      </c>
      <c r="T29" s="306" t="str">
        <f t="shared" si="8"/>
        <v>--</v>
      </c>
      <c r="U29" s="307" t="str">
        <f t="shared" si="9"/>
        <v>--</v>
      </c>
      <c r="V29" s="308" t="str">
        <f t="shared" si="10"/>
        <v>--</v>
      </c>
      <c r="W29" s="309" t="str">
        <f t="shared" si="11"/>
        <v>--</v>
      </c>
      <c r="X29" s="300" t="str">
        <f t="shared" si="12"/>
        <v>SI</v>
      </c>
      <c r="Y29" s="310">
        <f t="shared" si="13"/>
        <v>45.84195000000001</v>
      </c>
      <c r="Z29" s="310">
        <v>35.50050000000001</v>
      </c>
      <c r="AA29" s="310">
        <f t="shared" si="14"/>
        <v>10.341450000000002</v>
      </c>
      <c r="AB29" s="311"/>
    </row>
    <row r="30" spans="2:28" ht="16.5" customHeight="1">
      <c r="B30" s="239"/>
      <c r="C30" s="291">
        <v>37</v>
      </c>
      <c r="D30" s="293" t="s">
        <v>27</v>
      </c>
      <c r="E30" s="294" t="s">
        <v>28</v>
      </c>
      <c r="F30" s="315">
        <v>30</v>
      </c>
      <c r="G30" s="316" t="s">
        <v>13</v>
      </c>
      <c r="H30" s="492">
        <f t="shared" si="15"/>
        <v>6.237</v>
      </c>
      <c r="I30" s="297">
        <v>36034.40902777778</v>
      </c>
      <c r="J30" s="297">
        <v>36034.58472222222</v>
      </c>
      <c r="K30" s="298">
        <f t="shared" si="0"/>
        <v>4.21666666661622</v>
      </c>
      <c r="L30" s="299">
        <f t="shared" si="1"/>
        <v>253</v>
      </c>
      <c r="M30" s="300" t="s">
        <v>121</v>
      </c>
      <c r="N30" s="301" t="str">
        <f t="shared" si="2"/>
        <v>--</v>
      </c>
      <c r="O30" s="300" t="str">
        <f t="shared" si="3"/>
        <v>--</v>
      </c>
      <c r="P30" s="302">
        <f t="shared" si="4"/>
        <v>78.96042</v>
      </c>
      <c r="Q30" s="303" t="str">
        <f t="shared" si="5"/>
        <v>--</v>
      </c>
      <c r="R30" s="304" t="str">
        <f t="shared" si="6"/>
        <v>--</v>
      </c>
      <c r="S30" s="305" t="str">
        <f t="shared" si="7"/>
        <v>--</v>
      </c>
      <c r="T30" s="306" t="str">
        <f t="shared" si="8"/>
        <v>--</v>
      </c>
      <c r="U30" s="307" t="str">
        <f t="shared" si="9"/>
        <v>--</v>
      </c>
      <c r="V30" s="308" t="str">
        <f t="shared" si="10"/>
        <v>--</v>
      </c>
      <c r="W30" s="309" t="str">
        <f t="shared" si="11"/>
        <v>--</v>
      </c>
      <c r="X30" s="300" t="str">
        <f t="shared" si="12"/>
        <v>SI</v>
      </c>
      <c r="Y30" s="310">
        <f t="shared" si="13"/>
        <v>78.96042</v>
      </c>
      <c r="Z30" s="310">
        <v>61.147800000000004</v>
      </c>
      <c r="AA30" s="310">
        <f t="shared" si="14"/>
        <v>17.812619999999995</v>
      </c>
      <c r="AB30" s="311"/>
    </row>
    <row r="31" spans="2:28" ht="16.5" customHeight="1">
      <c r="B31" s="239"/>
      <c r="C31" s="291">
        <v>38</v>
      </c>
      <c r="D31" s="293" t="s">
        <v>188</v>
      </c>
      <c r="E31" s="294" t="s">
        <v>14</v>
      </c>
      <c r="F31" s="315">
        <v>15</v>
      </c>
      <c r="G31" s="316" t="s">
        <v>13</v>
      </c>
      <c r="H31" s="492">
        <f t="shared" si="15"/>
        <v>3.1185</v>
      </c>
      <c r="I31" s="297">
        <v>36036.38125</v>
      </c>
      <c r="J31" s="297">
        <v>36036.532638888886</v>
      </c>
      <c r="K31" s="298">
        <f t="shared" si="0"/>
        <v>3.6333333333022892</v>
      </c>
      <c r="L31" s="299">
        <f t="shared" si="1"/>
        <v>218</v>
      </c>
      <c r="M31" s="300" t="s">
        <v>121</v>
      </c>
      <c r="N31" s="301" t="str">
        <f t="shared" si="2"/>
        <v>--</v>
      </c>
      <c r="O31" s="300" t="str">
        <f t="shared" si="3"/>
        <v>--</v>
      </c>
      <c r="P31" s="302">
        <f t="shared" si="4"/>
        <v>33.960465</v>
      </c>
      <c r="Q31" s="303" t="str">
        <f t="shared" si="5"/>
        <v>--</v>
      </c>
      <c r="R31" s="304" t="str">
        <f t="shared" si="6"/>
        <v>--</v>
      </c>
      <c r="S31" s="305" t="str">
        <f t="shared" si="7"/>
        <v>--</v>
      </c>
      <c r="T31" s="306" t="str">
        <f t="shared" si="8"/>
        <v>--</v>
      </c>
      <c r="U31" s="307" t="str">
        <f t="shared" si="9"/>
        <v>--</v>
      </c>
      <c r="V31" s="308" t="str">
        <f t="shared" si="10"/>
        <v>--</v>
      </c>
      <c r="W31" s="309" t="str">
        <f t="shared" si="11"/>
        <v>--</v>
      </c>
      <c r="X31" s="300" t="str">
        <f t="shared" si="12"/>
        <v>SI</v>
      </c>
      <c r="Y31" s="310">
        <f t="shared" si="13"/>
        <v>33.960465</v>
      </c>
      <c r="Z31" s="310">
        <v>26.299350000000004</v>
      </c>
      <c r="AA31" s="310">
        <f t="shared" si="14"/>
        <v>7.661114999999995</v>
      </c>
      <c r="AB31" s="311"/>
    </row>
    <row r="32" spans="2:28" ht="16.5" customHeight="1" thickBot="1">
      <c r="B32" s="239"/>
      <c r="C32" s="473"/>
      <c r="D32" s="293"/>
      <c r="E32" s="475"/>
      <c r="F32" s="315"/>
      <c r="G32" s="296"/>
      <c r="H32" s="492">
        <f t="shared" si="15"/>
        <v>0</v>
      </c>
      <c r="I32" s="476"/>
      <c r="J32" s="476"/>
      <c r="K32" s="477">
        <f t="shared" si="0"/>
      </c>
      <c r="L32" s="478">
        <f t="shared" si="1"/>
      </c>
      <c r="M32" s="479"/>
      <c r="N32" s="480">
        <f t="shared" si="2"/>
      </c>
      <c r="O32" s="479">
        <f t="shared" si="3"/>
      </c>
      <c r="P32" s="481" t="str">
        <f t="shared" si="4"/>
        <v>--</v>
      </c>
      <c r="Q32" s="482" t="str">
        <f t="shared" si="5"/>
        <v>--</v>
      </c>
      <c r="R32" s="483" t="str">
        <f t="shared" si="6"/>
        <v>--</v>
      </c>
      <c r="S32" s="484" t="str">
        <f t="shared" si="7"/>
        <v>--</v>
      </c>
      <c r="T32" s="485" t="str">
        <f t="shared" si="8"/>
        <v>--</v>
      </c>
      <c r="U32" s="486" t="str">
        <f t="shared" si="9"/>
        <v>--</v>
      </c>
      <c r="V32" s="487" t="str">
        <f t="shared" si="10"/>
        <v>--</v>
      </c>
      <c r="W32" s="488" t="str">
        <f t="shared" si="11"/>
        <v>--</v>
      </c>
      <c r="X32" s="479">
        <f t="shared" si="12"/>
      </c>
      <c r="Y32" s="489">
        <f t="shared" si="13"/>
      </c>
      <c r="Z32" s="489" t="s">
        <v>126</v>
      </c>
      <c r="AA32" s="489"/>
      <c r="AB32" s="311"/>
    </row>
    <row r="33" spans="2:29" s="78" customFormat="1" ht="16.5" customHeight="1" thickBot="1" thickTop="1">
      <c r="B33" s="130"/>
      <c r="C33" s="608" t="s">
        <v>222</v>
      </c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10"/>
      <c r="AB33" s="311"/>
      <c r="AC33" s="8"/>
    </row>
    <row r="34" spans="2:28" ht="16.5" customHeight="1" thickTop="1">
      <c r="B34" s="239"/>
      <c r="C34" s="438">
        <v>21</v>
      </c>
      <c r="D34" s="490" t="s">
        <v>17</v>
      </c>
      <c r="E34" s="294" t="s">
        <v>12</v>
      </c>
      <c r="F34" s="475">
        <v>20</v>
      </c>
      <c r="G34" s="491" t="s">
        <v>18</v>
      </c>
      <c r="H34" s="492">
        <f aca="true" t="shared" si="16" ref="H34:H43">F34*$G$16*$M$16</f>
        <v>4.158</v>
      </c>
      <c r="I34" s="493">
        <v>36039</v>
      </c>
      <c r="J34" s="493">
        <v>36068.99998842592</v>
      </c>
      <c r="K34" s="400">
        <f t="shared" si="0"/>
        <v>719.9997222221573</v>
      </c>
      <c r="L34" s="494">
        <f t="shared" si="1"/>
        <v>43200</v>
      </c>
      <c r="M34" s="403" t="s">
        <v>187</v>
      </c>
      <c r="N34" s="495">
        <v>25</v>
      </c>
      <c r="O34" s="403" t="str">
        <f t="shared" si="3"/>
        <v>NO</v>
      </c>
      <c r="P34" s="496" t="str">
        <f t="shared" si="4"/>
        <v>--</v>
      </c>
      <c r="Q34" s="497" t="str">
        <f t="shared" si="5"/>
        <v>--</v>
      </c>
      <c r="R34" s="498" t="str">
        <f t="shared" si="6"/>
        <v>--</v>
      </c>
      <c r="S34" s="499" t="str">
        <f t="shared" si="7"/>
        <v>--</v>
      </c>
      <c r="T34" s="500" t="str">
        <f t="shared" si="8"/>
        <v>--</v>
      </c>
      <c r="U34" s="501" t="str">
        <f t="shared" si="9"/>
        <v>--</v>
      </c>
      <c r="V34" s="502" t="str">
        <f t="shared" si="10"/>
        <v>--</v>
      </c>
      <c r="W34" s="503">
        <f t="shared" si="11"/>
        <v>22453.2</v>
      </c>
      <c r="X34" s="403" t="str">
        <f t="shared" si="12"/>
        <v>SI</v>
      </c>
      <c r="Y34" s="504">
        <f t="shared" si="13"/>
        <v>22453.2</v>
      </c>
      <c r="Z34" s="504">
        <v>17388</v>
      </c>
      <c r="AA34" s="504">
        <f t="shared" si="14"/>
        <v>5065.200000000001</v>
      </c>
      <c r="AB34" s="311"/>
    </row>
    <row r="35" spans="2:28" ht="16.5" customHeight="1">
      <c r="B35" s="239"/>
      <c r="C35" s="291">
        <v>22</v>
      </c>
      <c r="D35" s="293" t="s">
        <v>31</v>
      </c>
      <c r="E35" s="294" t="s">
        <v>20</v>
      </c>
      <c r="F35" s="315">
        <v>15</v>
      </c>
      <c r="G35" s="316" t="s">
        <v>23</v>
      </c>
      <c r="H35" s="492">
        <f t="shared" si="16"/>
        <v>3.1185</v>
      </c>
      <c r="I35" s="297">
        <v>36041.42569444444</v>
      </c>
      <c r="J35" s="297">
        <v>36041.513194444444</v>
      </c>
      <c r="K35" s="298">
        <f t="shared" si="0"/>
        <v>2.1000000000349246</v>
      </c>
      <c r="L35" s="299">
        <f t="shared" si="1"/>
        <v>126</v>
      </c>
      <c r="M35" s="300" t="s">
        <v>121</v>
      </c>
      <c r="N35" s="301" t="str">
        <f t="shared" si="2"/>
        <v>--</v>
      </c>
      <c r="O35" s="300" t="str">
        <f t="shared" si="3"/>
        <v>--</v>
      </c>
      <c r="P35" s="302">
        <f t="shared" si="4"/>
        <v>19.64655</v>
      </c>
      <c r="Q35" s="303" t="str">
        <f t="shared" si="5"/>
        <v>--</v>
      </c>
      <c r="R35" s="304" t="str">
        <f t="shared" si="6"/>
        <v>--</v>
      </c>
      <c r="S35" s="305" t="str">
        <f t="shared" si="7"/>
        <v>--</v>
      </c>
      <c r="T35" s="306" t="str">
        <f t="shared" si="8"/>
        <v>--</v>
      </c>
      <c r="U35" s="307" t="str">
        <f t="shared" si="9"/>
        <v>--</v>
      </c>
      <c r="V35" s="308" t="str">
        <f t="shared" si="10"/>
        <v>--</v>
      </c>
      <c r="W35" s="309" t="str">
        <f t="shared" si="11"/>
        <v>--</v>
      </c>
      <c r="X35" s="300" t="str">
        <f t="shared" si="12"/>
        <v>SI</v>
      </c>
      <c r="Y35" s="310">
        <f t="shared" si="13"/>
        <v>19.64655</v>
      </c>
      <c r="Z35" s="310">
        <v>15.214500000000003</v>
      </c>
      <c r="AA35" s="310">
        <f t="shared" si="14"/>
        <v>4.4320499999999985</v>
      </c>
      <c r="AB35" s="311"/>
    </row>
    <row r="36" spans="2:28" ht="16.5" customHeight="1">
      <c r="B36" s="239"/>
      <c r="C36" s="291">
        <v>23</v>
      </c>
      <c r="D36" s="293" t="s">
        <v>24</v>
      </c>
      <c r="E36" s="294" t="s">
        <v>12</v>
      </c>
      <c r="F36" s="315">
        <v>20</v>
      </c>
      <c r="G36" s="316" t="s">
        <v>23</v>
      </c>
      <c r="H36" s="492">
        <f t="shared" si="16"/>
        <v>4.158</v>
      </c>
      <c r="I36" s="297">
        <v>36042.43541666667</v>
      </c>
      <c r="J36" s="297">
        <v>36042.55902777778</v>
      </c>
      <c r="K36" s="298">
        <f t="shared" si="0"/>
        <v>2.9666666667326353</v>
      </c>
      <c r="L36" s="299">
        <f t="shared" si="1"/>
        <v>178</v>
      </c>
      <c r="M36" s="300" t="s">
        <v>121</v>
      </c>
      <c r="N36" s="301" t="str">
        <f t="shared" si="2"/>
        <v>--</v>
      </c>
      <c r="O36" s="300" t="str">
        <f t="shared" si="3"/>
        <v>--</v>
      </c>
      <c r="P36" s="302">
        <f t="shared" si="4"/>
        <v>37.04778000000001</v>
      </c>
      <c r="Q36" s="303" t="str">
        <f t="shared" si="5"/>
        <v>--</v>
      </c>
      <c r="R36" s="304" t="str">
        <f t="shared" si="6"/>
        <v>--</v>
      </c>
      <c r="S36" s="305" t="str">
        <f t="shared" si="7"/>
        <v>--</v>
      </c>
      <c r="T36" s="306" t="str">
        <f t="shared" si="8"/>
        <v>--</v>
      </c>
      <c r="U36" s="307" t="str">
        <f t="shared" si="9"/>
        <v>--</v>
      </c>
      <c r="V36" s="308" t="str">
        <f t="shared" si="10"/>
        <v>--</v>
      </c>
      <c r="W36" s="309" t="str">
        <f t="shared" si="11"/>
        <v>--</v>
      </c>
      <c r="X36" s="300" t="str">
        <f t="shared" si="12"/>
        <v>SI</v>
      </c>
      <c r="Y36" s="310">
        <f t="shared" si="13"/>
        <v>37.04778000000001</v>
      </c>
      <c r="Z36" s="310">
        <v>28.690200000000008</v>
      </c>
      <c r="AA36" s="310">
        <f t="shared" si="14"/>
        <v>8.357580000000002</v>
      </c>
      <c r="AB36" s="311"/>
    </row>
    <row r="37" spans="2:28" ht="16.5" customHeight="1">
      <c r="B37" s="239"/>
      <c r="C37" s="291">
        <v>24</v>
      </c>
      <c r="D37" s="293" t="s">
        <v>29</v>
      </c>
      <c r="E37" s="294" t="s">
        <v>14</v>
      </c>
      <c r="F37" s="315">
        <v>15</v>
      </c>
      <c r="G37" s="316" t="s">
        <v>26</v>
      </c>
      <c r="H37" s="492">
        <f t="shared" si="16"/>
        <v>3.1185</v>
      </c>
      <c r="I37" s="297">
        <v>36049.78125</v>
      </c>
      <c r="J37" s="297">
        <v>36049.83263888889</v>
      </c>
      <c r="K37" s="298">
        <f t="shared" si="0"/>
        <v>1.2333333333372138</v>
      </c>
      <c r="L37" s="299">
        <f t="shared" si="1"/>
        <v>74</v>
      </c>
      <c r="M37" s="300" t="s">
        <v>122</v>
      </c>
      <c r="N37" s="301" t="str">
        <f t="shared" si="2"/>
        <v>--</v>
      </c>
      <c r="O37" s="300" t="s">
        <v>129</v>
      </c>
      <c r="P37" s="302" t="str">
        <f t="shared" si="4"/>
        <v>--</v>
      </c>
      <c r="Q37" s="303" t="str">
        <f t="shared" si="5"/>
        <v>--</v>
      </c>
      <c r="R37" s="304" t="str">
        <f t="shared" si="6"/>
        <v>--</v>
      </c>
      <c r="S37" s="305">
        <f t="shared" si="7"/>
        <v>115.07265000000001</v>
      </c>
      <c r="T37" s="306" t="str">
        <f t="shared" si="8"/>
        <v>--</v>
      </c>
      <c r="U37" s="307" t="str">
        <f t="shared" si="9"/>
        <v>--</v>
      </c>
      <c r="V37" s="308" t="str">
        <f t="shared" si="10"/>
        <v>--</v>
      </c>
      <c r="W37" s="309" t="str">
        <f t="shared" si="11"/>
        <v>--</v>
      </c>
      <c r="X37" s="300" t="str">
        <f t="shared" si="12"/>
        <v>SI</v>
      </c>
      <c r="Y37" s="310">
        <f t="shared" si="13"/>
        <v>115.07265000000001</v>
      </c>
      <c r="Z37" s="310">
        <v>89.1135</v>
      </c>
      <c r="AA37" s="310">
        <f t="shared" si="14"/>
        <v>25.959150000000008</v>
      </c>
      <c r="AB37" s="311"/>
    </row>
    <row r="38" spans="2:28" ht="16.5" customHeight="1">
      <c r="B38" s="239"/>
      <c r="C38" s="291">
        <v>25</v>
      </c>
      <c r="D38" s="293" t="s">
        <v>21</v>
      </c>
      <c r="E38" s="294" t="s">
        <v>14</v>
      </c>
      <c r="F38" s="315">
        <v>30</v>
      </c>
      <c r="G38" s="316" t="s">
        <v>13</v>
      </c>
      <c r="H38" s="492">
        <f t="shared" si="16"/>
        <v>6.237</v>
      </c>
      <c r="I38" s="297">
        <v>36056.42222222222</v>
      </c>
      <c r="J38" s="297">
        <v>36056.59861111111</v>
      </c>
      <c r="K38" s="298">
        <f t="shared" si="0"/>
        <v>4.233333333337214</v>
      </c>
      <c r="L38" s="299">
        <f t="shared" si="1"/>
        <v>254</v>
      </c>
      <c r="M38" s="300" t="s">
        <v>121</v>
      </c>
      <c r="N38" s="301" t="str">
        <f t="shared" si="2"/>
        <v>--</v>
      </c>
      <c r="O38" s="300" t="str">
        <f t="shared" si="3"/>
        <v>--</v>
      </c>
      <c r="P38" s="302">
        <f t="shared" si="4"/>
        <v>79.14753000000002</v>
      </c>
      <c r="Q38" s="303" t="str">
        <f t="shared" si="5"/>
        <v>--</v>
      </c>
      <c r="R38" s="304" t="str">
        <f t="shared" si="6"/>
        <v>--</v>
      </c>
      <c r="S38" s="305" t="str">
        <f t="shared" si="7"/>
        <v>--</v>
      </c>
      <c r="T38" s="306" t="str">
        <f t="shared" si="8"/>
        <v>--</v>
      </c>
      <c r="U38" s="307" t="str">
        <f t="shared" si="9"/>
        <v>--</v>
      </c>
      <c r="V38" s="308" t="str">
        <f t="shared" si="10"/>
        <v>--</v>
      </c>
      <c r="W38" s="309" t="str">
        <f t="shared" si="11"/>
        <v>--</v>
      </c>
      <c r="X38" s="300" t="str">
        <f t="shared" si="12"/>
        <v>SI</v>
      </c>
      <c r="Y38" s="310">
        <f t="shared" si="13"/>
        <v>79.14753000000002</v>
      </c>
      <c r="Z38" s="310">
        <v>61.29270000000002</v>
      </c>
      <c r="AA38" s="310">
        <f t="shared" si="14"/>
        <v>17.85483</v>
      </c>
      <c r="AB38" s="311"/>
    </row>
    <row r="39" spans="2:28" ht="16.5" customHeight="1">
      <c r="B39" s="239"/>
      <c r="C39" s="291">
        <v>26</v>
      </c>
      <c r="D39" s="293" t="s">
        <v>27</v>
      </c>
      <c r="E39" s="294" t="s">
        <v>28</v>
      </c>
      <c r="F39" s="315">
        <v>30</v>
      </c>
      <c r="G39" s="316" t="s">
        <v>26</v>
      </c>
      <c r="H39" s="492">
        <f t="shared" si="16"/>
        <v>6.237</v>
      </c>
      <c r="I39" s="297">
        <v>36063.847916666666</v>
      </c>
      <c r="J39" s="297">
        <v>36063.854166666664</v>
      </c>
      <c r="K39" s="298">
        <f t="shared" si="0"/>
        <v>0.1499999999650754</v>
      </c>
      <c r="L39" s="299">
        <f t="shared" si="1"/>
        <v>9</v>
      </c>
      <c r="M39" s="300" t="s">
        <v>122</v>
      </c>
      <c r="N39" s="301" t="str">
        <f t="shared" si="2"/>
        <v>--</v>
      </c>
      <c r="O39" s="300" t="str">
        <f t="shared" si="3"/>
        <v>NO</v>
      </c>
      <c r="P39" s="302" t="str">
        <f t="shared" si="4"/>
        <v>--</v>
      </c>
      <c r="Q39" s="303" t="str">
        <f t="shared" si="5"/>
        <v>--</v>
      </c>
      <c r="R39" s="304">
        <f t="shared" si="6"/>
        <v>187.11</v>
      </c>
      <c r="S39" s="305">
        <f t="shared" si="7"/>
        <v>28.0665</v>
      </c>
      <c r="T39" s="306" t="str">
        <f t="shared" si="8"/>
        <v>--</v>
      </c>
      <c r="U39" s="307" t="str">
        <f t="shared" si="9"/>
        <v>--</v>
      </c>
      <c r="V39" s="308" t="str">
        <f t="shared" si="10"/>
        <v>--</v>
      </c>
      <c r="W39" s="309" t="str">
        <f t="shared" si="11"/>
        <v>--</v>
      </c>
      <c r="X39" s="300" t="str">
        <f t="shared" si="12"/>
        <v>SI</v>
      </c>
      <c r="Y39" s="310">
        <f t="shared" si="13"/>
        <v>215.1765</v>
      </c>
      <c r="Z39" s="310">
        <v>166.635</v>
      </c>
      <c r="AA39" s="310">
        <f t="shared" si="14"/>
        <v>48.54150000000001</v>
      </c>
      <c r="AB39" s="311"/>
    </row>
    <row r="40" spans="2:28" ht="16.5" customHeight="1">
      <c r="B40" s="239"/>
      <c r="C40" s="291">
        <v>27</v>
      </c>
      <c r="D40" s="293" t="s">
        <v>27</v>
      </c>
      <c r="E40" s="294" t="s">
        <v>12</v>
      </c>
      <c r="F40" s="315">
        <v>15</v>
      </c>
      <c r="G40" s="316" t="s">
        <v>13</v>
      </c>
      <c r="H40" s="492">
        <f t="shared" si="16"/>
        <v>3.1185</v>
      </c>
      <c r="I40" s="297">
        <v>36067.461805555555</v>
      </c>
      <c r="J40" s="297">
        <v>36067.57986111111</v>
      </c>
      <c r="K40" s="298">
        <f t="shared" si="0"/>
        <v>2.833333333313931</v>
      </c>
      <c r="L40" s="299">
        <f t="shared" si="1"/>
        <v>170</v>
      </c>
      <c r="M40" s="300" t="s">
        <v>121</v>
      </c>
      <c r="N40" s="301" t="str">
        <f t="shared" si="2"/>
        <v>--</v>
      </c>
      <c r="O40" s="300" t="str">
        <f t="shared" si="3"/>
        <v>--</v>
      </c>
      <c r="P40" s="302">
        <f t="shared" si="4"/>
        <v>26.476065000000002</v>
      </c>
      <c r="Q40" s="303" t="str">
        <f t="shared" si="5"/>
        <v>--</v>
      </c>
      <c r="R40" s="304" t="str">
        <f t="shared" si="6"/>
        <v>--</v>
      </c>
      <c r="S40" s="305" t="str">
        <f t="shared" si="7"/>
        <v>--</v>
      </c>
      <c r="T40" s="306" t="str">
        <f t="shared" si="8"/>
        <v>--</v>
      </c>
      <c r="U40" s="307" t="str">
        <f t="shared" si="9"/>
        <v>--</v>
      </c>
      <c r="V40" s="308" t="str">
        <f t="shared" si="10"/>
        <v>--</v>
      </c>
      <c r="W40" s="309" t="str">
        <f t="shared" si="11"/>
        <v>--</v>
      </c>
      <c r="X40" s="300" t="str">
        <f t="shared" si="12"/>
        <v>SI</v>
      </c>
      <c r="Y40" s="310">
        <f t="shared" si="13"/>
        <v>26.476065000000002</v>
      </c>
      <c r="Z40" s="310">
        <v>20.503350000000005</v>
      </c>
      <c r="AA40" s="310">
        <f t="shared" si="14"/>
        <v>5.972714999999997</v>
      </c>
      <c r="AB40" s="311"/>
    </row>
    <row r="41" spans="2:28" ht="16.5" customHeight="1">
      <c r="B41" s="239"/>
      <c r="C41" s="291">
        <v>28</v>
      </c>
      <c r="D41" s="293" t="s">
        <v>27</v>
      </c>
      <c r="E41" s="294" t="s">
        <v>14</v>
      </c>
      <c r="F41" s="295">
        <v>15</v>
      </c>
      <c r="G41" s="296" t="s">
        <v>13</v>
      </c>
      <c r="H41" s="492">
        <f t="shared" si="16"/>
        <v>3.1185</v>
      </c>
      <c r="I41" s="297">
        <v>36067.583333333336</v>
      </c>
      <c r="J41" s="297">
        <v>36067.729166666664</v>
      </c>
      <c r="K41" s="298">
        <f t="shared" si="0"/>
        <v>3.4999999998835847</v>
      </c>
      <c r="L41" s="299">
        <f t="shared" si="1"/>
        <v>210</v>
      </c>
      <c r="M41" s="300" t="s">
        <v>121</v>
      </c>
      <c r="N41" s="301" t="str">
        <f t="shared" si="2"/>
        <v>--</v>
      </c>
      <c r="O41" s="300" t="str">
        <f t="shared" si="3"/>
        <v>--</v>
      </c>
      <c r="P41" s="302">
        <f t="shared" si="4"/>
        <v>32.74425</v>
      </c>
      <c r="Q41" s="303" t="str">
        <f t="shared" si="5"/>
        <v>--</v>
      </c>
      <c r="R41" s="304" t="str">
        <f t="shared" si="6"/>
        <v>--</v>
      </c>
      <c r="S41" s="305" t="str">
        <f t="shared" si="7"/>
        <v>--</v>
      </c>
      <c r="T41" s="306" t="str">
        <f t="shared" si="8"/>
        <v>--</v>
      </c>
      <c r="U41" s="307" t="str">
        <f t="shared" si="9"/>
        <v>--</v>
      </c>
      <c r="V41" s="308" t="str">
        <f t="shared" si="10"/>
        <v>--</v>
      </c>
      <c r="W41" s="309" t="str">
        <f t="shared" si="11"/>
        <v>--</v>
      </c>
      <c r="X41" s="300" t="str">
        <f t="shared" si="12"/>
        <v>SI</v>
      </c>
      <c r="Y41" s="310">
        <f t="shared" si="13"/>
        <v>32.74425</v>
      </c>
      <c r="Z41" s="310">
        <v>25.3575</v>
      </c>
      <c r="AA41" s="310">
        <f t="shared" si="14"/>
        <v>7.386749999999999</v>
      </c>
      <c r="AB41" s="311"/>
    </row>
    <row r="42" spans="2:28" ht="16.5" customHeight="1">
      <c r="B42" s="239"/>
      <c r="C42" s="291"/>
      <c r="D42" s="293"/>
      <c r="E42" s="294"/>
      <c r="F42" s="312"/>
      <c r="G42" s="296"/>
      <c r="H42" s="492">
        <f t="shared" si="16"/>
        <v>0</v>
      </c>
      <c r="I42" s="297"/>
      <c r="J42" s="297"/>
      <c r="K42" s="298">
        <f t="shared" si="0"/>
      </c>
      <c r="L42" s="299">
        <f t="shared" si="1"/>
      </c>
      <c r="M42" s="300"/>
      <c r="N42" s="301">
        <f t="shared" si="2"/>
      </c>
      <c r="O42" s="300">
        <f t="shared" si="3"/>
      </c>
      <c r="P42" s="302" t="str">
        <f t="shared" si="4"/>
        <v>--</v>
      </c>
      <c r="Q42" s="303" t="str">
        <f t="shared" si="5"/>
        <v>--</v>
      </c>
      <c r="R42" s="304" t="str">
        <f t="shared" si="6"/>
        <v>--</v>
      </c>
      <c r="S42" s="305" t="str">
        <f t="shared" si="7"/>
        <v>--</v>
      </c>
      <c r="T42" s="306" t="str">
        <f t="shared" si="8"/>
        <v>--</v>
      </c>
      <c r="U42" s="307" t="str">
        <f t="shared" si="9"/>
        <v>--</v>
      </c>
      <c r="V42" s="308" t="str">
        <f t="shared" si="10"/>
        <v>--</v>
      </c>
      <c r="W42" s="309" t="str">
        <f t="shared" si="11"/>
        <v>--</v>
      </c>
      <c r="X42" s="300">
        <f t="shared" si="12"/>
      </c>
      <c r="Y42" s="310">
        <f t="shared" si="13"/>
      </c>
      <c r="Z42" s="310" t="s">
        <v>126</v>
      </c>
      <c r="AA42" s="310"/>
      <c r="AB42" s="311"/>
    </row>
    <row r="43" spans="2:28" ht="16.5" customHeight="1">
      <c r="B43" s="239"/>
      <c r="C43" s="291"/>
      <c r="D43" s="293"/>
      <c r="E43" s="294"/>
      <c r="F43" s="313"/>
      <c r="G43" s="296"/>
      <c r="H43" s="492">
        <f t="shared" si="16"/>
        <v>0</v>
      </c>
      <c r="I43" s="297"/>
      <c r="J43" s="297"/>
      <c r="K43" s="298">
        <f t="shared" si="0"/>
      </c>
      <c r="L43" s="299">
        <f t="shared" si="1"/>
      </c>
      <c r="M43" s="300"/>
      <c r="N43" s="301">
        <f t="shared" si="2"/>
      </c>
      <c r="O43" s="300">
        <f t="shared" si="3"/>
      </c>
      <c r="P43" s="302" t="str">
        <f t="shared" si="4"/>
        <v>--</v>
      </c>
      <c r="Q43" s="303" t="str">
        <f t="shared" si="5"/>
        <v>--</v>
      </c>
      <c r="R43" s="304" t="str">
        <f t="shared" si="6"/>
        <v>--</v>
      </c>
      <c r="S43" s="305" t="str">
        <f t="shared" si="7"/>
        <v>--</v>
      </c>
      <c r="T43" s="306" t="str">
        <f t="shared" si="8"/>
        <v>--</v>
      </c>
      <c r="U43" s="307" t="str">
        <f t="shared" si="9"/>
        <v>--</v>
      </c>
      <c r="V43" s="308" t="str">
        <f t="shared" si="10"/>
        <v>--</v>
      </c>
      <c r="W43" s="309" t="str">
        <f t="shared" si="11"/>
        <v>--</v>
      </c>
      <c r="X43" s="300">
        <f t="shared" si="12"/>
      </c>
      <c r="Y43" s="310">
        <f t="shared" si="13"/>
      </c>
      <c r="Z43" s="310" t="s">
        <v>126</v>
      </c>
      <c r="AA43" s="310"/>
      <c r="AB43" s="311"/>
    </row>
    <row r="44" spans="2:28" ht="16.5" customHeight="1" thickBot="1">
      <c r="B44" s="239"/>
      <c r="C44" s="317"/>
      <c r="D44" s="318"/>
      <c r="E44" s="319"/>
      <c r="F44" s="318"/>
      <c r="G44" s="320"/>
      <c r="H44" s="321"/>
      <c r="I44" s="322"/>
      <c r="J44" s="322"/>
      <c r="K44" s="323"/>
      <c r="L44" s="323"/>
      <c r="M44" s="322"/>
      <c r="N44" s="324"/>
      <c r="O44" s="322"/>
      <c r="P44" s="325"/>
      <c r="Q44" s="326"/>
      <c r="R44" s="327"/>
      <c r="S44" s="328"/>
      <c r="T44" s="329"/>
      <c r="U44" s="330"/>
      <c r="V44" s="331"/>
      <c r="W44" s="332"/>
      <c r="X44" s="322"/>
      <c r="Y44" s="471"/>
      <c r="Z44" s="471"/>
      <c r="AA44" s="471"/>
      <c r="AB44" s="311"/>
    </row>
    <row r="45" spans="2:28" ht="16.5" customHeight="1" thickBot="1" thickTop="1">
      <c r="B45" s="239"/>
      <c r="C45" s="208" t="s">
        <v>120</v>
      </c>
      <c r="D45" s="209" t="s">
        <v>110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334">
        <f>ROUND(SUM(Y20:Y44),2)</f>
        <v>46627.25</v>
      </c>
      <c r="Z45" s="334">
        <v>18313.84</v>
      </c>
      <c r="AA45" s="334">
        <f>SUM(AA21:AA44)</f>
        <v>10518.605370000001</v>
      </c>
      <c r="AB45" s="311"/>
    </row>
    <row r="46" spans="2:28" s="335" customFormat="1" ht="9.75" thickTop="1">
      <c r="B46" s="336"/>
      <c r="C46" s="219"/>
      <c r="D46" s="220" t="s">
        <v>111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8"/>
      <c r="Z46" s="338"/>
      <c r="AA46" s="338"/>
      <c r="AB46" s="339"/>
    </row>
    <row r="47" spans="2:28" ht="16.5" customHeight="1" thickBot="1">
      <c r="B47" s="340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2"/>
    </row>
    <row r="48" ht="13.5" thickTop="1"/>
  </sheetData>
  <mergeCells count="4">
    <mergeCell ref="C33:AA33"/>
    <mergeCell ref="C22:AA22"/>
    <mergeCell ref="M16:N16"/>
    <mergeCell ref="J16:L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11">
    <pageSetUpPr fitToPage="1"/>
  </sheetPr>
  <dimension ref="A1:AB46"/>
  <sheetViews>
    <sheetView zoomScale="75" zoomScaleNormal="75" workbookViewId="0" topLeftCell="D11">
      <selection activeCell="H28" sqref="H28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+LI!B12</f>
        <v>Desde el 01 de agosto de 1998 al 31 de octubre de 1998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470">
        <v>0.21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267" t="s">
        <v>226</v>
      </c>
      <c r="AA19" s="267" t="s">
        <v>127</v>
      </c>
      <c r="AB19" s="278"/>
    </row>
    <row r="20" spans="2:28" ht="16.5" customHeight="1" thickTop="1">
      <c r="B20" s="239"/>
      <c r="C20" s="279"/>
      <c r="D20" s="279" t="s">
        <v>245</v>
      </c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>
        <f>+TR!Y45</f>
        <v>46627.25</v>
      </c>
      <c r="Z20" s="148">
        <f>+TR!Z45</f>
        <v>18313.84</v>
      </c>
      <c r="AA20" s="148">
        <f>+TR!AA45</f>
        <v>10518.605370000001</v>
      </c>
      <c r="AB20" s="54"/>
    </row>
    <row r="21" spans="2:28" ht="16.5" customHeight="1" thickBot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8" s="78" customFormat="1" ht="16.5" customHeight="1" thickBot="1" thickTop="1">
      <c r="B22" s="130"/>
      <c r="C22" s="605" t="s">
        <v>223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187"/>
    </row>
    <row r="23" spans="2:28" ht="16.5" customHeight="1" thickTop="1">
      <c r="B23" s="239"/>
      <c r="C23" s="438">
        <v>10</v>
      </c>
      <c r="D23" s="490" t="s">
        <v>17</v>
      </c>
      <c r="E23" s="294" t="s">
        <v>12</v>
      </c>
      <c r="F23" s="516">
        <v>20</v>
      </c>
      <c r="G23" s="517" t="s">
        <v>18</v>
      </c>
      <c r="H23" s="492">
        <f>F23*$G$16*$M$16</f>
        <v>4.158</v>
      </c>
      <c r="I23" s="493">
        <v>36069</v>
      </c>
      <c r="J23" s="493">
        <v>36083.354166666664</v>
      </c>
      <c r="K23" s="400">
        <f aca="true" t="shared" si="0" ref="K23:K42">IF(I23="","",(J23-I23)*24)</f>
        <v>344.4999999999418</v>
      </c>
      <c r="L23" s="494">
        <f aca="true" t="shared" si="1" ref="L23:L42">IF(J23="","",ROUND((J23-I23)*24*60,0))</f>
        <v>20670</v>
      </c>
      <c r="M23" s="403" t="s">
        <v>123</v>
      </c>
      <c r="N23" s="495">
        <v>25</v>
      </c>
      <c r="O23" s="403" t="str">
        <f aca="true" t="shared" si="2" ref="O23:O42">IF(M23="","",IF(M23="P","--","NO"))</f>
        <v>NO</v>
      </c>
      <c r="P23" s="496" t="str">
        <f aca="true" t="shared" si="3" ref="P23:P42">IF(M23="P",H23*$G$17*0.1*ROUND(L23/60,2),"--")</f>
        <v>--</v>
      </c>
      <c r="Q23" s="497" t="str">
        <f aca="true" t="shared" si="4" ref="Q23:Q42">IF(M23="RP",H23*$G$17*0.1*N23/100*ROUND(L23/60,2),"--")</f>
        <v>--</v>
      </c>
      <c r="R23" s="498" t="str">
        <f aca="true" t="shared" si="5" ref="R23:R42">IF(AND(M23="F",O23="NO"),H23*$G$17,"--")</f>
        <v>--</v>
      </c>
      <c r="S23" s="499" t="str">
        <f aca="true" t="shared" si="6" ref="S23:S42">IF(M23="F",H23*$G$17*ROUND(L23/60,2),"--")</f>
        <v>--</v>
      </c>
      <c r="T23" s="500">
        <f aca="true" t="shared" si="7" ref="T23:T42">IF(AND(M23="R",O23="NO"),H23*$G$17*N23/100,"--")</f>
        <v>31.185</v>
      </c>
      <c r="U23" s="501">
        <f aca="true" t="shared" si="8" ref="U23:U42">IF(M23="R",H23*$G$17*N23/100*ROUND(L23/60,2),"--")</f>
        <v>10743.2325</v>
      </c>
      <c r="V23" s="502" t="str">
        <f aca="true" t="shared" si="9" ref="V23:V42">IF(M23="RF",H23*$G$17*ROUND(L23/60,2),"--")</f>
        <v>--</v>
      </c>
      <c r="W23" s="503" t="str">
        <f aca="true" t="shared" si="10" ref="W23:W42">IF(M23="RR",H23*$G$17*N23/100*ROUND(L23/60,2),"--")</f>
        <v>--</v>
      </c>
      <c r="X23" s="403" t="str">
        <f aca="true" t="shared" si="11" ref="X23:X42">IF(D23="","","SI")</f>
        <v>SI</v>
      </c>
      <c r="Y23" s="504">
        <f aca="true" t="shared" si="12" ref="Y23:Y42">IF(D23="","",IF(X23="SI",SUM(P23:W23),2*SUM(P23:W23)))</f>
        <v>10774.4175</v>
      </c>
      <c r="Z23" s="504">
        <v>8343.824999999999</v>
      </c>
      <c r="AA23" s="504">
        <f aca="true" t="shared" si="13" ref="AA23:AA29">+Y23-Z23</f>
        <v>2430.5925000000007</v>
      </c>
      <c r="AB23" s="187"/>
    </row>
    <row r="24" spans="2:28" ht="16.5" customHeight="1">
      <c r="B24" s="239"/>
      <c r="C24" s="291">
        <v>11</v>
      </c>
      <c r="D24" s="293" t="s">
        <v>19</v>
      </c>
      <c r="E24" s="294" t="s">
        <v>20</v>
      </c>
      <c r="F24" s="312">
        <v>15</v>
      </c>
      <c r="G24" s="296" t="s">
        <v>13</v>
      </c>
      <c r="H24" s="492">
        <f aca="true" t="shared" si="14" ref="H24:H42">F24*$G$16*$M$16</f>
        <v>3.1185</v>
      </c>
      <c r="I24" s="297">
        <v>36072.308333333334</v>
      </c>
      <c r="J24" s="297">
        <v>36072.48263888889</v>
      </c>
      <c r="K24" s="298">
        <f t="shared" si="0"/>
        <v>4.183333333348855</v>
      </c>
      <c r="L24" s="299">
        <f t="shared" si="1"/>
        <v>251</v>
      </c>
      <c r="M24" s="300" t="s">
        <v>121</v>
      </c>
      <c r="N24" s="301" t="str">
        <f aca="true" t="shared" si="15" ref="N24:N42">IF(D24="","","--")</f>
        <v>--</v>
      </c>
      <c r="O24" s="300" t="str">
        <f t="shared" si="2"/>
        <v>--</v>
      </c>
      <c r="P24" s="302">
        <f t="shared" si="3"/>
        <v>39.10599</v>
      </c>
      <c r="Q24" s="303" t="str">
        <f t="shared" si="4"/>
        <v>--</v>
      </c>
      <c r="R24" s="304" t="str">
        <f t="shared" si="5"/>
        <v>--</v>
      </c>
      <c r="S24" s="305" t="str">
        <f t="shared" si="6"/>
        <v>--</v>
      </c>
      <c r="T24" s="306" t="str">
        <f t="shared" si="7"/>
        <v>--</v>
      </c>
      <c r="U24" s="307" t="str">
        <f t="shared" si="8"/>
        <v>--</v>
      </c>
      <c r="V24" s="308" t="str">
        <f t="shared" si="9"/>
        <v>--</v>
      </c>
      <c r="W24" s="309" t="str">
        <f t="shared" si="10"/>
        <v>--</v>
      </c>
      <c r="X24" s="300" t="str">
        <f t="shared" si="11"/>
        <v>SI</v>
      </c>
      <c r="Y24" s="310">
        <f t="shared" si="12"/>
        <v>39.10599</v>
      </c>
      <c r="Z24" s="310">
        <v>30.284100000000002</v>
      </c>
      <c r="AA24" s="310">
        <f t="shared" si="13"/>
        <v>8.821889999999996</v>
      </c>
      <c r="AB24" s="311"/>
    </row>
    <row r="25" spans="2:28" ht="16.5" customHeight="1">
      <c r="B25" s="239"/>
      <c r="C25" s="291">
        <v>12</v>
      </c>
      <c r="D25" s="293" t="s">
        <v>19</v>
      </c>
      <c r="E25" s="294" t="s">
        <v>20</v>
      </c>
      <c r="F25" s="313">
        <v>15</v>
      </c>
      <c r="G25" s="296" t="s">
        <v>13</v>
      </c>
      <c r="H25" s="492">
        <f t="shared" si="14"/>
        <v>3.1185</v>
      </c>
      <c r="I25" s="297">
        <v>36074.375</v>
      </c>
      <c r="J25" s="297">
        <v>36099.99998842592</v>
      </c>
      <c r="K25" s="298">
        <f t="shared" si="0"/>
        <v>614.9997222221573</v>
      </c>
      <c r="L25" s="299">
        <f t="shared" si="1"/>
        <v>36900</v>
      </c>
      <c r="M25" s="300" t="s">
        <v>121</v>
      </c>
      <c r="N25" s="301" t="str">
        <f t="shared" si="15"/>
        <v>--</v>
      </c>
      <c r="O25" s="300" t="str">
        <f t="shared" si="2"/>
        <v>--</v>
      </c>
      <c r="P25" s="302">
        <f t="shared" si="3"/>
        <v>5753.632500000001</v>
      </c>
      <c r="Q25" s="303" t="str">
        <f t="shared" si="4"/>
        <v>--</v>
      </c>
      <c r="R25" s="304" t="str">
        <f t="shared" si="5"/>
        <v>--</v>
      </c>
      <c r="S25" s="305" t="str">
        <f t="shared" si="6"/>
        <v>--</v>
      </c>
      <c r="T25" s="306" t="str">
        <f t="shared" si="7"/>
        <v>--</v>
      </c>
      <c r="U25" s="307" t="str">
        <f t="shared" si="8"/>
        <v>--</v>
      </c>
      <c r="V25" s="308" t="str">
        <f t="shared" si="9"/>
        <v>--</v>
      </c>
      <c r="W25" s="309" t="str">
        <f t="shared" si="10"/>
        <v>--</v>
      </c>
      <c r="X25" s="300" t="str">
        <f t="shared" si="11"/>
        <v>SI</v>
      </c>
      <c r="Y25" s="310">
        <f t="shared" si="12"/>
        <v>5753.632500000001</v>
      </c>
      <c r="Z25" s="310">
        <v>4455.675</v>
      </c>
      <c r="AA25" s="310">
        <f t="shared" si="13"/>
        <v>1297.9575000000004</v>
      </c>
      <c r="AB25" s="311"/>
    </row>
    <row r="26" spans="2:28" ht="16.5" customHeight="1">
      <c r="B26" s="239"/>
      <c r="C26" s="291">
        <v>13</v>
      </c>
      <c r="D26" s="293" t="s">
        <v>17</v>
      </c>
      <c r="E26" s="294" t="s">
        <v>12</v>
      </c>
      <c r="F26" s="294">
        <v>20</v>
      </c>
      <c r="G26" s="296" t="s">
        <v>18</v>
      </c>
      <c r="H26" s="492">
        <f t="shared" si="14"/>
        <v>4.158</v>
      </c>
      <c r="I26" s="297">
        <v>36083.354166666664</v>
      </c>
      <c r="J26" s="297">
        <v>36089.81805555556</v>
      </c>
      <c r="K26" s="298">
        <f t="shared" si="0"/>
        <v>155.1333333334769</v>
      </c>
      <c r="L26" s="299">
        <f t="shared" si="1"/>
        <v>9308</v>
      </c>
      <c r="M26" s="300" t="s">
        <v>121</v>
      </c>
      <c r="N26" s="301" t="str">
        <f t="shared" si="15"/>
        <v>--</v>
      </c>
      <c r="O26" s="300" t="str">
        <f t="shared" si="2"/>
        <v>--</v>
      </c>
      <c r="P26" s="302">
        <f t="shared" si="3"/>
        <v>1935.0916200000001</v>
      </c>
      <c r="Q26" s="303" t="str">
        <f t="shared" si="4"/>
        <v>--</v>
      </c>
      <c r="R26" s="304" t="str">
        <f t="shared" si="5"/>
        <v>--</v>
      </c>
      <c r="S26" s="305" t="str">
        <f t="shared" si="6"/>
        <v>--</v>
      </c>
      <c r="T26" s="306" t="str">
        <f t="shared" si="7"/>
        <v>--</v>
      </c>
      <c r="U26" s="307" t="str">
        <f t="shared" si="8"/>
        <v>--</v>
      </c>
      <c r="V26" s="308" t="str">
        <f t="shared" si="9"/>
        <v>--</v>
      </c>
      <c r="W26" s="309" t="str">
        <f t="shared" si="10"/>
        <v>--</v>
      </c>
      <c r="X26" s="300" t="str">
        <f t="shared" si="11"/>
        <v>SI</v>
      </c>
      <c r="Y26" s="310">
        <f t="shared" si="12"/>
        <v>1935.0916200000001</v>
      </c>
      <c r="Z26" s="310">
        <v>1498.5558000000003</v>
      </c>
      <c r="AA26" s="310">
        <f t="shared" si="13"/>
        <v>436.53581999999983</v>
      </c>
      <c r="AB26" s="311"/>
    </row>
    <row r="27" spans="2:28" ht="16.5" customHeight="1">
      <c r="B27" s="239"/>
      <c r="C27" s="291">
        <v>14</v>
      </c>
      <c r="D27" s="293" t="s">
        <v>188</v>
      </c>
      <c r="E27" s="294" t="s">
        <v>12</v>
      </c>
      <c r="F27" s="294">
        <v>15</v>
      </c>
      <c r="G27" s="296" t="s">
        <v>13</v>
      </c>
      <c r="H27" s="492">
        <f t="shared" si="14"/>
        <v>3.1185</v>
      </c>
      <c r="I27" s="297">
        <v>36096.504166666666</v>
      </c>
      <c r="J27" s="297">
        <v>36096.714583333334</v>
      </c>
      <c r="K27" s="298">
        <f t="shared" si="0"/>
        <v>5.050000000046566</v>
      </c>
      <c r="L27" s="299">
        <f t="shared" si="1"/>
        <v>303</v>
      </c>
      <c r="M27" s="300" t="s">
        <v>121</v>
      </c>
      <c r="N27" s="301" t="str">
        <f t="shared" si="15"/>
        <v>--</v>
      </c>
      <c r="O27" s="300" t="str">
        <f t="shared" si="2"/>
        <v>--</v>
      </c>
      <c r="P27" s="302">
        <f t="shared" si="3"/>
        <v>47.24527500000001</v>
      </c>
      <c r="Q27" s="303" t="str">
        <f t="shared" si="4"/>
        <v>--</v>
      </c>
      <c r="R27" s="304" t="str">
        <f t="shared" si="5"/>
        <v>--</v>
      </c>
      <c r="S27" s="305" t="str">
        <f t="shared" si="6"/>
        <v>--</v>
      </c>
      <c r="T27" s="306" t="str">
        <f t="shared" si="7"/>
        <v>--</v>
      </c>
      <c r="U27" s="307" t="str">
        <f t="shared" si="8"/>
        <v>--</v>
      </c>
      <c r="V27" s="308" t="str">
        <f t="shared" si="9"/>
        <v>--</v>
      </c>
      <c r="W27" s="309" t="str">
        <f t="shared" si="10"/>
        <v>--</v>
      </c>
      <c r="X27" s="300" t="str">
        <f t="shared" si="11"/>
        <v>SI</v>
      </c>
      <c r="Y27" s="310">
        <f t="shared" si="12"/>
        <v>47.24527500000001</v>
      </c>
      <c r="Z27" s="310">
        <v>36.587250000000004</v>
      </c>
      <c r="AA27" s="310">
        <f t="shared" si="13"/>
        <v>10.658025000000002</v>
      </c>
      <c r="AB27" s="311"/>
    </row>
    <row r="28" spans="2:28" ht="16.5" customHeight="1">
      <c r="B28" s="239"/>
      <c r="C28" s="291">
        <v>15</v>
      </c>
      <c r="D28" s="293" t="s">
        <v>188</v>
      </c>
      <c r="E28" s="294" t="s">
        <v>12</v>
      </c>
      <c r="F28" s="294">
        <v>15</v>
      </c>
      <c r="G28" s="296" t="s">
        <v>13</v>
      </c>
      <c r="H28" s="492">
        <f t="shared" si="14"/>
        <v>3.1185</v>
      </c>
      <c r="I28" s="297">
        <v>36097.375</v>
      </c>
      <c r="J28" s="297">
        <v>36097.54236111111</v>
      </c>
      <c r="K28" s="298">
        <f t="shared" si="0"/>
        <v>4.016666666662786</v>
      </c>
      <c r="L28" s="299">
        <f t="shared" si="1"/>
        <v>241</v>
      </c>
      <c r="M28" s="300" t="s">
        <v>121</v>
      </c>
      <c r="N28" s="301" t="str">
        <f t="shared" si="15"/>
        <v>--</v>
      </c>
      <c r="O28" s="300" t="str">
        <f t="shared" si="2"/>
        <v>--</v>
      </c>
      <c r="P28" s="302">
        <f t="shared" si="3"/>
        <v>37.60911</v>
      </c>
      <c r="Q28" s="303" t="str">
        <f t="shared" si="4"/>
        <v>--</v>
      </c>
      <c r="R28" s="304" t="str">
        <f t="shared" si="5"/>
        <v>--</v>
      </c>
      <c r="S28" s="305" t="str">
        <f t="shared" si="6"/>
        <v>--</v>
      </c>
      <c r="T28" s="306" t="str">
        <f t="shared" si="7"/>
        <v>--</v>
      </c>
      <c r="U28" s="307" t="str">
        <f t="shared" si="8"/>
        <v>--</v>
      </c>
      <c r="V28" s="308" t="str">
        <f t="shared" si="9"/>
        <v>--</v>
      </c>
      <c r="W28" s="309" t="str">
        <f t="shared" si="10"/>
        <v>--</v>
      </c>
      <c r="X28" s="300" t="str">
        <f t="shared" si="11"/>
        <v>SI</v>
      </c>
      <c r="Y28" s="310">
        <f t="shared" si="12"/>
        <v>37.60911</v>
      </c>
      <c r="Z28" s="310">
        <v>29.1249</v>
      </c>
      <c r="AA28" s="310">
        <f t="shared" si="13"/>
        <v>8.484210000000001</v>
      </c>
      <c r="AB28" s="311"/>
    </row>
    <row r="29" spans="2:28" ht="16.5" customHeight="1">
      <c r="B29" s="239"/>
      <c r="C29" s="291">
        <v>16</v>
      </c>
      <c r="D29" s="314" t="s">
        <v>188</v>
      </c>
      <c r="E29" s="294" t="s">
        <v>14</v>
      </c>
      <c r="F29" s="313">
        <v>15</v>
      </c>
      <c r="G29" s="296" t="s">
        <v>13</v>
      </c>
      <c r="H29" s="492">
        <f t="shared" si="14"/>
        <v>3.1185</v>
      </c>
      <c r="I29" s="297">
        <v>36097.375</v>
      </c>
      <c r="J29" s="297">
        <v>36097.549305555556</v>
      </c>
      <c r="K29" s="298">
        <f t="shared" si="0"/>
        <v>4.183333333348855</v>
      </c>
      <c r="L29" s="299">
        <f t="shared" si="1"/>
        <v>251</v>
      </c>
      <c r="M29" s="300" t="s">
        <v>121</v>
      </c>
      <c r="N29" s="301" t="str">
        <f t="shared" si="15"/>
        <v>--</v>
      </c>
      <c r="O29" s="300" t="str">
        <f t="shared" si="2"/>
        <v>--</v>
      </c>
      <c r="P29" s="302">
        <f t="shared" si="3"/>
        <v>39.10599</v>
      </c>
      <c r="Q29" s="303" t="str">
        <f t="shared" si="4"/>
        <v>--</v>
      </c>
      <c r="R29" s="304" t="str">
        <f t="shared" si="5"/>
        <v>--</v>
      </c>
      <c r="S29" s="305" t="str">
        <f t="shared" si="6"/>
        <v>--</v>
      </c>
      <c r="T29" s="306" t="str">
        <f t="shared" si="7"/>
        <v>--</v>
      </c>
      <c r="U29" s="307" t="str">
        <f t="shared" si="8"/>
        <v>--</v>
      </c>
      <c r="V29" s="308" t="str">
        <f t="shared" si="9"/>
        <v>--</v>
      </c>
      <c r="W29" s="309" t="str">
        <f t="shared" si="10"/>
        <v>--</v>
      </c>
      <c r="X29" s="300" t="str">
        <f t="shared" si="11"/>
        <v>SI</v>
      </c>
      <c r="Y29" s="310">
        <f t="shared" si="12"/>
        <v>39.10599</v>
      </c>
      <c r="Z29" s="310">
        <v>30.284100000000002</v>
      </c>
      <c r="AA29" s="310">
        <f t="shared" si="13"/>
        <v>8.821889999999996</v>
      </c>
      <c r="AB29" s="311"/>
    </row>
    <row r="30" spans="2:28" ht="16.5" customHeight="1">
      <c r="B30" s="239"/>
      <c r="C30" s="291"/>
      <c r="D30" s="293"/>
      <c r="E30" s="294"/>
      <c r="F30" s="315"/>
      <c r="G30" s="316"/>
      <c r="H30" s="492">
        <f t="shared" si="14"/>
        <v>0</v>
      </c>
      <c r="I30" s="297"/>
      <c r="J30" s="297"/>
      <c r="K30" s="298">
        <f t="shared" si="0"/>
      </c>
      <c r="L30" s="299">
        <f t="shared" si="1"/>
      </c>
      <c r="M30" s="300"/>
      <c r="N30" s="301">
        <f t="shared" si="15"/>
      </c>
      <c r="O30" s="300">
        <f t="shared" si="2"/>
      </c>
      <c r="P30" s="302" t="str">
        <f t="shared" si="3"/>
        <v>--</v>
      </c>
      <c r="Q30" s="303" t="str">
        <f t="shared" si="4"/>
        <v>--</v>
      </c>
      <c r="R30" s="304" t="str">
        <f t="shared" si="5"/>
        <v>--</v>
      </c>
      <c r="S30" s="305" t="str">
        <f t="shared" si="6"/>
        <v>--</v>
      </c>
      <c r="T30" s="306" t="str">
        <f t="shared" si="7"/>
        <v>--</v>
      </c>
      <c r="U30" s="307" t="str">
        <f t="shared" si="8"/>
        <v>--</v>
      </c>
      <c r="V30" s="308" t="str">
        <f t="shared" si="9"/>
        <v>--</v>
      </c>
      <c r="W30" s="309" t="str">
        <f t="shared" si="10"/>
        <v>--</v>
      </c>
      <c r="X30" s="300">
        <f t="shared" si="11"/>
      </c>
      <c r="Y30" s="310">
        <f t="shared" si="12"/>
      </c>
      <c r="Z30" s="310" t="s">
        <v>126</v>
      </c>
      <c r="AA30" s="310"/>
      <c r="AB30" s="311"/>
    </row>
    <row r="31" spans="2:28" ht="16.5" customHeight="1">
      <c r="B31" s="239"/>
      <c r="C31" s="291"/>
      <c r="D31" s="293"/>
      <c r="E31" s="294"/>
      <c r="F31" s="315"/>
      <c r="G31" s="316"/>
      <c r="H31" s="492">
        <f t="shared" si="14"/>
        <v>0</v>
      </c>
      <c r="I31" s="297"/>
      <c r="J31" s="297"/>
      <c r="K31" s="298">
        <f t="shared" si="0"/>
      </c>
      <c r="L31" s="299">
        <f t="shared" si="1"/>
      </c>
      <c r="M31" s="300"/>
      <c r="N31" s="301">
        <f t="shared" si="15"/>
      </c>
      <c r="O31" s="300">
        <f t="shared" si="2"/>
      </c>
      <c r="P31" s="302" t="str">
        <f t="shared" si="3"/>
        <v>--</v>
      </c>
      <c r="Q31" s="303" t="str">
        <f t="shared" si="4"/>
        <v>--</v>
      </c>
      <c r="R31" s="304" t="str">
        <f t="shared" si="5"/>
        <v>--</v>
      </c>
      <c r="S31" s="305" t="str">
        <f t="shared" si="6"/>
        <v>--</v>
      </c>
      <c r="T31" s="306" t="str">
        <f t="shared" si="7"/>
        <v>--</v>
      </c>
      <c r="U31" s="307" t="str">
        <f t="shared" si="8"/>
        <v>--</v>
      </c>
      <c r="V31" s="308" t="str">
        <f t="shared" si="9"/>
        <v>--</v>
      </c>
      <c r="W31" s="309" t="str">
        <f t="shared" si="10"/>
        <v>--</v>
      </c>
      <c r="X31" s="300">
        <f t="shared" si="11"/>
      </c>
      <c r="Y31" s="310">
        <f t="shared" si="12"/>
      </c>
      <c r="Z31" s="310" t="s">
        <v>126</v>
      </c>
      <c r="AA31" s="310"/>
      <c r="AB31" s="311"/>
    </row>
    <row r="32" spans="2:28" ht="16.5" customHeight="1">
      <c r="B32" s="239"/>
      <c r="C32" s="291"/>
      <c r="D32" s="293"/>
      <c r="E32" s="294"/>
      <c r="F32" s="315"/>
      <c r="G32" s="316"/>
      <c r="H32" s="492">
        <f t="shared" si="14"/>
        <v>0</v>
      </c>
      <c r="I32" s="297"/>
      <c r="J32" s="297"/>
      <c r="K32" s="298">
        <f t="shared" si="0"/>
      </c>
      <c r="L32" s="299">
        <f t="shared" si="1"/>
      </c>
      <c r="M32" s="300"/>
      <c r="N32" s="301">
        <f t="shared" si="15"/>
      </c>
      <c r="O32" s="300">
        <f t="shared" si="2"/>
      </c>
      <c r="P32" s="302" t="str">
        <f t="shared" si="3"/>
        <v>--</v>
      </c>
      <c r="Q32" s="303" t="str">
        <f t="shared" si="4"/>
        <v>--</v>
      </c>
      <c r="R32" s="304" t="str">
        <f t="shared" si="5"/>
        <v>--</v>
      </c>
      <c r="S32" s="305" t="str">
        <f t="shared" si="6"/>
        <v>--</v>
      </c>
      <c r="T32" s="306" t="str">
        <f t="shared" si="7"/>
        <v>--</v>
      </c>
      <c r="U32" s="307" t="str">
        <f t="shared" si="8"/>
        <v>--</v>
      </c>
      <c r="V32" s="308" t="str">
        <f t="shared" si="9"/>
        <v>--</v>
      </c>
      <c r="W32" s="309" t="str">
        <f t="shared" si="10"/>
        <v>--</v>
      </c>
      <c r="X32" s="300">
        <f t="shared" si="11"/>
      </c>
      <c r="Y32" s="310">
        <f t="shared" si="12"/>
      </c>
      <c r="Z32" s="310" t="s">
        <v>126</v>
      </c>
      <c r="AA32" s="310"/>
      <c r="AB32" s="311"/>
    </row>
    <row r="33" spans="2:28" ht="16.5" customHeight="1">
      <c r="B33" s="239"/>
      <c r="C33" s="291"/>
      <c r="D33" s="293"/>
      <c r="E33" s="294"/>
      <c r="F33" s="315"/>
      <c r="G33" s="316"/>
      <c r="H33" s="492">
        <f t="shared" si="14"/>
        <v>0</v>
      </c>
      <c r="I33" s="297"/>
      <c r="J33" s="297"/>
      <c r="K33" s="298">
        <f t="shared" si="0"/>
      </c>
      <c r="L33" s="299">
        <f t="shared" si="1"/>
      </c>
      <c r="M33" s="300"/>
      <c r="N33" s="301">
        <f t="shared" si="15"/>
      </c>
      <c r="O33" s="300">
        <f t="shared" si="2"/>
      </c>
      <c r="P33" s="302" t="str">
        <f t="shared" si="3"/>
        <v>--</v>
      </c>
      <c r="Q33" s="303" t="str">
        <f t="shared" si="4"/>
        <v>--</v>
      </c>
      <c r="R33" s="304" t="str">
        <f t="shared" si="5"/>
        <v>--</v>
      </c>
      <c r="S33" s="305" t="str">
        <f t="shared" si="6"/>
        <v>--</v>
      </c>
      <c r="T33" s="306" t="str">
        <f t="shared" si="7"/>
        <v>--</v>
      </c>
      <c r="U33" s="307" t="str">
        <f t="shared" si="8"/>
        <v>--</v>
      </c>
      <c r="V33" s="308" t="str">
        <f t="shared" si="9"/>
        <v>--</v>
      </c>
      <c r="W33" s="309" t="str">
        <f t="shared" si="10"/>
        <v>--</v>
      </c>
      <c r="X33" s="300">
        <f t="shared" si="11"/>
      </c>
      <c r="Y33" s="310">
        <f t="shared" si="12"/>
      </c>
      <c r="Z33" s="310" t="s">
        <v>126</v>
      </c>
      <c r="AA33" s="310"/>
      <c r="AB33" s="311"/>
    </row>
    <row r="34" spans="2:28" ht="16.5" customHeight="1">
      <c r="B34" s="239"/>
      <c r="C34" s="291"/>
      <c r="D34" s="293"/>
      <c r="E34" s="294"/>
      <c r="F34" s="315"/>
      <c r="G34" s="316"/>
      <c r="H34" s="492">
        <f t="shared" si="14"/>
        <v>0</v>
      </c>
      <c r="I34" s="297"/>
      <c r="J34" s="297"/>
      <c r="K34" s="298">
        <f t="shared" si="0"/>
      </c>
      <c r="L34" s="299">
        <f t="shared" si="1"/>
      </c>
      <c r="M34" s="300"/>
      <c r="N34" s="301">
        <f t="shared" si="15"/>
      </c>
      <c r="O34" s="300">
        <f t="shared" si="2"/>
      </c>
      <c r="P34" s="302" t="str">
        <f t="shared" si="3"/>
        <v>--</v>
      </c>
      <c r="Q34" s="303" t="str">
        <f t="shared" si="4"/>
        <v>--</v>
      </c>
      <c r="R34" s="304" t="str">
        <f t="shared" si="5"/>
        <v>--</v>
      </c>
      <c r="S34" s="305" t="str">
        <f t="shared" si="6"/>
        <v>--</v>
      </c>
      <c r="T34" s="306" t="str">
        <f t="shared" si="7"/>
        <v>--</v>
      </c>
      <c r="U34" s="307" t="str">
        <f t="shared" si="8"/>
        <v>--</v>
      </c>
      <c r="V34" s="308" t="str">
        <f t="shared" si="9"/>
        <v>--</v>
      </c>
      <c r="W34" s="309" t="str">
        <f t="shared" si="10"/>
        <v>--</v>
      </c>
      <c r="X34" s="300">
        <f t="shared" si="11"/>
      </c>
      <c r="Y34" s="310">
        <f t="shared" si="12"/>
      </c>
      <c r="Z34" s="310" t="s">
        <v>126</v>
      </c>
      <c r="AA34" s="310"/>
      <c r="AB34" s="311"/>
    </row>
    <row r="35" spans="2:28" ht="16.5" customHeight="1">
      <c r="B35" s="239"/>
      <c r="C35" s="291"/>
      <c r="D35" s="293"/>
      <c r="E35" s="294"/>
      <c r="F35" s="315"/>
      <c r="G35" s="316"/>
      <c r="H35" s="492">
        <f t="shared" si="14"/>
        <v>0</v>
      </c>
      <c r="I35" s="297"/>
      <c r="J35" s="297"/>
      <c r="K35" s="298">
        <f t="shared" si="0"/>
      </c>
      <c r="L35" s="299">
        <f t="shared" si="1"/>
      </c>
      <c r="M35" s="300"/>
      <c r="N35" s="301">
        <f t="shared" si="15"/>
      </c>
      <c r="O35" s="300">
        <f t="shared" si="2"/>
      </c>
      <c r="P35" s="302" t="str">
        <f t="shared" si="3"/>
        <v>--</v>
      </c>
      <c r="Q35" s="303" t="str">
        <f t="shared" si="4"/>
        <v>--</v>
      </c>
      <c r="R35" s="304" t="str">
        <f t="shared" si="5"/>
        <v>--</v>
      </c>
      <c r="S35" s="305" t="str">
        <f t="shared" si="6"/>
        <v>--</v>
      </c>
      <c r="T35" s="306" t="str">
        <f t="shared" si="7"/>
        <v>--</v>
      </c>
      <c r="U35" s="307" t="str">
        <f t="shared" si="8"/>
        <v>--</v>
      </c>
      <c r="V35" s="308" t="str">
        <f t="shared" si="9"/>
        <v>--</v>
      </c>
      <c r="W35" s="309" t="str">
        <f t="shared" si="10"/>
        <v>--</v>
      </c>
      <c r="X35" s="300">
        <f t="shared" si="11"/>
      </c>
      <c r="Y35" s="310">
        <f t="shared" si="12"/>
      </c>
      <c r="Z35" s="310" t="s">
        <v>126</v>
      </c>
      <c r="AA35" s="310"/>
      <c r="AB35" s="311"/>
    </row>
    <row r="36" spans="2:28" ht="16.5" customHeight="1">
      <c r="B36" s="239"/>
      <c r="C36" s="291"/>
      <c r="D36" s="293"/>
      <c r="E36" s="294"/>
      <c r="F36" s="315"/>
      <c r="G36" s="316"/>
      <c r="H36" s="492">
        <f t="shared" si="14"/>
        <v>0</v>
      </c>
      <c r="I36" s="297"/>
      <c r="J36" s="297"/>
      <c r="K36" s="298">
        <f t="shared" si="0"/>
      </c>
      <c r="L36" s="299">
        <f t="shared" si="1"/>
      </c>
      <c r="M36" s="300"/>
      <c r="N36" s="301">
        <f t="shared" si="15"/>
      </c>
      <c r="O36" s="300">
        <f t="shared" si="2"/>
      </c>
      <c r="P36" s="302" t="str">
        <f t="shared" si="3"/>
        <v>--</v>
      </c>
      <c r="Q36" s="303" t="str">
        <f t="shared" si="4"/>
        <v>--</v>
      </c>
      <c r="R36" s="304" t="str">
        <f t="shared" si="5"/>
        <v>--</v>
      </c>
      <c r="S36" s="305" t="str">
        <f t="shared" si="6"/>
        <v>--</v>
      </c>
      <c r="T36" s="306" t="str">
        <f t="shared" si="7"/>
        <v>--</v>
      </c>
      <c r="U36" s="307" t="str">
        <f t="shared" si="8"/>
        <v>--</v>
      </c>
      <c r="V36" s="308" t="str">
        <f t="shared" si="9"/>
        <v>--</v>
      </c>
      <c r="W36" s="309" t="str">
        <f t="shared" si="10"/>
        <v>--</v>
      </c>
      <c r="X36" s="300">
        <f t="shared" si="11"/>
      </c>
      <c r="Y36" s="310">
        <f t="shared" si="12"/>
      </c>
      <c r="Z36" s="310" t="s">
        <v>126</v>
      </c>
      <c r="AA36" s="310"/>
      <c r="AB36" s="311"/>
    </row>
    <row r="37" spans="2:28" ht="16.5" customHeight="1">
      <c r="B37" s="239"/>
      <c r="C37" s="291"/>
      <c r="D37" s="293"/>
      <c r="E37" s="294"/>
      <c r="F37" s="315"/>
      <c r="G37" s="316"/>
      <c r="H37" s="492">
        <f t="shared" si="14"/>
        <v>0</v>
      </c>
      <c r="I37" s="297"/>
      <c r="J37" s="297"/>
      <c r="K37" s="298">
        <f t="shared" si="0"/>
      </c>
      <c r="L37" s="299">
        <f t="shared" si="1"/>
      </c>
      <c r="M37" s="300"/>
      <c r="N37" s="301">
        <f t="shared" si="15"/>
      </c>
      <c r="O37" s="300">
        <f t="shared" si="2"/>
      </c>
      <c r="P37" s="302" t="str">
        <f t="shared" si="3"/>
        <v>--</v>
      </c>
      <c r="Q37" s="303" t="str">
        <f t="shared" si="4"/>
        <v>--</v>
      </c>
      <c r="R37" s="304" t="str">
        <f t="shared" si="5"/>
        <v>--</v>
      </c>
      <c r="S37" s="305" t="str">
        <f t="shared" si="6"/>
        <v>--</v>
      </c>
      <c r="T37" s="306" t="str">
        <f t="shared" si="7"/>
        <v>--</v>
      </c>
      <c r="U37" s="307" t="str">
        <f t="shared" si="8"/>
        <v>--</v>
      </c>
      <c r="V37" s="308" t="str">
        <f t="shared" si="9"/>
        <v>--</v>
      </c>
      <c r="W37" s="309" t="str">
        <f t="shared" si="10"/>
        <v>--</v>
      </c>
      <c r="X37" s="300">
        <f t="shared" si="11"/>
      </c>
      <c r="Y37" s="310">
        <f t="shared" si="12"/>
      </c>
      <c r="Z37" s="310" t="s">
        <v>126</v>
      </c>
      <c r="AA37" s="310"/>
      <c r="AB37" s="311"/>
    </row>
    <row r="38" spans="2:28" ht="16.5" customHeight="1">
      <c r="B38" s="239"/>
      <c r="C38" s="291"/>
      <c r="D38" s="293"/>
      <c r="E38" s="294"/>
      <c r="F38" s="315"/>
      <c r="G38" s="316"/>
      <c r="H38" s="492">
        <f t="shared" si="14"/>
        <v>0</v>
      </c>
      <c r="I38" s="297"/>
      <c r="J38" s="297"/>
      <c r="K38" s="298">
        <f t="shared" si="0"/>
      </c>
      <c r="L38" s="299">
        <f t="shared" si="1"/>
      </c>
      <c r="M38" s="300"/>
      <c r="N38" s="301">
        <f t="shared" si="15"/>
      </c>
      <c r="O38" s="300">
        <f t="shared" si="2"/>
      </c>
      <c r="P38" s="302" t="str">
        <f t="shared" si="3"/>
        <v>--</v>
      </c>
      <c r="Q38" s="303" t="str">
        <f t="shared" si="4"/>
        <v>--</v>
      </c>
      <c r="R38" s="304" t="str">
        <f t="shared" si="5"/>
        <v>--</v>
      </c>
      <c r="S38" s="305" t="str">
        <f t="shared" si="6"/>
        <v>--</v>
      </c>
      <c r="T38" s="306" t="str">
        <f t="shared" si="7"/>
        <v>--</v>
      </c>
      <c r="U38" s="307" t="str">
        <f t="shared" si="8"/>
        <v>--</v>
      </c>
      <c r="V38" s="308" t="str">
        <f t="shared" si="9"/>
        <v>--</v>
      </c>
      <c r="W38" s="309" t="str">
        <f t="shared" si="10"/>
        <v>--</v>
      </c>
      <c r="X38" s="300">
        <f t="shared" si="11"/>
      </c>
      <c r="Y38" s="310">
        <f t="shared" si="12"/>
      </c>
      <c r="Z38" s="310" t="s">
        <v>126</v>
      </c>
      <c r="AA38" s="310"/>
      <c r="AB38" s="311"/>
    </row>
    <row r="39" spans="2:28" ht="16.5" customHeight="1">
      <c r="B39" s="239"/>
      <c r="C39" s="291"/>
      <c r="D39" s="293"/>
      <c r="E39" s="294"/>
      <c r="F39" s="315"/>
      <c r="G39" s="316"/>
      <c r="H39" s="492">
        <f t="shared" si="14"/>
        <v>0</v>
      </c>
      <c r="I39" s="297"/>
      <c r="J39" s="297"/>
      <c r="K39" s="298">
        <f t="shared" si="0"/>
      </c>
      <c r="L39" s="299">
        <f t="shared" si="1"/>
      </c>
      <c r="M39" s="300"/>
      <c r="N39" s="301">
        <f t="shared" si="15"/>
      </c>
      <c r="O39" s="300">
        <f t="shared" si="2"/>
      </c>
      <c r="P39" s="302" t="str">
        <f t="shared" si="3"/>
        <v>--</v>
      </c>
      <c r="Q39" s="303" t="str">
        <f t="shared" si="4"/>
        <v>--</v>
      </c>
      <c r="R39" s="304" t="str">
        <f t="shared" si="5"/>
        <v>--</v>
      </c>
      <c r="S39" s="305" t="str">
        <f t="shared" si="6"/>
        <v>--</v>
      </c>
      <c r="T39" s="306" t="str">
        <f t="shared" si="7"/>
        <v>--</v>
      </c>
      <c r="U39" s="307" t="str">
        <f t="shared" si="8"/>
        <v>--</v>
      </c>
      <c r="V39" s="308" t="str">
        <f t="shared" si="9"/>
        <v>--</v>
      </c>
      <c r="W39" s="309" t="str">
        <f t="shared" si="10"/>
        <v>--</v>
      </c>
      <c r="X39" s="300">
        <f t="shared" si="11"/>
      </c>
      <c r="Y39" s="310">
        <f t="shared" si="12"/>
      </c>
      <c r="Z39" s="310" t="s">
        <v>126</v>
      </c>
      <c r="AA39" s="310"/>
      <c r="AB39" s="311"/>
    </row>
    <row r="40" spans="2:28" ht="16.5" customHeight="1">
      <c r="B40" s="239"/>
      <c r="C40" s="291"/>
      <c r="D40" s="293"/>
      <c r="E40" s="294"/>
      <c r="F40" s="295"/>
      <c r="G40" s="296"/>
      <c r="H40" s="492">
        <f t="shared" si="14"/>
        <v>0</v>
      </c>
      <c r="I40" s="297"/>
      <c r="J40" s="297"/>
      <c r="K40" s="298">
        <f t="shared" si="0"/>
      </c>
      <c r="L40" s="299">
        <f t="shared" si="1"/>
      </c>
      <c r="M40" s="300"/>
      <c r="N40" s="301">
        <f t="shared" si="15"/>
      </c>
      <c r="O40" s="300">
        <f t="shared" si="2"/>
      </c>
      <c r="P40" s="302" t="str">
        <f t="shared" si="3"/>
        <v>--</v>
      </c>
      <c r="Q40" s="303" t="str">
        <f t="shared" si="4"/>
        <v>--</v>
      </c>
      <c r="R40" s="304" t="str">
        <f t="shared" si="5"/>
        <v>--</v>
      </c>
      <c r="S40" s="305" t="str">
        <f t="shared" si="6"/>
        <v>--</v>
      </c>
      <c r="T40" s="306" t="str">
        <f t="shared" si="7"/>
        <v>--</v>
      </c>
      <c r="U40" s="307" t="str">
        <f t="shared" si="8"/>
        <v>--</v>
      </c>
      <c r="V40" s="308" t="str">
        <f t="shared" si="9"/>
        <v>--</v>
      </c>
      <c r="W40" s="309" t="str">
        <f t="shared" si="10"/>
        <v>--</v>
      </c>
      <c r="X40" s="300">
        <f t="shared" si="11"/>
      </c>
      <c r="Y40" s="310">
        <f t="shared" si="12"/>
      </c>
      <c r="Z40" s="310" t="s">
        <v>126</v>
      </c>
      <c r="AA40" s="310"/>
      <c r="AB40" s="311"/>
    </row>
    <row r="41" spans="2:28" ht="16.5" customHeight="1">
      <c r="B41" s="239"/>
      <c r="C41" s="291"/>
      <c r="D41" s="293"/>
      <c r="E41" s="294"/>
      <c r="F41" s="312"/>
      <c r="G41" s="296"/>
      <c r="H41" s="492">
        <f t="shared" si="14"/>
        <v>0</v>
      </c>
      <c r="I41" s="297"/>
      <c r="J41" s="297"/>
      <c r="K41" s="298">
        <f t="shared" si="0"/>
      </c>
      <c r="L41" s="299">
        <f t="shared" si="1"/>
      </c>
      <c r="M41" s="300"/>
      <c r="N41" s="301">
        <f t="shared" si="15"/>
      </c>
      <c r="O41" s="300">
        <f t="shared" si="2"/>
      </c>
      <c r="P41" s="302" t="str">
        <f t="shared" si="3"/>
        <v>--</v>
      </c>
      <c r="Q41" s="303" t="str">
        <f t="shared" si="4"/>
        <v>--</v>
      </c>
      <c r="R41" s="304" t="str">
        <f t="shared" si="5"/>
        <v>--</v>
      </c>
      <c r="S41" s="305" t="str">
        <f t="shared" si="6"/>
        <v>--</v>
      </c>
      <c r="T41" s="306" t="str">
        <f t="shared" si="7"/>
        <v>--</v>
      </c>
      <c r="U41" s="307" t="str">
        <f t="shared" si="8"/>
        <v>--</v>
      </c>
      <c r="V41" s="308" t="str">
        <f t="shared" si="9"/>
        <v>--</v>
      </c>
      <c r="W41" s="309" t="str">
        <f t="shared" si="10"/>
        <v>--</v>
      </c>
      <c r="X41" s="300">
        <f t="shared" si="11"/>
      </c>
      <c r="Y41" s="310">
        <f t="shared" si="12"/>
      </c>
      <c r="Z41" s="310" t="s">
        <v>126</v>
      </c>
      <c r="AA41" s="310"/>
      <c r="AB41" s="311"/>
    </row>
    <row r="42" spans="2:28" ht="16.5" customHeight="1">
      <c r="B42" s="239"/>
      <c r="C42" s="291"/>
      <c r="D42" s="293"/>
      <c r="E42" s="294"/>
      <c r="F42" s="313"/>
      <c r="G42" s="296"/>
      <c r="H42" s="492">
        <f t="shared" si="14"/>
        <v>0</v>
      </c>
      <c r="I42" s="297"/>
      <c r="J42" s="297"/>
      <c r="K42" s="298">
        <f t="shared" si="0"/>
      </c>
      <c r="L42" s="299">
        <f t="shared" si="1"/>
      </c>
      <c r="M42" s="300"/>
      <c r="N42" s="301">
        <f t="shared" si="15"/>
      </c>
      <c r="O42" s="300">
        <f t="shared" si="2"/>
      </c>
      <c r="P42" s="302" t="str">
        <f t="shared" si="3"/>
        <v>--</v>
      </c>
      <c r="Q42" s="303" t="str">
        <f t="shared" si="4"/>
        <v>--</v>
      </c>
      <c r="R42" s="304" t="str">
        <f t="shared" si="5"/>
        <v>--</v>
      </c>
      <c r="S42" s="305" t="str">
        <f t="shared" si="6"/>
        <v>--</v>
      </c>
      <c r="T42" s="306" t="str">
        <f t="shared" si="7"/>
        <v>--</v>
      </c>
      <c r="U42" s="307" t="str">
        <f t="shared" si="8"/>
        <v>--</v>
      </c>
      <c r="V42" s="308" t="str">
        <f t="shared" si="9"/>
        <v>--</v>
      </c>
      <c r="W42" s="309" t="str">
        <f t="shared" si="10"/>
        <v>--</v>
      </c>
      <c r="X42" s="300">
        <f t="shared" si="11"/>
      </c>
      <c r="Y42" s="310">
        <f t="shared" si="12"/>
      </c>
      <c r="Z42" s="310" t="s">
        <v>126</v>
      </c>
      <c r="AA42" s="310"/>
      <c r="AB42" s="311"/>
    </row>
    <row r="43" spans="2:28" ht="16.5" customHeight="1" thickBot="1">
      <c r="B43" s="239"/>
      <c r="C43" s="317"/>
      <c r="D43" s="318"/>
      <c r="E43" s="319"/>
      <c r="F43" s="318"/>
      <c r="G43" s="320"/>
      <c r="H43" s="321"/>
      <c r="I43" s="322"/>
      <c r="J43" s="322"/>
      <c r="K43" s="323"/>
      <c r="L43" s="323"/>
      <c r="M43" s="322"/>
      <c r="N43" s="324"/>
      <c r="O43" s="322"/>
      <c r="P43" s="325"/>
      <c r="Q43" s="326"/>
      <c r="R43" s="327"/>
      <c r="S43" s="328"/>
      <c r="T43" s="329"/>
      <c r="U43" s="330"/>
      <c r="V43" s="331"/>
      <c r="W43" s="332"/>
      <c r="X43" s="322"/>
      <c r="Y43" s="471"/>
      <c r="Z43" s="471"/>
      <c r="AA43" s="471"/>
      <c r="AB43" s="311"/>
    </row>
    <row r="44" spans="2:28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334">
        <f>ROUND(SUM(Y20:Y43),2)</f>
        <v>65253.46</v>
      </c>
      <c r="Z44" s="334">
        <f>SUM(Z20:Z43)</f>
        <v>32738.176150000003</v>
      </c>
      <c r="AA44" s="334">
        <f>SUM(AA20:AA43)</f>
        <v>14720.477205000001</v>
      </c>
      <c r="AB44" s="311"/>
    </row>
    <row r="45" spans="2:28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8"/>
      <c r="Z45" s="338"/>
      <c r="AA45" s="338"/>
      <c r="AB45" s="339"/>
    </row>
    <row r="46" spans="2:28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2"/>
    </row>
    <row r="47" ht="13.5" thickTop="1"/>
  </sheetData>
  <mergeCells count="3">
    <mergeCell ref="C22:AA22"/>
    <mergeCell ref="J16:L16"/>
    <mergeCell ref="M16:N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AB46"/>
  <sheetViews>
    <sheetView zoomScale="75" zoomScaleNormal="75" workbookViewId="0" topLeftCell="E8">
      <selection activeCell="G16" sqref="G16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+'LI (4)'!B12</f>
        <v>Desde el 01 de noviembre de 1998 al 30 de abril de 1999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470">
        <v>0.21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115" t="s">
        <v>226</v>
      </c>
      <c r="AA19" s="115" t="s">
        <v>127</v>
      </c>
      <c r="AB19" s="278"/>
    </row>
    <row r="20" spans="2:28" ht="16.5" customHeight="1" thickTop="1">
      <c r="B20" s="239"/>
      <c r="C20" s="279"/>
      <c r="D20" s="279" t="s">
        <v>242</v>
      </c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>
        <f>+'TR (2)'!Y44</f>
        <v>65253.46</v>
      </c>
      <c r="Z20" s="148">
        <f>+'TR (2)'!Z44</f>
        <v>32738.176150000003</v>
      </c>
      <c r="AA20" s="148">
        <f>+'TR (2)'!AA44</f>
        <v>14720.477205000001</v>
      </c>
      <c r="AB20" s="54"/>
    </row>
    <row r="21" spans="2:28" ht="16.5" customHeight="1" thickBot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8" s="78" customFormat="1" ht="16.5" customHeight="1" thickBot="1" thickTop="1">
      <c r="B22" s="130"/>
      <c r="C22" s="605" t="s">
        <v>225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187"/>
    </row>
    <row r="23" spans="2:28" ht="16.5" customHeight="1" thickTop="1">
      <c r="B23" s="239"/>
      <c r="C23" s="438">
        <v>14</v>
      </c>
      <c r="D23" s="490" t="s">
        <v>19</v>
      </c>
      <c r="E23" s="294" t="s">
        <v>20</v>
      </c>
      <c r="F23" s="516">
        <v>15</v>
      </c>
      <c r="G23" s="517" t="s">
        <v>13</v>
      </c>
      <c r="H23" s="492">
        <f>F23*$G$16*$M$16</f>
        <v>3.1185</v>
      </c>
      <c r="I23" s="493">
        <v>36100</v>
      </c>
      <c r="J23" s="493">
        <v>36100.43958333333</v>
      </c>
      <c r="K23" s="400">
        <f aca="true" t="shared" si="0" ref="K23:K42">IF(I23="","",(J23-I23)*24)</f>
        <v>10.549999999988358</v>
      </c>
      <c r="L23" s="494">
        <f aca="true" t="shared" si="1" ref="L23:L42">IF(J23="","",ROUND((J23-I23)*24*60,0))</f>
        <v>633</v>
      </c>
      <c r="M23" s="403" t="s">
        <v>121</v>
      </c>
      <c r="N23" s="495" t="str">
        <f aca="true" t="shared" si="2" ref="N23:N42">IF(D23="","","--")</f>
        <v>--</v>
      </c>
      <c r="O23" s="403" t="str">
        <f aca="true" t="shared" si="3" ref="O23:O42">IF(M23="","",IF(OR(M23="P",M23="RP"),"--","NO"))</f>
        <v>--</v>
      </c>
      <c r="P23" s="496">
        <f aca="true" t="shared" si="4" ref="P23:P42">IF(M23="P",H23*$G$17*0.1*ROUND(L23/60,2),"--")</f>
        <v>98.70052500000001</v>
      </c>
      <c r="Q23" s="497" t="str">
        <f aca="true" t="shared" si="5" ref="Q23:Q42">IF(M23="RP",H23*$G$17*0.1*N23/100*ROUND(L23/60,2),"--")</f>
        <v>--</v>
      </c>
      <c r="R23" s="498" t="str">
        <f aca="true" t="shared" si="6" ref="R23:R42">IF(AND(M23="F",O23="NO"),H23*$G$17,"--")</f>
        <v>--</v>
      </c>
      <c r="S23" s="499" t="str">
        <f aca="true" t="shared" si="7" ref="S23:S42">IF(M23="F",H23*$G$17*ROUND(L23/60,2),"--")</f>
        <v>--</v>
      </c>
      <c r="T23" s="500" t="str">
        <f aca="true" t="shared" si="8" ref="T23:T42">IF(AND(M23="R",O23="NO"),H23*$G$17*N23/100,"--")</f>
        <v>--</v>
      </c>
      <c r="U23" s="501" t="str">
        <f aca="true" t="shared" si="9" ref="U23:U42">IF(M23="R",H23*$G$17*N23/100*ROUND(L23/60,2),"--")</f>
        <v>--</v>
      </c>
      <c r="V23" s="502" t="str">
        <f aca="true" t="shared" si="10" ref="V23:V42">IF(M23="RF",H23*$G$17*ROUND(L23/60,2),"--")</f>
        <v>--</v>
      </c>
      <c r="W23" s="503" t="str">
        <f aca="true" t="shared" si="11" ref="W23:W42">IF(M23="RR",H23*$G$17*N23/100*ROUND(L23/60,2),"--")</f>
        <v>--</v>
      </c>
      <c r="X23" s="403" t="str">
        <f aca="true" t="shared" si="12" ref="X23:X42">IF(D23="","","SI")</f>
        <v>SI</v>
      </c>
      <c r="Y23" s="504">
        <f aca="true" t="shared" si="13" ref="Y23:Y42">IF(D23="","",IF(X23="SI",SUM(P23:W23),2*SUM(P23:W23)))</f>
        <v>98.70052500000001</v>
      </c>
      <c r="Z23" s="504">
        <v>76.90950000000001</v>
      </c>
      <c r="AA23" s="504">
        <f>+Y23-Z23</f>
        <v>21.791025000000005</v>
      </c>
      <c r="AB23" s="311"/>
    </row>
    <row r="24" spans="2:28" ht="16.5" customHeight="1">
      <c r="B24" s="239"/>
      <c r="C24" s="291">
        <v>15</v>
      </c>
      <c r="D24" s="293" t="s">
        <v>24</v>
      </c>
      <c r="E24" s="294" t="s">
        <v>14</v>
      </c>
      <c r="F24" s="312">
        <v>15</v>
      </c>
      <c r="G24" s="296" t="s">
        <v>23</v>
      </c>
      <c r="H24" s="492">
        <f aca="true" t="shared" si="14" ref="H24:H42">F24*$G$16*$M$16</f>
        <v>3.1185</v>
      </c>
      <c r="I24" s="297">
        <v>36102.42361111111</v>
      </c>
      <c r="J24" s="297">
        <v>36102.52569444444</v>
      </c>
      <c r="K24" s="298">
        <f t="shared" si="0"/>
        <v>2.449999999953434</v>
      </c>
      <c r="L24" s="299">
        <f t="shared" si="1"/>
        <v>147</v>
      </c>
      <c r="M24" s="300" t="s">
        <v>121</v>
      </c>
      <c r="N24" s="301" t="str">
        <f t="shared" si="2"/>
        <v>--</v>
      </c>
      <c r="O24" s="300" t="str">
        <f t="shared" si="3"/>
        <v>--</v>
      </c>
      <c r="P24" s="302">
        <f t="shared" si="4"/>
        <v>22.920975000000006</v>
      </c>
      <c r="Q24" s="303" t="str">
        <f t="shared" si="5"/>
        <v>--</v>
      </c>
      <c r="R24" s="304" t="str">
        <f t="shared" si="6"/>
        <v>--</v>
      </c>
      <c r="S24" s="305" t="str">
        <f t="shared" si="7"/>
        <v>--</v>
      </c>
      <c r="T24" s="306" t="str">
        <f t="shared" si="8"/>
        <v>--</v>
      </c>
      <c r="U24" s="307" t="str">
        <f t="shared" si="9"/>
        <v>--</v>
      </c>
      <c r="V24" s="308" t="str">
        <f t="shared" si="10"/>
        <v>--</v>
      </c>
      <c r="W24" s="309" t="str">
        <f t="shared" si="11"/>
        <v>--</v>
      </c>
      <c r="X24" s="300" t="str">
        <f t="shared" si="12"/>
        <v>SI</v>
      </c>
      <c r="Y24" s="310">
        <f t="shared" si="13"/>
        <v>22.920975000000006</v>
      </c>
      <c r="Z24" s="310">
        <v>17.860500000000002</v>
      </c>
      <c r="AA24" s="310">
        <f aca="true" t="shared" si="15" ref="AA24:AA37">+Y24-Z24</f>
        <v>5.060475000000004</v>
      </c>
      <c r="AB24" s="311"/>
    </row>
    <row r="25" spans="2:28" ht="16.5" customHeight="1">
      <c r="B25" s="239"/>
      <c r="C25" s="291">
        <v>16</v>
      </c>
      <c r="D25" s="293" t="s">
        <v>27</v>
      </c>
      <c r="E25" s="294" t="s">
        <v>12</v>
      </c>
      <c r="F25" s="313">
        <v>15</v>
      </c>
      <c r="G25" s="296" t="s">
        <v>13</v>
      </c>
      <c r="H25" s="492">
        <f t="shared" si="14"/>
        <v>3.1185</v>
      </c>
      <c r="I25" s="297">
        <v>36103.461805555555</v>
      </c>
      <c r="J25" s="297">
        <v>36103.72152777778</v>
      </c>
      <c r="K25" s="298">
        <f t="shared" si="0"/>
        <v>6.2333333333954215</v>
      </c>
      <c r="L25" s="299">
        <f t="shared" si="1"/>
        <v>374</v>
      </c>
      <c r="M25" s="300" t="s">
        <v>121</v>
      </c>
      <c r="N25" s="301" t="str">
        <f t="shared" si="2"/>
        <v>--</v>
      </c>
      <c r="O25" s="300" t="str">
        <f t="shared" si="3"/>
        <v>--</v>
      </c>
      <c r="P25" s="302">
        <f t="shared" si="4"/>
        <v>58.28476500000001</v>
      </c>
      <c r="Q25" s="303" t="str">
        <f t="shared" si="5"/>
        <v>--</v>
      </c>
      <c r="R25" s="304" t="str">
        <f t="shared" si="6"/>
        <v>--</v>
      </c>
      <c r="S25" s="305" t="str">
        <f t="shared" si="7"/>
        <v>--</v>
      </c>
      <c r="T25" s="306" t="str">
        <f t="shared" si="8"/>
        <v>--</v>
      </c>
      <c r="U25" s="307" t="str">
        <f t="shared" si="9"/>
        <v>--</v>
      </c>
      <c r="V25" s="308" t="str">
        <f t="shared" si="10"/>
        <v>--</v>
      </c>
      <c r="W25" s="309" t="str">
        <f t="shared" si="11"/>
        <v>--</v>
      </c>
      <c r="X25" s="300" t="str">
        <f t="shared" si="12"/>
        <v>SI</v>
      </c>
      <c r="Y25" s="310">
        <f t="shared" si="13"/>
        <v>58.28476500000001</v>
      </c>
      <c r="Z25" s="310">
        <v>45.416700000000006</v>
      </c>
      <c r="AA25" s="310">
        <f t="shared" si="15"/>
        <v>12.868065000000001</v>
      </c>
      <c r="AB25" s="311"/>
    </row>
    <row r="26" spans="2:28" ht="16.5" customHeight="1">
      <c r="B26" s="239"/>
      <c r="C26" s="291">
        <v>17</v>
      </c>
      <c r="D26" s="293" t="s">
        <v>29</v>
      </c>
      <c r="E26" s="294" t="s">
        <v>14</v>
      </c>
      <c r="F26" s="294">
        <v>15</v>
      </c>
      <c r="G26" s="296" t="s">
        <v>13</v>
      </c>
      <c r="H26" s="492">
        <f t="shared" si="14"/>
        <v>3.1185</v>
      </c>
      <c r="I26" s="297">
        <v>36103.50555555556</v>
      </c>
      <c r="J26" s="297">
        <v>36103.61875</v>
      </c>
      <c r="K26" s="298">
        <f t="shared" si="0"/>
        <v>2.71666666661622</v>
      </c>
      <c r="L26" s="299">
        <f t="shared" si="1"/>
        <v>163</v>
      </c>
      <c r="M26" s="300" t="s">
        <v>121</v>
      </c>
      <c r="N26" s="301" t="str">
        <f t="shared" si="2"/>
        <v>--</v>
      </c>
      <c r="O26" s="300" t="str">
        <f t="shared" si="3"/>
        <v>--</v>
      </c>
      <c r="P26" s="302">
        <f t="shared" si="4"/>
        <v>25.446960000000004</v>
      </c>
      <c r="Q26" s="303" t="str">
        <f t="shared" si="5"/>
        <v>--</v>
      </c>
      <c r="R26" s="304" t="str">
        <f t="shared" si="6"/>
        <v>--</v>
      </c>
      <c r="S26" s="305" t="str">
        <f t="shared" si="7"/>
        <v>--</v>
      </c>
      <c r="T26" s="306" t="str">
        <f t="shared" si="8"/>
        <v>--</v>
      </c>
      <c r="U26" s="307" t="str">
        <f t="shared" si="9"/>
        <v>--</v>
      </c>
      <c r="V26" s="308" t="str">
        <f t="shared" si="10"/>
        <v>--</v>
      </c>
      <c r="W26" s="309" t="str">
        <f t="shared" si="11"/>
        <v>--</v>
      </c>
      <c r="X26" s="300" t="str">
        <f t="shared" si="12"/>
        <v>SI</v>
      </c>
      <c r="Y26" s="310">
        <f t="shared" si="13"/>
        <v>25.446960000000004</v>
      </c>
      <c r="Z26" s="310">
        <v>19.828800000000005</v>
      </c>
      <c r="AA26" s="310">
        <f t="shared" si="15"/>
        <v>5.61816</v>
      </c>
      <c r="AB26" s="311"/>
    </row>
    <row r="27" spans="2:28" ht="16.5" customHeight="1">
      <c r="B27" s="239"/>
      <c r="C27" s="291">
        <v>18</v>
      </c>
      <c r="D27" s="293" t="s">
        <v>27</v>
      </c>
      <c r="E27" s="294" t="s">
        <v>14</v>
      </c>
      <c r="F27" s="294">
        <v>15</v>
      </c>
      <c r="G27" s="296" t="s">
        <v>13</v>
      </c>
      <c r="H27" s="492">
        <f t="shared" si="14"/>
        <v>3.1185</v>
      </c>
      <c r="I27" s="297">
        <v>36104.376388888886</v>
      </c>
      <c r="J27" s="297">
        <v>36104.569444444445</v>
      </c>
      <c r="K27" s="298">
        <f t="shared" si="0"/>
        <v>4.633333333418705</v>
      </c>
      <c r="L27" s="299">
        <f t="shared" si="1"/>
        <v>278</v>
      </c>
      <c r="M27" s="300" t="s">
        <v>121</v>
      </c>
      <c r="N27" s="301" t="str">
        <f t="shared" si="2"/>
        <v>--</v>
      </c>
      <c r="O27" s="300" t="str">
        <f t="shared" si="3"/>
        <v>--</v>
      </c>
      <c r="P27" s="302">
        <f t="shared" si="4"/>
        <v>43.315965000000006</v>
      </c>
      <c r="Q27" s="303" t="str">
        <f t="shared" si="5"/>
        <v>--</v>
      </c>
      <c r="R27" s="304" t="str">
        <f t="shared" si="6"/>
        <v>--</v>
      </c>
      <c r="S27" s="305" t="str">
        <f t="shared" si="7"/>
        <v>--</v>
      </c>
      <c r="T27" s="306" t="str">
        <f t="shared" si="8"/>
        <v>--</v>
      </c>
      <c r="U27" s="307" t="str">
        <f t="shared" si="9"/>
        <v>--</v>
      </c>
      <c r="V27" s="308" t="str">
        <f t="shared" si="10"/>
        <v>--</v>
      </c>
      <c r="W27" s="309" t="str">
        <f t="shared" si="11"/>
        <v>--</v>
      </c>
      <c r="X27" s="300" t="str">
        <f t="shared" si="12"/>
        <v>SI</v>
      </c>
      <c r="Y27" s="310">
        <f t="shared" si="13"/>
        <v>43.315965000000006</v>
      </c>
      <c r="Z27" s="310">
        <v>33.752700000000004</v>
      </c>
      <c r="AA27" s="310">
        <f t="shared" si="15"/>
        <v>9.563265000000001</v>
      </c>
      <c r="AB27" s="311"/>
    </row>
    <row r="28" spans="2:28" ht="16.5" customHeight="1">
      <c r="B28" s="239"/>
      <c r="C28" s="291">
        <v>19</v>
      </c>
      <c r="D28" s="293" t="s">
        <v>21</v>
      </c>
      <c r="E28" s="294" t="s">
        <v>12</v>
      </c>
      <c r="F28" s="294">
        <v>30</v>
      </c>
      <c r="G28" s="296" t="s">
        <v>18</v>
      </c>
      <c r="H28" s="492">
        <f t="shared" si="14"/>
        <v>6.237</v>
      </c>
      <c r="I28" s="297">
        <v>36105.425</v>
      </c>
      <c r="J28" s="297">
        <v>36105.55486111111</v>
      </c>
      <c r="K28" s="298">
        <f t="shared" si="0"/>
        <v>3.1166666665230878</v>
      </c>
      <c r="L28" s="299">
        <f t="shared" si="1"/>
        <v>187</v>
      </c>
      <c r="M28" s="300" t="s">
        <v>121</v>
      </c>
      <c r="N28" s="301" t="str">
        <f t="shared" si="2"/>
        <v>--</v>
      </c>
      <c r="O28" s="300" t="str">
        <f t="shared" si="3"/>
        <v>--</v>
      </c>
      <c r="P28" s="302">
        <f t="shared" si="4"/>
        <v>58.37832000000001</v>
      </c>
      <c r="Q28" s="303" t="str">
        <f t="shared" si="5"/>
        <v>--</v>
      </c>
      <c r="R28" s="304" t="str">
        <f t="shared" si="6"/>
        <v>--</v>
      </c>
      <c r="S28" s="305" t="str">
        <f t="shared" si="7"/>
        <v>--</v>
      </c>
      <c r="T28" s="306" t="str">
        <f t="shared" si="8"/>
        <v>--</v>
      </c>
      <c r="U28" s="307" t="str">
        <f t="shared" si="9"/>
        <v>--</v>
      </c>
      <c r="V28" s="308" t="str">
        <f t="shared" si="10"/>
        <v>--</v>
      </c>
      <c r="W28" s="309" t="str">
        <f t="shared" si="11"/>
        <v>--</v>
      </c>
      <c r="X28" s="300" t="str">
        <f t="shared" si="12"/>
        <v>SI</v>
      </c>
      <c r="Y28" s="310">
        <f t="shared" si="13"/>
        <v>58.37832000000001</v>
      </c>
      <c r="Z28" s="310">
        <v>45.48960000000001</v>
      </c>
      <c r="AA28" s="310">
        <f t="shared" si="15"/>
        <v>12.88872</v>
      </c>
      <c r="AB28" s="311"/>
    </row>
    <row r="29" spans="2:28" ht="16.5" customHeight="1">
      <c r="B29" s="239"/>
      <c r="C29" s="291">
        <v>20</v>
      </c>
      <c r="D29" s="314" t="s">
        <v>30</v>
      </c>
      <c r="E29" s="294" t="s">
        <v>12</v>
      </c>
      <c r="F29" s="313">
        <v>30</v>
      </c>
      <c r="G29" s="296" t="s">
        <v>18</v>
      </c>
      <c r="H29" s="492">
        <f t="shared" si="14"/>
        <v>6.237</v>
      </c>
      <c r="I29" s="297">
        <v>36106.67152777778</v>
      </c>
      <c r="J29" s="297">
        <v>36106.69097222222</v>
      </c>
      <c r="K29" s="298">
        <f t="shared" si="0"/>
        <v>0.46666666661622</v>
      </c>
      <c r="L29" s="299">
        <f t="shared" si="1"/>
        <v>28</v>
      </c>
      <c r="M29" s="300" t="s">
        <v>123</v>
      </c>
      <c r="N29" s="301">
        <v>50</v>
      </c>
      <c r="O29" s="300" t="str">
        <f t="shared" si="3"/>
        <v>NO</v>
      </c>
      <c r="P29" s="302" t="str">
        <f t="shared" si="4"/>
        <v>--</v>
      </c>
      <c r="Q29" s="303" t="str">
        <f t="shared" si="5"/>
        <v>--</v>
      </c>
      <c r="R29" s="304" t="str">
        <f t="shared" si="6"/>
        <v>--</v>
      </c>
      <c r="S29" s="305" t="str">
        <f t="shared" si="7"/>
        <v>--</v>
      </c>
      <c r="T29" s="306">
        <f t="shared" si="8"/>
        <v>93.555</v>
      </c>
      <c r="U29" s="307">
        <f t="shared" si="9"/>
        <v>43.97085</v>
      </c>
      <c r="V29" s="308" t="str">
        <f t="shared" si="10"/>
        <v>--</v>
      </c>
      <c r="W29" s="309" t="str">
        <f t="shared" si="11"/>
        <v>--</v>
      </c>
      <c r="X29" s="300" t="str">
        <f t="shared" si="12"/>
        <v>SI</v>
      </c>
      <c r="Y29" s="310">
        <f t="shared" si="13"/>
        <v>137.52585</v>
      </c>
      <c r="Z29" s="310">
        <v>107.16300000000001</v>
      </c>
      <c r="AA29" s="310">
        <f t="shared" si="15"/>
        <v>30.36284999999998</v>
      </c>
      <c r="AB29" s="311"/>
    </row>
    <row r="30" spans="2:28" ht="16.5" customHeight="1">
      <c r="B30" s="239"/>
      <c r="C30" s="291">
        <v>21</v>
      </c>
      <c r="D30" s="293" t="s">
        <v>21</v>
      </c>
      <c r="E30" s="294" t="s">
        <v>12</v>
      </c>
      <c r="F30" s="315">
        <v>30</v>
      </c>
      <c r="G30" s="316" t="s">
        <v>18</v>
      </c>
      <c r="H30" s="492">
        <f t="shared" si="14"/>
        <v>6.237</v>
      </c>
      <c r="I30" s="297">
        <v>36107.30347222222</v>
      </c>
      <c r="J30" s="297">
        <v>36107.69305555556</v>
      </c>
      <c r="K30" s="298">
        <f t="shared" si="0"/>
        <v>9.350000000093132</v>
      </c>
      <c r="L30" s="299">
        <f t="shared" si="1"/>
        <v>561</v>
      </c>
      <c r="M30" s="300" t="s">
        <v>121</v>
      </c>
      <c r="N30" s="301" t="str">
        <f t="shared" si="2"/>
        <v>--</v>
      </c>
      <c r="O30" s="300" t="str">
        <f t="shared" si="3"/>
        <v>--</v>
      </c>
      <c r="P30" s="302">
        <f t="shared" si="4"/>
        <v>174.94785000000002</v>
      </c>
      <c r="Q30" s="303" t="str">
        <f t="shared" si="5"/>
        <v>--</v>
      </c>
      <c r="R30" s="304" t="str">
        <f t="shared" si="6"/>
        <v>--</v>
      </c>
      <c r="S30" s="305" t="str">
        <f t="shared" si="7"/>
        <v>--</v>
      </c>
      <c r="T30" s="306" t="str">
        <f t="shared" si="8"/>
        <v>--</v>
      </c>
      <c r="U30" s="307" t="str">
        <f t="shared" si="9"/>
        <v>--</v>
      </c>
      <c r="V30" s="308" t="str">
        <f t="shared" si="10"/>
        <v>--</v>
      </c>
      <c r="W30" s="309" t="str">
        <f t="shared" si="11"/>
        <v>--</v>
      </c>
      <c r="X30" s="300" t="str">
        <f t="shared" si="12"/>
        <v>SI</v>
      </c>
      <c r="Y30" s="310">
        <f t="shared" si="13"/>
        <v>174.94785000000002</v>
      </c>
      <c r="Z30" s="310">
        <v>136.323</v>
      </c>
      <c r="AA30" s="310">
        <f t="shared" si="15"/>
        <v>38.62485000000001</v>
      </c>
      <c r="AB30" s="311"/>
    </row>
    <row r="31" spans="2:28" ht="16.5" customHeight="1">
      <c r="B31" s="239"/>
      <c r="C31" s="291">
        <v>22</v>
      </c>
      <c r="D31" s="293" t="s">
        <v>31</v>
      </c>
      <c r="E31" s="294" t="s">
        <v>20</v>
      </c>
      <c r="F31" s="315">
        <v>15</v>
      </c>
      <c r="G31" s="316" t="s">
        <v>23</v>
      </c>
      <c r="H31" s="492">
        <f t="shared" si="14"/>
        <v>3.1185</v>
      </c>
      <c r="I31" s="297">
        <v>36109.42222222222</v>
      </c>
      <c r="J31" s="297">
        <v>36109.4875</v>
      </c>
      <c r="K31" s="298">
        <f t="shared" si="0"/>
        <v>1.5666666667093523</v>
      </c>
      <c r="L31" s="299">
        <f t="shared" si="1"/>
        <v>94</v>
      </c>
      <c r="M31" s="300" t="s">
        <v>121</v>
      </c>
      <c r="N31" s="301" t="str">
        <f t="shared" si="2"/>
        <v>--</v>
      </c>
      <c r="O31" s="300" t="str">
        <f t="shared" si="3"/>
        <v>--</v>
      </c>
      <c r="P31" s="302">
        <f t="shared" si="4"/>
        <v>14.688135000000003</v>
      </c>
      <c r="Q31" s="303" t="str">
        <f t="shared" si="5"/>
        <v>--</v>
      </c>
      <c r="R31" s="304" t="str">
        <f t="shared" si="6"/>
        <v>--</v>
      </c>
      <c r="S31" s="305" t="str">
        <f t="shared" si="7"/>
        <v>--</v>
      </c>
      <c r="T31" s="306" t="str">
        <f t="shared" si="8"/>
        <v>--</v>
      </c>
      <c r="U31" s="307" t="str">
        <f t="shared" si="9"/>
        <v>--</v>
      </c>
      <c r="V31" s="308" t="str">
        <f t="shared" si="10"/>
        <v>--</v>
      </c>
      <c r="W31" s="309" t="str">
        <f t="shared" si="11"/>
        <v>--</v>
      </c>
      <c r="X31" s="300" t="str">
        <f t="shared" si="12"/>
        <v>SI</v>
      </c>
      <c r="Y31" s="310">
        <f t="shared" si="13"/>
        <v>14.688135000000003</v>
      </c>
      <c r="Z31" s="310">
        <v>11.445300000000001</v>
      </c>
      <c r="AA31" s="310">
        <f t="shared" si="15"/>
        <v>3.2428350000000012</v>
      </c>
      <c r="AB31" s="311"/>
    </row>
    <row r="32" spans="2:28" ht="16.5" customHeight="1">
      <c r="B32" s="239"/>
      <c r="C32" s="291">
        <v>23</v>
      </c>
      <c r="D32" s="293" t="s">
        <v>27</v>
      </c>
      <c r="E32" s="294" t="s">
        <v>22</v>
      </c>
      <c r="F32" s="315">
        <v>30</v>
      </c>
      <c r="G32" s="316" t="s">
        <v>13</v>
      </c>
      <c r="H32" s="492">
        <f t="shared" si="14"/>
        <v>6.237</v>
      </c>
      <c r="I32" s="297">
        <v>36117.49930555555</v>
      </c>
      <c r="J32" s="297">
        <v>36117.575</v>
      </c>
      <c r="K32" s="298">
        <f t="shared" si="0"/>
        <v>1.8166666666511446</v>
      </c>
      <c r="L32" s="299">
        <f t="shared" si="1"/>
        <v>109</v>
      </c>
      <c r="M32" s="300" t="s">
        <v>121</v>
      </c>
      <c r="N32" s="301" t="str">
        <f t="shared" si="2"/>
        <v>--</v>
      </c>
      <c r="O32" s="300" t="str">
        <f t="shared" si="3"/>
        <v>--</v>
      </c>
      <c r="P32" s="302">
        <f t="shared" si="4"/>
        <v>34.05402000000001</v>
      </c>
      <c r="Q32" s="303" t="str">
        <f t="shared" si="5"/>
        <v>--</v>
      </c>
      <c r="R32" s="304" t="str">
        <f t="shared" si="6"/>
        <v>--</v>
      </c>
      <c r="S32" s="305" t="str">
        <f t="shared" si="7"/>
        <v>--</v>
      </c>
      <c r="T32" s="306" t="str">
        <f t="shared" si="8"/>
        <v>--</v>
      </c>
      <c r="U32" s="307" t="str">
        <f t="shared" si="9"/>
        <v>--</v>
      </c>
      <c r="V32" s="308" t="str">
        <f t="shared" si="10"/>
        <v>--</v>
      </c>
      <c r="W32" s="309" t="str">
        <f t="shared" si="11"/>
        <v>--</v>
      </c>
      <c r="X32" s="300" t="str">
        <f t="shared" si="12"/>
        <v>SI</v>
      </c>
      <c r="Y32" s="310">
        <f t="shared" si="13"/>
        <v>34.05402000000001</v>
      </c>
      <c r="Z32" s="310">
        <v>26.535600000000006</v>
      </c>
      <c r="AA32" s="310">
        <f t="shared" si="15"/>
        <v>7.5184200000000025</v>
      </c>
      <c r="AB32" s="311"/>
    </row>
    <row r="33" spans="2:28" ht="16.5" customHeight="1">
      <c r="B33" s="239"/>
      <c r="C33" s="291">
        <v>24</v>
      </c>
      <c r="D33" s="293" t="s">
        <v>27</v>
      </c>
      <c r="E33" s="294" t="s">
        <v>28</v>
      </c>
      <c r="F33" s="315">
        <v>30</v>
      </c>
      <c r="G33" s="316" t="s">
        <v>26</v>
      </c>
      <c r="H33" s="492">
        <f t="shared" si="14"/>
        <v>6.237</v>
      </c>
      <c r="I33" s="297">
        <v>36118.38333333333</v>
      </c>
      <c r="J33" s="297">
        <v>36118.520833333336</v>
      </c>
      <c r="K33" s="298">
        <f t="shared" si="0"/>
        <v>3.300000000104774</v>
      </c>
      <c r="L33" s="299">
        <f t="shared" si="1"/>
        <v>198</v>
      </c>
      <c r="M33" s="300" t="s">
        <v>121</v>
      </c>
      <c r="N33" s="301" t="str">
        <f t="shared" si="2"/>
        <v>--</v>
      </c>
      <c r="O33" s="300" t="str">
        <f t="shared" si="3"/>
        <v>--</v>
      </c>
      <c r="P33" s="302">
        <f t="shared" si="4"/>
        <v>61.746300000000005</v>
      </c>
      <c r="Q33" s="303" t="str">
        <f t="shared" si="5"/>
        <v>--</v>
      </c>
      <c r="R33" s="304" t="str">
        <f t="shared" si="6"/>
        <v>--</v>
      </c>
      <c r="S33" s="305" t="str">
        <f t="shared" si="7"/>
        <v>--</v>
      </c>
      <c r="T33" s="306" t="str">
        <f t="shared" si="8"/>
        <v>--</v>
      </c>
      <c r="U33" s="307" t="str">
        <f t="shared" si="9"/>
        <v>--</v>
      </c>
      <c r="V33" s="308" t="str">
        <f t="shared" si="10"/>
        <v>--</v>
      </c>
      <c r="W33" s="309" t="str">
        <f t="shared" si="11"/>
        <v>--</v>
      </c>
      <c r="X33" s="300" t="str">
        <f t="shared" si="12"/>
        <v>SI</v>
      </c>
      <c r="Y33" s="310">
        <f t="shared" si="13"/>
        <v>61.746300000000005</v>
      </c>
      <c r="Z33" s="310">
        <v>48.114000000000004</v>
      </c>
      <c r="AA33" s="310">
        <f t="shared" si="15"/>
        <v>13.6323</v>
      </c>
      <c r="AB33" s="311"/>
    </row>
    <row r="34" spans="2:28" ht="16.5" customHeight="1">
      <c r="B34" s="239"/>
      <c r="C34" s="291">
        <v>25</v>
      </c>
      <c r="D34" s="293" t="s">
        <v>17</v>
      </c>
      <c r="E34" s="294" t="s">
        <v>12</v>
      </c>
      <c r="F34" s="315">
        <v>20</v>
      </c>
      <c r="G34" s="316" t="s">
        <v>18</v>
      </c>
      <c r="H34" s="492">
        <f t="shared" si="14"/>
        <v>4.158</v>
      </c>
      <c r="I34" s="297">
        <v>36122.42986111111</v>
      </c>
      <c r="J34" s="297">
        <v>36122.55694444444</v>
      </c>
      <c r="K34" s="298">
        <f t="shared" si="0"/>
        <v>3.0499999999883585</v>
      </c>
      <c r="L34" s="299">
        <f t="shared" si="1"/>
        <v>183</v>
      </c>
      <c r="M34" s="300" t="s">
        <v>121</v>
      </c>
      <c r="N34" s="301" t="str">
        <f t="shared" si="2"/>
        <v>--</v>
      </c>
      <c r="O34" s="300" t="str">
        <f t="shared" si="3"/>
        <v>--</v>
      </c>
      <c r="P34" s="302">
        <f t="shared" si="4"/>
        <v>38.045700000000004</v>
      </c>
      <c r="Q34" s="303" t="str">
        <f t="shared" si="5"/>
        <v>--</v>
      </c>
      <c r="R34" s="304" t="str">
        <f t="shared" si="6"/>
        <v>--</v>
      </c>
      <c r="S34" s="305" t="str">
        <f t="shared" si="7"/>
        <v>--</v>
      </c>
      <c r="T34" s="306" t="str">
        <f t="shared" si="8"/>
        <v>--</v>
      </c>
      <c r="U34" s="307" t="str">
        <f t="shared" si="9"/>
        <v>--</v>
      </c>
      <c r="V34" s="308" t="str">
        <f t="shared" si="10"/>
        <v>--</v>
      </c>
      <c r="W34" s="309" t="str">
        <f t="shared" si="11"/>
        <v>--</v>
      </c>
      <c r="X34" s="300" t="str">
        <f t="shared" si="12"/>
        <v>SI</v>
      </c>
      <c r="Y34" s="310">
        <f t="shared" si="13"/>
        <v>38.045700000000004</v>
      </c>
      <c r="Z34" s="310">
        <v>29.646</v>
      </c>
      <c r="AA34" s="310">
        <f t="shared" si="15"/>
        <v>8.399700000000003</v>
      </c>
      <c r="AB34" s="311"/>
    </row>
    <row r="35" spans="2:28" ht="16.5" customHeight="1">
      <c r="B35" s="239"/>
      <c r="C35" s="291">
        <v>26</v>
      </c>
      <c r="D35" s="293" t="s">
        <v>21</v>
      </c>
      <c r="E35" s="294" t="s">
        <v>14</v>
      </c>
      <c r="F35" s="315">
        <v>30</v>
      </c>
      <c r="G35" s="316" t="s">
        <v>18</v>
      </c>
      <c r="H35" s="492">
        <f t="shared" si="14"/>
        <v>6.237</v>
      </c>
      <c r="I35" s="297">
        <v>36124.44513888889</v>
      </c>
      <c r="J35" s="297">
        <v>36124.53888888889</v>
      </c>
      <c r="K35" s="298">
        <f t="shared" si="0"/>
        <v>2.25</v>
      </c>
      <c r="L35" s="299">
        <f t="shared" si="1"/>
        <v>135</v>
      </c>
      <c r="M35" s="300" t="s">
        <v>121</v>
      </c>
      <c r="N35" s="301" t="str">
        <f t="shared" si="2"/>
        <v>--</v>
      </c>
      <c r="O35" s="300" t="str">
        <f t="shared" si="3"/>
        <v>--</v>
      </c>
      <c r="P35" s="302">
        <f t="shared" si="4"/>
        <v>42.09975000000001</v>
      </c>
      <c r="Q35" s="303" t="str">
        <f t="shared" si="5"/>
        <v>--</v>
      </c>
      <c r="R35" s="304" t="str">
        <f t="shared" si="6"/>
        <v>--</v>
      </c>
      <c r="S35" s="305" t="str">
        <f t="shared" si="7"/>
        <v>--</v>
      </c>
      <c r="T35" s="306" t="str">
        <f t="shared" si="8"/>
        <v>--</v>
      </c>
      <c r="U35" s="307" t="str">
        <f t="shared" si="9"/>
        <v>--</v>
      </c>
      <c r="V35" s="308" t="str">
        <f t="shared" si="10"/>
        <v>--</v>
      </c>
      <c r="W35" s="309" t="str">
        <f t="shared" si="11"/>
        <v>--</v>
      </c>
      <c r="X35" s="300" t="str">
        <f t="shared" si="12"/>
        <v>SI</v>
      </c>
      <c r="Y35" s="310">
        <f t="shared" si="13"/>
        <v>42.09975000000001</v>
      </c>
      <c r="Z35" s="310">
        <v>32.805</v>
      </c>
      <c r="AA35" s="310">
        <f t="shared" si="15"/>
        <v>9.294750000000008</v>
      </c>
      <c r="AB35" s="311"/>
    </row>
    <row r="36" spans="2:28" ht="16.5" customHeight="1">
      <c r="B36" s="239"/>
      <c r="C36" s="291">
        <v>27</v>
      </c>
      <c r="D36" s="293" t="s">
        <v>15</v>
      </c>
      <c r="E36" s="294" t="s">
        <v>16</v>
      </c>
      <c r="F36" s="315">
        <v>15</v>
      </c>
      <c r="G36" s="316" t="s">
        <v>13</v>
      </c>
      <c r="H36" s="492">
        <f t="shared" si="14"/>
        <v>3.1185</v>
      </c>
      <c r="I36" s="297">
        <v>36128.30347222222</v>
      </c>
      <c r="J36" s="297">
        <v>36128.45277777778</v>
      </c>
      <c r="K36" s="298">
        <f t="shared" si="0"/>
        <v>3.583333333313931</v>
      </c>
      <c r="L36" s="299">
        <f t="shared" si="1"/>
        <v>215</v>
      </c>
      <c r="M36" s="300" t="s">
        <v>121</v>
      </c>
      <c r="N36" s="301" t="str">
        <f t="shared" si="2"/>
        <v>--</v>
      </c>
      <c r="O36" s="300" t="str">
        <f t="shared" si="3"/>
        <v>--</v>
      </c>
      <c r="P36" s="302">
        <f t="shared" si="4"/>
        <v>33.49269</v>
      </c>
      <c r="Q36" s="303" t="str">
        <f t="shared" si="5"/>
        <v>--</v>
      </c>
      <c r="R36" s="304" t="str">
        <f t="shared" si="6"/>
        <v>--</v>
      </c>
      <c r="S36" s="305" t="str">
        <f t="shared" si="7"/>
        <v>--</v>
      </c>
      <c r="T36" s="306" t="str">
        <f t="shared" si="8"/>
        <v>--</v>
      </c>
      <c r="U36" s="307" t="str">
        <f t="shared" si="9"/>
        <v>--</v>
      </c>
      <c r="V36" s="308" t="str">
        <f t="shared" si="10"/>
        <v>--</v>
      </c>
      <c r="W36" s="309" t="str">
        <f t="shared" si="11"/>
        <v>--</v>
      </c>
      <c r="X36" s="300" t="str">
        <f t="shared" si="12"/>
        <v>SI</v>
      </c>
      <c r="Y36" s="310">
        <f t="shared" si="13"/>
        <v>33.49269</v>
      </c>
      <c r="Z36" s="310">
        <v>26.098200000000002</v>
      </c>
      <c r="AA36" s="310">
        <f t="shared" si="15"/>
        <v>7.394490000000001</v>
      </c>
      <c r="AB36" s="311"/>
    </row>
    <row r="37" spans="2:28" ht="16.5" customHeight="1">
      <c r="B37" s="239"/>
      <c r="C37" s="291">
        <v>28</v>
      </c>
      <c r="D37" s="293" t="s">
        <v>17</v>
      </c>
      <c r="E37" s="294" t="s">
        <v>12</v>
      </c>
      <c r="F37" s="315">
        <v>20</v>
      </c>
      <c r="G37" s="316" t="s">
        <v>18</v>
      </c>
      <c r="H37" s="492">
        <f t="shared" si="14"/>
        <v>4.158</v>
      </c>
      <c r="I37" s="297">
        <v>36129.42569444444</v>
      </c>
      <c r="J37" s="297">
        <v>36129.48819444444</v>
      </c>
      <c r="K37" s="298">
        <f t="shared" si="0"/>
        <v>1.5</v>
      </c>
      <c r="L37" s="299">
        <f t="shared" si="1"/>
        <v>90</v>
      </c>
      <c r="M37" s="300" t="s">
        <v>121</v>
      </c>
      <c r="N37" s="301" t="str">
        <f t="shared" si="2"/>
        <v>--</v>
      </c>
      <c r="O37" s="300" t="str">
        <f t="shared" si="3"/>
        <v>--</v>
      </c>
      <c r="P37" s="302">
        <f t="shared" si="4"/>
        <v>18.711000000000002</v>
      </c>
      <c r="Q37" s="303" t="str">
        <f t="shared" si="5"/>
        <v>--</v>
      </c>
      <c r="R37" s="304" t="str">
        <f t="shared" si="6"/>
        <v>--</v>
      </c>
      <c r="S37" s="305" t="str">
        <f t="shared" si="7"/>
        <v>--</v>
      </c>
      <c r="T37" s="306" t="str">
        <f t="shared" si="8"/>
        <v>--</v>
      </c>
      <c r="U37" s="307" t="str">
        <f t="shared" si="9"/>
        <v>--</v>
      </c>
      <c r="V37" s="308" t="str">
        <f t="shared" si="10"/>
        <v>--</v>
      </c>
      <c r="W37" s="309" t="str">
        <f t="shared" si="11"/>
        <v>--</v>
      </c>
      <c r="X37" s="300" t="str">
        <f t="shared" si="12"/>
        <v>SI</v>
      </c>
      <c r="Y37" s="310">
        <f t="shared" si="13"/>
        <v>18.711000000000002</v>
      </c>
      <c r="Z37" s="310">
        <v>14.58</v>
      </c>
      <c r="AA37" s="310">
        <f t="shared" si="15"/>
        <v>4.131000000000002</v>
      </c>
      <c r="AB37" s="311"/>
    </row>
    <row r="38" spans="2:28" ht="16.5" customHeight="1">
      <c r="B38" s="239"/>
      <c r="C38" s="291"/>
      <c r="D38" s="293"/>
      <c r="E38" s="294"/>
      <c r="F38" s="315"/>
      <c r="G38" s="316"/>
      <c r="H38" s="492">
        <f t="shared" si="14"/>
        <v>0</v>
      </c>
      <c r="I38" s="297"/>
      <c r="J38" s="297"/>
      <c r="K38" s="298">
        <f t="shared" si="0"/>
      </c>
      <c r="L38" s="299">
        <f t="shared" si="1"/>
      </c>
      <c r="M38" s="300"/>
      <c r="N38" s="301">
        <f t="shared" si="2"/>
      </c>
      <c r="O38" s="300">
        <f t="shared" si="3"/>
      </c>
      <c r="P38" s="302" t="str">
        <f t="shared" si="4"/>
        <v>--</v>
      </c>
      <c r="Q38" s="303" t="str">
        <f t="shared" si="5"/>
        <v>--</v>
      </c>
      <c r="R38" s="304" t="str">
        <f t="shared" si="6"/>
        <v>--</v>
      </c>
      <c r="S38" s="305" t="str">
        <f t="shared" si="7"/>
        <v>--</v>
      </c>
      <c r="T38" s="306" t="str">
        <f t="shared" si="8"/>
        <v>--</v>
      </c>
      <c r="U38" s="307" t="str">
        <f t="shared" si="9"/>
        <v>--</v>
      </c>
      <c r="V38" s="308" t="str">
        <f t="shared" si="10"/>
        <v>--</v>
      </c>
      <c r="W38" s="309" t="str">
        <f t="shared" si="11"/>
        <v>--</v>
      </c>
      <c r="X38" s="300">
        <f t="shared" si="12"/>
      </c>
      <c r="Y38" s="310">
        <f t="shared" si="13"/>
      </c>
      <c r="Z38" s="310" t="s">
        <v>126</v>
      </c>
      <c r="AA38" s="310"/>
      <c r="AB38" s="311"/>
    </row>
    <row r="39" spans="2:28" ht="16.5" customHeight="1">
      <c r="B39" s="239"/>
      <c r="C39" s="291"/>
      <c r="D39" s="293"/>
      <c r="E39" s="294"/>
      <c r="F39" s="315"/>
      <c r="G39" s="316"/>
      <c r="H39" s="492">
        <f t="shared" si="14"/>
        <v>0</v>
      </c>
      <c r="I39" s="297"/>
      <c r="J39" s="297"/>
      <c r="K39" s="298">
        <f t="shared" si="0"/>
      </c>
      <c r="L39" s="299">
        <f t="shared" si="1"/>
      </c>
      <c r="M39" s="300"/>
      <c r="N39" s="301">
        <f t="shared" si="2"/>
      </c>
      <c r="O39" s="300">
        <f t="shared" si="3"/>
      </c>
      <c r="P39" s="302" t="str">
        <f t="shared" si="4"/>
        <v>--</v>
      </c>
      <c r="Q39" s="303" t="str">
        <f t="shared" si="5"/>
        <v>--</v>
      </c>
      <c r="R39" s="304" t="str">
        <f t="shared" si="6"/>
        <v>--</v>
      </c>
      <c r="S39" s="305" t="str">
        <f t="shared" si="7"/>
        <v>--</v>
      </c>
      <c r="T39" s="306" t="str">
        <f t="shared" si="8"/>
        <v>--</v>
      </c>
      <c r="U39" s="307" t="str">
        <f t="shared" si="9"/>
        <v>--</v>
      </c>
      <c r="V39" s="308" t="str">
        <f t="shared" si="10"/>
        <v>--</v>
      </c>
      <c r="W39" s="309" t="str">
        <f t="shared" si="11"/>
        <v>--</v>
      </c>
      <c r="X39" s="300">
        <f t="shared" si="12"/>
      </c>
      <c r="Y39" s="310">
        <f t="shared" si="13"/>
      </c>
      <c r="Z39" s="310" t="s">
        <v>126</v>
      </c>
      <c r="AA39" s="310"/>
      <c r="AB39" s="311"/>
    </row>
    <row r="40" spans="2:28" ht="16.5" customHeight="1">
      <c r="B40" s="239"/>
      <c r="C40" s="291"/>
      <c r="D40" s="293"/>
      <c r="E40" s="294"/>
      <c r="F40" s="295"/>
      <c r="G40" s="296"/>
      <c r="H40" s="492">
        <f t="shared" si="14"/>
        <v>0</v>
      </c>
      <c r="I40" s="297"/>
      <c r="J40" s="297"/>
      <c r="K40" s="298">
        <f t="shared" si="0"/>
      </c>
      <c r="L40" s="299">
        <f t="shared" si="1"/>
      </c>
      <c r="M40" s="300"/>
      <c r="N40" s="301">
        <f t="shared" si="2"/>
      </c>
      <c r="O40" s="300">
        <f t="shared" si="3"/>
      </c>
      <c r="P40" s="302" t="str">
        <f t="shared" si="4"/>
        <v>--</v>
      </c>
      <c r="Q40" s="303" t="str">
        <f t="shared" si="5"/>
        <v>--</v>
      </c>
      <c r="R40" s="304" t="str">
        <f t="shared" si="6"/>
        <v>--</v>
      </c>
      <c r="S40" s="305" t="str">
        <f t="shared" si="7"/>
        <v>--</v>
      </c>
      <c r="T40" s="306" t="str">
        <f t="shared" si="8"/>
        <v>--</v>
      </c>
      <c r="U40" s="307" t="str">
        <f t="shared" si="9"/>
        <v>--</v>
      </c>
      <c r="V40" s="308" t="str">
        <f t="shared" si="10"/>
        <v>--</v>
      </c>
      <c r="W40" s="309" t="str">
        <f t="shared" si="11"/>
        <v>--</v>
      </c>
      <c r="X40" s="300">
        <f t="shared" si="12"/>
      </c>
      <c r="Y40" s="310">
        <f t="shared" si="13"/>
      </c>
      <c r="Z40" s="310" t="s">
        <v>126</v>
      </c>
      <c r="AA40" s="310"/>
      <c r="AB40" s="311"/>
    </row>
    <row r="41" spans="2:28" ht="16.5" customHeight="1">
      <c r="B41" s="239"/>
      <c r="C41" s="291"/>
      <c r="D41" s="293"/>
      <c r="E41" s="294"/>
      <c r="F41" s="312"/>
      <c r="G41" s="296"/>
      <c r="H41" s="492">
        <f t="shared" si="14"/>
        <v>0</v>
      </c>
      <c r="I41" s="297"/>
      <c r="J41" s="297"/>
      <c r="K41" s="298">
        <f t="shared" si="0"/>
      </c>
      <c r="L41" s="299">
        <f t="shared" si="1"/>
      </c>
      <c r="M41" s="300"/>
      <c r="N41" s="301">
        <f t="shared" si="2"/>
      </c>
      <c r="O41" s="300">
        <f t="shared" si="3"/>
      </c>
      <c r="P41" s="302" t="str">
        <f t="shared" si="4"/>
        <v>--</v>
      </c>
      <c r="Q41" s="303" t="str">
        <f t="shared" si="5"/>
        <v>--</v>
      </c>
      <c r="R41" s="304" t="str">
        <f t="shared" si="6"/>
        <v>--</v>
      </c>
      <c r="S41" s="305" t="str">
        <f t="shared" si="7"/>
        <v>--</v>
      </c>
      <c r="T41" s="306" t="str">
        <f t="shared" si="8"/>
        <v>--</v>
      </c>
      <c r="U41" s="307" t="str">
        <f t="shared" si="9"/>
        <v>--</v>
      </c>
      <c r="V41" s="308" t="str">
        <f t="shared" si="10"/>
        <v>--</v>
      </c>
      <c r="W41" s="309" t="str">
        <f t="shared" si="11"/>
        <v>--</v>
      </c>
      <c r="X41" s="300">
        <f t="shared" si="12"/>
      </c>
      <c r="Y41" s="310">
        <f t="shared" si="13"/>
      </c>
      <c r="Z41" s="310" t="s">
        <v>126</v>
      </c>
      <c r="AA41" s="310"/>
      <c r="AB41" s="311"/>
    </row>
    <row r="42" spans="2:28" ht="16.5" customHeight="1">
      <c r="B42" s="239"/>
      <c r="C42" s="291"/>
      <c r="D42" s="293"/>
      <c r="E42" s="294"/>
      <c r="F42" s="313"/>
      <c r="G42" s="296"/>
      <c r="H42" s="492">
        <f t="shared" si="14"/>
        <v>0</v>
      </c>
      <c r="I42" s="297"/>
      <c r="J42" s="297"/>
      <c r="K42" s="298">
        <f t="shared" si="0"/>
      </c>
      <c r="L42" s="299">
        <f t="shared" si="1"/>
      </c>
      <c r="M42" s="300"/>
      <c r="N42" s="301">
        <f t="shared" si="2"/>
      </c>
      <c r="O42" s="300">
        <f t="shared" si="3"/>
      </c>
      <c r="P42" s="302" t="str">
        <f t="shared" si="4"/>
        <v>--</v>
      </c>
      <c r="Q42" s="303" t="str">
        <f t="shared" si="5"/>
        <v>--</v>
      </c>
      <c r="R42" s="304" t="str">
        <f t="shared" si="6"/>
        <v>--</v>
      </c>
      <c r="S42" s="305" t="str">
        <f t="shared" si="7"/>
        <v>--</v>
      </c>
      <c r="T42" s="306" t="str">
        <f t="shared" si="8"/>
        <v>--</v>
      </c>
      <c r="U42" s="307" t="str">
        <f t="shared" si="9"/>
        <v>--</v>
      </c>
      <c r="V42" s="308" t="str">
        <f t="shared" si="10"/>
        <v>--</v>
      </c>
      <c r="W42" s="309" t="str">
        <f t="shared" si="11"/>
        <v>--</v>
      </c>
      <c r="X42" s="300">
        <f t="shared" si="12"/>
      </c>
      <c r="Y42" s="310">
        <f t="shared" si="13"/>
      </c>
      <c r="Z42" s="310" t="s">
        <v>126</v>
      </c>
      <c r="AA42" s="310"/>
      <c r="AB42" s="311"/>
    </row>
    <row r="43" spans="2:28" ht="16.5" customHeight="1" thickBot="1">
      <c r="B43" s="239"/>
      <c r="C43" s="317"/>
      <c r="D43" s="318"/>
      <c r="E43" s="319"/>
      <c r="F43" s="318"/>
      <c r="G43" s="320"/>
      <c r="H43" s="321"/>
      <c r="I43" s="322"/>
      <c r="J43" s="322"/>
      <c r="K43" s="323"/>
      <c r="L43" s="323"/>
      <c r="M43" s="322"/>
      <c r="N43" s="324"/>
      <c r="O43" s="322"/>
      <c r="P43" s="325"/>
      <c r="Q43" s="326"/>
      <c r="R43" s="327"/>
      <c r="S43" s="328"/>
      <c r="T43" s="329"/>
      <c r="U43" s="330"/>
      <c r="V43" s="331"/>
      <c r="W43" s="332"/>
      <c r="X43" s="322"/>
      <c r="Y43" s="471"/>
      <c r="Z43" s="471"/>
      <c r="AA43" s="471"/>
      <c r="AB43" s="311"/>
    </row>
    <row r="44" spans="2:28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334">
        <f>ROUND(SUM(Y20:Y43),2)</f>
        <v>66115.82</v>
      </c>
      <c r="Z44" s="334">
        <f>ROUND(SUM(Z20:Z43),2)</f>
        <v>33410.14</v>
      </c>
      <c r="AA44" s="334">
        <f>ROUND(SUM(AA20:AA43),2)</f>
        <v>14910.87</v>
      </c>
      <c r="AB44" s="311"/>
    </row>
    <row r="45" spans="2:28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8"/>
      <c r="Z45" s="338"/>
      <c r="AA45" s="338"/>
      <c r="AB45" s="339"/>
    </row>
    <row r="46" spans="2:28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2"/>
    </row>
    <row r="47" ht="13.5" thickTop="1"/>
  </sheetData>
  <mergeCells count="3">
    <mergeCell ref="C22:AA22"/>
    <mergeCell ref="J16:L16"/>
    <mergeCell ref="M16:N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1">
    <pageSetUpPr fitToPage="1"/>
  </sheetPr>
  <dimension ref="A1:AB48"/>
  <sheetViews>
    <sheetView zoomScale="75" zoomScaleNormal="75" workbookViewId="0" topLeftCell="C12">
      <selection activeCell="G16" sqref="G16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+'LI (4)'!B12</f>
        <v>Desde el 01 de noviembre de 1998 al 30 de abril de 1999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470">
        <v>0.21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115" t="s">
        <v>226</v>
      </c>
      <c r="AA19" s="115" t="s">
        <v>127</v>
      </c>
      <c r="AB19" s="278"/>
    </row>
    <row r="20" spans="2:28" ht="16.5" customHeight="1" thickTop="1">
      <c r="B20" s="239"/>
      <c r="C20" s="279"/>
      <c r="D20" s="279" t="s">
        <v>243</v>
      </c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>
        <f>+'TR (3)'!Y44</f>
        <v>66115.82</v>
      </c>
      <c r="Z20" s="148">
        <f>+'TR (3)'!Z44</f>
        <v>33410.14</v>
      </c>
      <c r="AA20" s="148">
        <f>+'TR (3)'!AA44</f>
        <v>14910.87</v>
      </c>
      <c r="AB20" s="54"/>
    </row>
    <row r="21" spans="2:28" ht="16.5" customHeight="1" thickBot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8" s="78" customFormat="1" ht="16.5" customHeight="1" thickBot="1" thickTop="1">
      <c r="B22" s="130"/>
      <c r="C22" s="605" t="s">
        <v>224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187"/>
    </row>
    <row r="23" spans="2:28" ht="16.5" customHeight="1" thickTop="1">
      <c r="B23" s="239"/>
      <c r="C23" s="438">
        <v>20</v>
      </c>
      <c r="D23" s="490" t="s">
        <v>21</v>
      </c>
      <c r="E23" s="294" t="s">
        <v>14</v>
      </c>
      <c r="F23" s="516">
        <v>30</v>
      </c>
      <c r="G23" s="517" t="s">
        <v>13</v>
      </c>
      <c r="H23" s="492">
        <f>F23*$G$16*$M$16</f>
        <v>6.237</v>
      </c>
      <c r="I23" s="493">
        <v>36139.42638888889</v>
      </c>
      <c r="J23" s="493">
        <v>36139.48611111111</v>
      </c>
      <c r="K23" s="400">
        <f aca="true" t="shared" si="0" ref="K23:K44">IF(I23="","",(J23-I23)*24)</f>
        <v>1.4333333332906477</v>
      </c>
      <c r="L23" s="494">
        <f aca="true" t="shared" si="1" ref="L23:L44">IF(J23="","",ROUND((J23-I23)*24*60,0))</f>
        <v>86</v>
      </c>
      <c r="M23" s="403" t="s">
        <v>121</v>
      </c>
      <c r="N23" s="495" t="str">
        <f aca="true" t="shared" si="2" ref="N23:N44">IF(D23="","","--")</f>
        <v>--</v>
      </c>
      <c r="O23" s="403" t="str">
        <f aca="true" t="shared" si="3" ref="O23:O44">IF(M23="","",IF(OR(M23="P",M23="RP"),"--","NO"))</f>
        <v>--</v>
      </c>
      <c r="P23" s="496">
        <f aca="true" t="shared" si="4" ref="P23:P44">IF(M23="P",H23*$G$17*0.1*ROUND(L23/60,2),"--")</f>
        <v>26.75673</v>
      </c>
      <c r="Q23" s="497" t="str">
        <f aca="true" t="shared" si="5" ref="Q23:Q44">IF(M23="RP",H23*$G$17*0.1*N23/100*ROUND(L23/60,2),"--")</f>
        <v>--</v>
      </c>
      <c r="R23" s="498" t="str">
        <f aca="true" t="shared" si="6" ref="R23:R44">IF(AND(M23="F",O23="NO"),H23*$G$17,"--")</f>
        <v>--</v>
      </c>
      <c r="S23" s="499" t="str">
        <f aca="true" t="shared" si="7" ref="S23:S44">IF(M23="F",H23*$G$17*ROUND(L23/60,2),"--")</f>
        <v>--</v>
      </c>
      <c r="T23" s="500" t="str">
        <f aca="true" t="shared" si="8" ref="T23:T44">IF(AND(M23="R",O23="NO"),H23*$G$17*N23/100,"--")</f>
        <v>--</v>
      </c>
      <c r="U23" s="501" t="str">
        <f aca="true" t="shared" si="9" ref="U23:U44">IF(M23="R",H23*$G$17*N23/100*ROUND(L23/60,2),"--")</f>
        <v>--</v>
      </c>
      <c r="V23" s="502" t="str">
        <f aca="true" t="shared" si="10" ref="V23:V44">IF(M23="RF",H23*$G$17*ROUND(L23/60,2),"--")</f>
        <v>--</v>
      </c>
      <c r="W23" s="503" t="str">
        <f aca="true" t="shared" si="11" ref="W23:W44">IF(M23="RR",H23*$G$17*N23/100*ROUND(L23/60,2),"--")</f>
        <v>--</v>
      </c>
      <c r="X23" s="403" t="str">
        <f aca="true" t="shared" si="12" ref="X23:X44">IF(D23="","","SI")</f>
        <v>SI</v>
      </c>
      <c r="Y23" s="504">
        <f aca="true" t="shared" si="13" ref="Y23:Y44">IF(D23="","",IF(X23="SI",SUM(P23:W23),2*SUM(P23:W23)))</f>
        <v>26.75673</v>
      </c>
      <c r="Z23" s="504">
        <v>20.849400000000003</v>
      </c>
      <c r="AA23" s="504">
        <f>+Y23-Z23</f>
        <v>5.907329999999998</v>
      </c>
      <c r="AB23" s="311"/>
    </row>
    <row r="24" spans="2:28" ht="16.5" customHeight="1">
      <c r="B24" s="239"/>
      <c r="C24" s="291">
        <v>21</v>
      </c>
      <c r="D24" s="293" t="s">
        <v>31</v>
      </c>
      <c r="E24" s="294" t="s">
        <v>20</v>
      </c>
      <c r="F24" s="312">
        <v>15</v>
      </c>
      <c r="G24" s="296" t="s">
        <v>23</v>
      </c>
      <c r="H24" s="492">
        <f aca="true" t="shared" si="14" ref="H24:H30">F24*$G$16*$M$16</f>
        <v>3.1185</v>
      </c>
      <c r="I24" s="297">
        <v>36140.444444444445</v>
      </c>
      <c r="J24" s="297">
        <v>36140.50277777778</v>
      </c>
      <c r="K24" s="298">
        <f t="shared" si="0"/>
        <v>1.400000000023283</v>
      </c>
      <c r="L24" s="299">
        <f t="shared" si="1"/>
        <v>84</v>
      </c>
      <c r="M24" s="300" t="s">
        <v>121</v>
      </c>
      <c r="N24" s="301" t="str">
        <f t="shared" si="2"/>
        <v>--</v>
      </c>
      <c r="O24" s="300" t="str">
        <f t="shared" si="3"/>
        <v>--</v>
      </c>
      <c r="P24" s="302">
        <f t="shared" si="4"/>
        <v>13.097700000000001</v>
      </c>
      <c r="Q24" s="303" t="str">
        <f t="shared" si="5"/>
        <v>--</v>
      </c>
      <c r="R24" s="304" t="str">
        <f t="shared" si="6"/>
        <v>--</v>
      </c>
      <c r="S24" s="305" t="str">
        <f t="shared" si="7"/>
        <v>--</v>
      </c>
      <c r="T24" s="306" t="str">
        <f t="shared" si="8"/>
        <v>--</v>
      </c>
      <c r="U24" s="307" t="str">
        <f t="shared" si="9"/>
        <v>--</v>
      </c>
      <c r="V24" s="308" t="str">
        <f t="shared" si="10"/>
        <v>--</v>
      </c>
      <c r="W24" s="309" t="str">
        <f t="shared" si="11"/>
        <v>--</v>
      </c>
      <c r="X24" s="300" t="str">
        <f t="shared" si="12"/>
        <v>SI</v>
      </c>
      <c r="Y24" s="310">
        <f t="shared" si="13"/>
        <v>13.097700000000001</v>
      </c>
      <c r="Z24" s="310">
        <v>10.206000000000001</v>
      </c>
      <c r="AA24" s="310">
        <f aca="true" t="shared" si="15" ref="AA24:AA29">+Y24-Z24</f>
        <v>2.8917</v>
      </c>
      <c r="AB24" s="311"/>
    </row>
    <row r="25" spans="2:28" ht="16.5" customHeight="1">
      <c r="B25" s="239"/>
      <c r="C25" s="291">
        <v>22</v>
      </c>
      <c r="D25" s="293" t="s">
        <v>27</v>
      </c>
      <c r="E25" s="294" t="s">
        <v>22</v>
      </c>
      <c r="F25" s="313">
        <v>30</v>
      </c>
      <c r="G25" s="296" t="s">
        <v>13</v>
      </c>
      <c r="H25" s="492">
        <f t="shared" si="14"/>
        <v>6.237</v>
      </c>
      <c r="I25" s="297">
        <v>36146.36319444444</v>
      </c>
      <c r="J25" s="297">
        <v>36146.46388888889</v>
      </c>
      <c r="K25" s="298">
        <f t="shared" si="0"/>
        <v>2.416666666686069</v>
      </c>
      <c r="L25" s="299">
        <f t="shared" si="1"/>
        <v>145</v>
      </c>
      <c r="M25" s="300" t="s">
        <v>121</v>
      </c>
      <c r="N25" s="301" t="str">
        <f t="shared" si="2"/>
        <v>--</v>
      </c>
      <c r="O25" s="300" t="str">
        <f t="shared" si="3"/>
        <v>--</v>
      </c>
      <c r="P25" s="302">
        <f t="shared" si="4"/>
        <v>45.280620000000006</v>
      </c>
      <c r="Q25" s="303" t="str">
        <f t="shared" si="5"/>
        <v>--</v>
      </c>
      <c r="R25" s="304" t="str">
        <f t="shared" si="6"/>
        <v>--</v>
      </c>
      <c r="S25" s="305" t="str">
        <f t="shared" si="7"/>
        <v>--</v>
      </c>
      <c r="T25" s="306" t="str">
        <f t="shared" si="8"/>
        <v>--</v>
      </c>
      <c r="U25" s="307" t="str">
        <f t="shared" si="9"/>
        <v>--</v>
      </c>
      <c r="V25" s="308" t="str">
        <f t="shared" si="10"/>
        <v>--</v>
      </c>
      <c r="W25" s="309" t="str">
        <f t="shared" si="11"/>
        <v>--</v>
      </c>
      <c r="X25" s="300" t="str">
        <f t="shared" si="12"/>
        <v>SI</v>
      </c>
      <c r="Y25" s="310">
        <f t="shared" si="13"/>
        <v>45.280620000000006</v>
      </c>
      <c r="Z25" s="310">
        <v>35.28360000000001</v>
      </c>
      <c r="AA25" s="310">
        <f t="shared" si="15"/>
        <v>9.99702</v>
      </c>
      <c r="AB25" s="311"/>
    </row>
    <row r="26" spans="2:28" ht="16.5" customHeight="1">
      <c r="B26" s="239"/>
      <c r="C26" s="291">
        <v>23</v>
      </c>
      <c r="D26" s="293" t="s">
        <v>27</v>
      </c>
      <c r="E26" s="294" t="s">
        <v>28</v>
      </c>
      <c r="F26" s="294">
        <v>30</v>
      </c>
      <c r="G26" s="296" t="s">
        <v>13</v>
      </c>
      <c r="H26" s="492">
        <f t="shared" si="14"/>
        <v>6.237</v>
      </c>
      <c r="I26" s="297">
        <v>36146.51736111111</v>
      </c>
      <c r="J26" s="297">
        <v>36146.59097222222</v>
      </c>
      <c r="K26" s="298">
        <f t="shared" si="0"/>
        <v>1.7666666666627862</v>
      </c>
      <c r="L26" s="299">
        <f t="shared" si="1"/>
        <v>106</v>
      </c>
      <c r="M26" s="300" t="s">
        <v>121</v>
      </c>
      <c r="N26" s="301" t="str">
        <f t="shared" si="2"/>
        <v>--</v>
      </c>
      <c r="O26" s="300" t="str">
        <f t="shared" si="3"/>
        <v>--</v>
      </c>
      <c r="P26" s="302">
        <f t="shared" si="4"/>
        <v>33.11847</v>
      </c>
      <c r="Q26" s="303" t="str">
        <f t="shared" si="5"/>
        <v>--</v>
      </c>
      <c r="R26" s="304" t="str">
        <f t="shared" si="6"/>
        <v>--</v>
      </c>
      <c r="S26" s="305" t="str">
        <f t="shared" si="7"/>
        <v>--</v>
      </c>
      <c r="T26" s="306" t="str">
        <f t="shared" si="8"/>
        <v>--</v>
      </c>
      <c r="U26" s="307" t="str">
        <f t="shared" si="9"/>
        <v>--</v>
      </c>
      <c r="V26" s="308" t="str">
        <f t="shared" si="10"/>
        <v>--</v>
      </c>
      <c r="W26" s="309" t="str">
        <f t="shared" si="11"/>
        <v>--</v>
      </c>
      <c r="X26" s="300" t="str">
        <f t="shared" si="12"/>
        <v>SI</v>
      </c>
      <c r="Y26" s="310">
        <f t="shared" si="13"/>
        <v>33.11847</v>
      </c>
      <c r="Z26" s="310">
        <v>25.806600000000003</v>
      </c>
      <c r="AA26" s="310">
        <f t="shared" si="15"/>
        <v>7.311869999999999</v>
      </c>
      <c r="AB26" s="311"/>
    </row>
    <row r="27" spans="2:28" ht="16.5" customHeight="1">
      <c r="B27" s="239"/>
      <c r="C27" s="291">
        <v>24</v>
      </c>
      <c r="D27" s="293" t="s">
        <v>135</v>
      </c>
      <c r="E27" s="294" t="s">
        <v>12</v>
      </c>
      <c r="F27" s="294">
        <v>30</v>
      </c>
      <c r="G27" s="296" t="s">
        <v>13</v>
      </c>
      <c r="H27" s="492">
        <f t="shared" si="14"/>
        <v>6.237</v>
      </c>
      <c r="I27" s="297">
        <v>36150.33541666667</v>
      </c>
      <c r="J27" s="297">
        <v>36150.56805555556</v>
      </c>
      <c r="K27" s="298">
        <f t="shared" si="0"/>
        <v>5.583333333372138</v>
      </c>
      <c r="L27" s="299">
        <f t="shared" si="1"/>
        <v>335</v>
      </c>
      <c r="M27" s="300" t="s">
        <v>121</v>
      </c>
      <c r="N27" s="301" t="str">
        <f t="shared" si="2"/>
        <v>--</v>
      </c>
      <c r="O27" s="300" t="str">
        <f t="shared" si="3"/>
        <v>--</v>
      </c>
      <c r="P27" s="302">
        <f t="shared" si="4"/>
        <v>104.40738000000002</v>
      </c>
      <c r="Q27" s="303" t="str">
        <f t="shared" si="5"/>
        <v>--</v>
      </c>
      <c r="R27" s="304" t="str">
        <f t="shared" si="6"/>
        <v>--</v>
      </c>
      <c r="S27" s="305" t="str">
        <f t="shared" si="7"/>
        <v>--</v>
      </c>
      <c r="T27" s="306" t="str">
        <f t="shared" si="8"/>
        <v>--</v>
      </c>
      <c r="U27" s="307" t="str">
        <f t="shared" si="9"/>
        <v>--</v>
      </c>
      <c r="V27" s="308" t="str">
        <f t="shared" si="10"/>
        <v>--</v>
      </c>
      <c r="W27" s="309" t="str">
        <f t="shared" si="11"/>
        <v>--</v>
      </c>
      <c r="X27" s="300" t="str">
        <f t="shared" si="12"/>
        <v>SI</v>
      </c>
      <c r="Y27" s="310">
        <f t="shared" si="13"/>
        <v>104.40738000000002</v>
      </c>
      <c r="Z27" s="310">
        <v>81.35640000000001</v>
      </c>
      <c r="AA27" s="310">
        <f t="shared" si="15"/>
        <v>23.05098000000001</v>
      </c>
      <c r="AB27" s="311"/>
    </row>
    <row r="28" spans="2:28" ht="16.5" customHeight="1">
      <c r="B28" s="239"/>
      <c r="C28" s="291">
        <v>25</v>
      </c>
      <c r="D28" s="293" t="s">
        <v>135</v>
      </c>
      <c r="E28" s="294" t="s">
        <v>14</v>
      </c>
      <c r="F28" s="294">
        <v>30</v>
      </c>
      <c r="G28" s="296" t="s">
        <v>13</v>
      </c>
      <c r="H28" s="492">
        <f t="shared" si="14"/>
        <v>6.237</v>
      </c>
      <c r="I28" s="297">
        <v>36151.342361111114</v>
      </c>
      <c r="J28" s="297">
        <v>36151.53680555556</v>
      </c>
      <c r="K28" s="298">
        <f t="shared" si="0"/>
        <v>4.666666666686069</v>
      </c>
      <c r="L28" s="299">
        <f t="shared" si="1"/>
        <v>280</v>
      </c>
      <c r="M28" s="300" t="s">
        <v>121</v>
      </c>
      <c r="N28" s="301" t="str">
        <f t="shared" si="2"/>
        <v>--</v>
      </c>
      <c r="O28" s="300" t="str">
        <f t="shared" si="3"/>
        <v>--</v>
      </c>
      <c r="P28" s="302">
        <f t="shared" si="4"/>
        <v>87.38037000000001</v>
      </c>
      <c r="Q28" s="303" t="str">
        <f t="shared" si="5"/>
        <v>--</v>
      </c>
      <c r="R28" s="304" t="str">
        <f t="shared" si="6"/>
        <v>--</v>
      </c>
      <c r="S28" s="305" t="str">
        <f t="shared" si="7"/>
        <v>--</v>
      </c>
      <c r="T28" s="306" t="str">
        <f t="shared" si="8"/>
        <v>--</v>
      </c>
      <c r="U28" s="307" t="str">
        <f t="shared" si="9"/>
        <v>--</v>
      </c>
      <c r="V28" s="308" t="str">
        <f t="shared" si="10"/>
        <v>--</v>
      </c>
      <c r="W28" s="309" t="str">
        <f t="shared" si="11"/>
        <v>--</v>
      </c>
      <c r="X28" s="300" t="str">
        <f t="shared" si="12"/>
        <v>SI</v>
      </c>
      <c r="Y28" s="310">
        <f t="shared" si="13"/>
        <v>87.38037000000001</v>
      </c>
      <c r="Z28" s="310">
        <v>68.08860000000001</v>
      </c>
      <c r="AA28" s="310">
        <f t="shared" si="15"/>
        <v>19.29177</v>
      </c>
      <c r="AB28" s="311"/>
    </row>
    <row r="29" spans="2:28" ht="16.5" customHeight="1">
      <c r="B29" s="239"/>
      <c r="C29" s="291">
        <v>26</v>
      </c>
      <c r="D29" s="314" t="s">
        <v>31</v>
      </c>
      <c r="E29" s="294" t="s">
        <v>20</v>
      </c>
      <c r="F29" s="313">
        <v>15</v>
      </c>
      <c r="G29" s="296" t="s">
        <v>23</v>
      </c>
      <c r="H29" s="492">
        <f t="shared" si="14"/>
        <v>3.1185</v>
      </c>
      <c r="I29" s="297">
        <v>36157.42083333333</v>
      </c>
      <c r="J29" s="297">
        <v>36157.49930555555</v>
      </c>
      <c r="K29" s="298">
        <f t="shared" si="0"/>
        <v>1.883333333360497</v>
      </c>
      <c r="L29" s="299">
        <f t="shared" si="1"/>
        <v>113</v>
      </c>
      <c r="M29" s="300" t="s">
        <v>121</v>
      </c>
      <c r="N29" s="301" t="str">
        <f t="shared" si="2"/>
        <v>--</v>
      </c>
      <c r="O29" s="300" t="str">
        <f t="shared" si="3"/>
        <v>--</v>
      </c>
      <c r="P29" s="302">
        <f t="shared" si="4"/>
        <v>17.588340000000002</v>
      </c>
      <c r="Q29" s="303" t="str">
        <f t="shared" si="5"/>
        <v>--</v>
      </c>
      <c r="R29" s="304" t="str">
        <f t="shared" si="6"/>
        <v>--</v>
      </c>
      <c r="S29" s="305" t="str">
        <f t="shared" si="7"/>
        <v>--</v>
      </c>
      <c r="T29" s="306" t="str">
        <f t="shared" si="8"/>
        <v>--</v>
      </c>
      <c r="U29" s="307" t="str">
        <f t="shared" si="9"/>
        <v>--</v>
      </c>
      <c r="V29" s="308" t="str">
        <f t="shared" si="10"/>
        <v>--</v>
      </c>
      <c r="W29" s="309" t="str">
        <f t="shared" si="11"/>
        <v>--</v>
      </c>
      <c r="X29" s="300" t="str">
        <f t="shared" si="12"/>
        <v>SI</v>
      </c>
      <c r="Y29" s="310">
        <f t="shared" si="13"/>
        <v>17.588340000000002</v>
      </c>
      <c r="Z29" s="310">
        <v>13.705200000000001</v>
      </c>
      <c r="AA29" s="310">
        <f t="shared" si="15"/>
        <v>3.883140000000001</v>
      </c>
      <c r="AB29" s="311"/>
    </row>
    <row r="30" spans="2:28" ht="16.5" customHeight="1" thickBot="1">
      <c r="B30" s="239"/>
      <c r="C30" s="473"/>
      <c r="D30" s="293"/>
      <c r="E30" s="475"/>
      <c r="F30" s="315"/>
      <c r="G30" s="296"/>
      <c r="H30" s="492">
        <f t="shared" si="14"/>
        <v>0</v>
      </c>
      <c r="I30" s="476"/>
      <c r="J30" s="476"/>
      <c r="K30" s="477">
        <f t="shared" si="0"/>
      </c>
      <c r="L30" s="478">
        <f t="shared" si="1"/>
      </c>
      <c r="M30" s="479"/>
      <c r="N30" s="480">
        <f t="shared" si="2"/>
      </c>
      <c r="O30" s="479">
        <f t="shared" si="3"/>
      </c>
      <c r="P30" s="481" t="str">
        <f t="shared" si="4"/>
        <v>--</v>
      </c>
      <c r="Q30" s="482" t="str">
        <f t="shared" si="5"/>
        <v>--</v>
      </c>
      <c r="R30" s="483" t="str">
        <f t="shared" si="6"/>
        <v>--</v>
      </c>
      <c r="S30" s="484" t="str">
        <f t="shared" si="7"/>
        <v>--</v>
      </c>
      <c r="T30" s="485" t="str">
        <f t="shared" si="8"/>
        <v>--</v>
      </c>
      <c r="U30" s="486" t="str">
        <f t="shared" si="9"/>
        <v>--</v>
      </c>
      <c r="V30" s="487" t="str">
        <f t="shared" si="10"/>
        <v>--</v>
      </c>
      <c r="W30" s="488" t="str">
        <f t="shared" si="11"/>
        <v>--</v>
      </c>
      <c r="X30" s="479">
        <f t="shared" si="12"/>
      </c>
      <c r="Y30" s="489">
        <f t="shared" si="13"/>
      </c>
      <c r="Z30" s="489" t="s">
        <v>126</v>
      </c>
      <c r="AA30" s="489"/>
      <c r="AB30" s="311"/>
    </row>
    <row r="31" spans="2:28" s="78" customFormat="1" ht="16.5" customHeight="1" thickBot="1" thickTop="1">
      <c r="B31" s="130"/>
      <c r="C31" s="605" t="s">
        <v>228</v>
      </c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6"/>
      <c r="AB31" s="187"/>
    </row>
    <row r="32" spans="2:28" ht="16.5" customHeight="1" thickTop="1">
      <c r="B32" s="239"/>
      <c r="C32" s="438">
        <v>17</v>
      </c>
      <c r="D32" s="490" t="s">
        <v>148</v>
      </c>
      <c r="E32" s="294" t="s">
        <v>20</v>
      </c>
      <c r="F32" s="475">
        <v>15</v>
      </c>
      <c r="G32" s="491" t="s">
        <v>13</v>
      </c>
      <c r="H32" s="492">
        <f aca="true" t="shared" si="16" ref="H32:H38">F32*$G$16*$M$16</f>
        <v>3.1185</v>
      </c>
      <c r="I32" s="493">
        <v>36165.36111111111</v>
      </c>
      <c r="J32" s="493">
        <v>36165.58125</v>
      </c>
      <c r="K32" s="400">
        <f t="shared" si="0"/>
        <v>5.283333333441988</v>
      </c>
      <c r="L32" s="494">
        <f t="shared" si="1"/>
        <v>317</v>
      </c>
      <c r="M32" s="403" t="s">
        <v>121</v>
      </c>
      <c r="N32" s="495" t="str">
        <f t="shared" si="2"/>
        <v>--</v>
      </c>
      <c r="O32" s="403" t="str">
        <f t="shared" si="3"/>
        <v>--</v>
      </c>
      <c r="P32" s="496">
        <f t="shared" si="4"/>
        <v>49.39704000000001</v>
      </c>
      <c r="Q32" s="497" t="str">
        <f t="shared" si="5"/>
        <v>--</v>
      </c>
      <c r="R32" s="498" t="str">
        <f t="shared" si="6"/>
        <v>--</v>
      </c>
      <c r="S32" s="499" t="str">
        <f t="shared" si="7"/>
        <v>--</v>
      </c>
      <c r="T32" s="500" t="str">
        <f t="shared" si="8"/>
        <v>--</v>
      </c>
      <c r="U32" s="501" t="str">
        <f t="shared" si="9"/>
        <v>--</v>
      </c>
      <c r="V32" s="502" t="str">
        <f t="shared" si="10"/>
        <v>--</v>
      </c>
      <c r="W32" s="503" t="str">
        <f t="shared" si="11"/>
        <v>--</v>
      </c>
      <c r="X32" s="403" t="str">
        <f t="shared" si="12"/>
        <v>SI</v>
      </c>
      <c r="Y32" s="504">
        <f t="shared" si="13"/>
        <v>49.39704000000001</v>
      </c>
      <c r="Z32" s="504">
        <v>38.491200000000006</v>
      </c>
      <c r="AA32" s="504">
        <f aca="true" t="shared" si="17" ref="AA32:AA37">+Y32-Z32</f>
        <v>10.905840000000005</v>
      </c>
      <c r="AB32" s="311"/>
    </row>
    <row r="33" spans="2:28" ht="16.5" customHeight="1">
      <c r="B33" s="239"/>
      <c r="C33" s="291">
        <v>18</v>
      </c>
      <c r="D33" s="293" t="s">
        <v>135</v>
      </c>
      <c r="E33" s="294" t="s">
        <v>12</v>
      </c>
      <c r="F33" s="315">
        <v>30</v>
      </c>
      <c r="G33" s="316" t="s">
        <v>13</v>
      </c>
      <c r="H33" s="492">
        <f t="shared" si="16"/>
        <v>6.237</v>
      </c>
      <c r="I33" s="297">
        <v>36166.53402777778</v>
      </c>
      <c r="J33" s="297">
        <v>36166.58819444444</v>
      </c>
      <c r="K33" s="298">
        <f t="shared" si="0"/>
        <v>1.2999999998719431</v>
      </c>
      <c r="L33" s="299">
        <f t="shared" si="1"/>
        <v>78</v>
      </c>
      <c r="M33" s="300" t="s">
        <v>121</v>
      </c>
      <c r="N33" s="301" t="str">
        <f t="shared" si="2"/>
        <v>--</v>
      </c>
      <c r="O33" s="300" t="str">
        <f t="shared" si="3"/>
        <v>--</v>
      </c>
      <c r="P33" s="302">
        <f t="shared" si="4"/>
        <v>24.324300000000004</v>
      </c>
      <c r="Q33" s="303" t="str">
        <f t="shared" si="5"/>
        <v>--</v>
      </c>
      <c r="R33" s="304" t="str">
        <f t="shared" si="6"/>
        <v>--</v>
      </c>
      <c r="S33" s="305" t="str">
        <f t="shared" si="7"/>
        <v>--</v>
      </c>
      <c r="T33" s="306" t="str">
        <f t="shared" si="8"/>
        <v>--</v>
      </c>
      <c r="U33" s="307" t="str">
        <f t="shared" si="9"/>
        <v>--</v>
      </c>
      <c r="V33" s="308" t="str">
        <f t="shared" si="10"/>
        <v>--</v>
      </c>
      <c r="W33" s="309" t="str">
        <f t="shared" si="11"/>
        <v>--</v>
      </c>
      <c r="X33" s="300" t="str">
        <f t="shared" si="12"/>
        <v>SI</v>
      </c>
      <c r="Y33" s="310">
        <f t="shared" si="13"/>
        <v>24.324300000000004</v>
      </c>
      <c r="Z33" s="310">
        <v>18.954000000000004</v>
      </c>
      <c r="AA33" s="310">
        <f t="shared" si="17"/>
        <v>5.3703</v>
      </c>
      <c r="AB33" s="311"/>
    </row>
    <row r="34" spans="2:28" ht="16.5" customHeight="1">
      <c r="B34" s="239"/>
      <c r="C34" s="291">
        <v>19</v>
      </c>
      <c r="D34" s="293" t="s">
        <v>31</v>
      </c>
      <c r="E34" s="294" t="s">
        <v>20</v>
      </c>
      <c r="F34" s="315">
        <v>15</v>
      </c>
      <c r="G34" s="316" t="s">
        <v>23</v>
      </c>
      <c r="H34" s="492">
        <f t="shared" si="16"/>
        <v>3.1185</v>
      </c>
      <c r="I34" s="297">
        <v>36168.424305555556</v>
      </c>
      <c r="J34" s="297">
        <v>36168.53472222222</v>
      </c>
      <c r="K34" s="298">
        <f t="shared" si="0"/>
        <v>2.6499999999068677</v>
      </c>
      <c r="L34" s="299">
        <f t="shared" si="1"/>
        <v>159</v>
      </c>
      <c r="M34" s="300" t="s">
        <v>121</v>
      </c>
      <c r="N34" s="301" t="str">
        <f t="shared" si="2"/>
        <v>--</v>
      </c>
      <c r="O34" s="300" t="str">
        <f t="shared" si="3"/>
        <v>--</v>
      </c>
      <c r="P34" s="302">
        <f t="shared" si="4"/>
        <v>24.792075</v>
      </c>
      <c r="Q34" s="303" t="str">
        <f t="shared" si="5"/>
        <v>--</v>
      </c>
      <c r="R34" s="304" t="str">
        <f t="shared" si="6"/>
        <v>--</v>
      </c>
      <c r="S34" s="305" t="str">
        <f t="shared" si="7"/>
        <v>--</v>
      </c>
      <c r="T34" s="306" t="str">
        <f t="shared" si="8"/>
        <v>--</v>
      </c>
      <c r="U34" s="307" t="str">
        <f t="shared" si="9"/>
        <v>--</v>
      </c>
      <c r="V34" s="308" t="str">
        <f t="shared" si="10"/>
        <v>--</v>
      </c>
      <c r="W34" s="309" t="str">
        <f t="shared" si="11"/>
        <v>--</v>
      </c>
      <c r="X34" s="300" t="str">
        <f t="shared" si="12"/>
        <v>SI</v>
      </c>
      <c r="Y34" s="310">
        <f t="shared" si="13"/>
        <v>24.792075</v>
      </c>
      <c r="Z34" s="310">
        <v>19.3185</v>
      </c>
      <c r="AA34" s="310">
        <f t="shared" si="17"/>
        <v>5.473575</v>
      </c>
      <c r="AB34" s="311"/>
    </row>
    <row r="35" spans="2:28" ht="16.5" customHeight="1">
      <c r="B35" s="239"/>
      <c r="C35" s="291">
        <v>20</v>
      </c>
      <c r="D35" s="293" t="s">
        <v>31</v>
      </c>
      <c r="E35" s="294" t="s">
        <v>20</v>
      </c>
      <c r="F35" s="315">
        <v>15</v>
      </c>
      <c r="G35" s="316" t="s">
        <v>23</v>
      </c>
      <c r="H35" s="492">
        <f t="shared" si="16"/>
        <v>3.1185</v>
      </c>
      <c r="I35" s="297">
        <v>36181.43680555555</v>
      </c>
      <c r="J35" s="297">
        <v>36181.48819444444</v>
      </c>
      <c r="K35" s="298">
        <f t="shared" si="0"/>
        <v>1.2333333333372138</v>
      </c>
      <c r="L35" s="299">
        <f t="shared" si="1"/>
        <v>74</v>
      </c>
      <c r="M35" s="300" t="s">
        <v>121</v>
      </c>
      <c r="N35" s="301" t="str">
        <f t="shared" si="2"/>
        <v>--</v>
      </c>
      <c r="O35" s="300" t="str">
        <f t="shared" si="3"/>
        <v>--</v>
      </c>
      <c r="P35" s="302">
        <f t="shared" si="4"/>
        <v>11.507265</v>
      </c>
      <c r="Q35" s="303" t="str">
        <f t="shared" si="5"/>
        <v>--</v>
      </c>
      <c r="R35" s="304" t="str">
        <f t="shared" si="6"/>
        <v>--</v>
      </c>
      <c r="S35" s="305" t="str">
        <f t="shared" si="7"/>
        <v>--</v>
      </c>
      <c r="T35" s="306" t="str">
        <f t="shared" si="8"/>
        <v>--</v>
      </c>
      <c r="U35" s="307" t="str">
        <f t="shared" si="9"/>
        <v>--</v>
      </c>
      <c r="V35" s="308" t="str">
        <f t="shared" si="10"/>
        <v>--</v>
      </c>
      <c r="W35" s="309" t="str">
        <f t="shared" si="11"/>
        <v>--</v>
      </c>
      <c r="X35" s="300" t="str">
        <f t="shared" si="12"/>
        <v>SI</v>
      </c>
      <c r="Y35" s="310">
        <f t="shared" si="13"/>
        <v>11.507265</v>
      </c>
      <c r="Z35" s="310">
        <v>8.966700000000001</v>
      </c>
      <c r="AA35" s="310">
        <f t="shared" si="17"/>
        <v>2.540564999999999</v>
      </c>
      <c r="AB35" s="311"/>
    </row>
    <row r="36" spans="2:28" ht="16.5" customHeight="1">
      <c r="B36" s="239"/>
      <c r="C36" s="291">
        <v>21</v>
      </c>
      <c r="D36" s="293" t="s">
        <v>19</v>
      </c>
      <c r="E36" s="294" t="s">
        <v>20</v>
      </c>
      <c r="F36" s="315">
        <v>15</v>
      </c>
      <c r="G36" s="316" t="s">
        <v>13</v>
      </c>
      <c r="H36" s="492">
        <f t="shared" si="16"/>
        <v>3.1185</v>
      </c>
      <c r="I36" s="297">
        <v>36185.743055555555</v>
      </c>
      <c r="J36" s="297">
        <v>36185.79513888889</v>
      </c>
      <c r="K36" s="298">
        <f t="shared" si="0"/>
        <v>1.2500000000582077</v>
      </c>
      <c r="L36" s="299">
        <f t="shared" si="1"/>
        <v>75</v>
      </c>
      <c r="M36" s="300" t="s">
        <v>122</v>
      </c>
      <c r="N36" s="301" t="str">
        <f t="shared" si="2"/>
        <v>--</v>
      </c>
      <c r="O36" s="300" t="str">
        <f t="shared" si="3"/>
        <v>NO</v>
      </c>
      <c r="P36" s="302" t="str">
        <f t="shared" si="4"/>
        <v>--</v>
      </c>
      <c r="Q36" s="303" t="str">
        <f t="shared" si="5"/>
        <v>--</v>
      </c>
      <c r="R36" s="304">
        <f t="shared" si="6"/>
        <v>93.555</v>
      </c>
      <c r="S36" s="305">
        <f t="shared" si="7"/>
        <v>116.94375000000001</v>
      </c>
      <c r="T36" s="306" t="str">
        <f t="shared" si="8"/>
        <v>--</v>
      </c>
      <c r="U36" s="307" t="str">
        <f t="shared" si="9"/>
        <v>--</v>
      </c>
      <c r="V36" s="308" t="str">
        <f t="shared" si="10"/>
        <v>--</v>
      </c>
      <c r="W36" s="309" t="str">
        <f t="shared" si="11"/>
        <v>--</v>
      </c>
      <c r="X36" s="300" t="str">
        <f t="shared" si="12"/>
        <v>SI</v>
      </c>
      <c r="Y36" s="310">
        <f t="shared" si="13"/>
        <v>210.49875000000003</v>
      </c>
      <c r="Z36" s="310">
        <v>164.025</v>
      </c>
      <c r="AA36" s="310">
        <f t="shared" si="17"/>
        <v>46.473750000000024</v>
      </c>
      <c r="AB36" s="311"/>
    </row>
    <row r="37" spans="2:28" ht="16.5" customHeight="1">
      <c r="B37" s="239"/>
      <c r="C37" s="291">
        <v>22</v>
      </c>
      <c r="D37" s="293" t="s">
        <v>21</v>
      </c>
      <c r="E37" s="294" t="s">
        <v>12</v>
      </c>
      <c r="F37" s="315">
        <v>30</v>
      </c>
      <c r="G37" s="316" t="s">
        <v>18</v>
      </c>
      <c r="H37" s="492">
        <f t="shared" si="16"/>
        <v>6.237</v>
      </c>
      <c r="I37" s="297">
        <v>36185.775</v>
      </c>
      <c r="J37" s="297">
        <v>36185.955555555556</v>
      </c>
      <c r="K37" s="298">
        <f t="shared" si="0"/>
        <v>4.333333333313931</v>
      </c>
      <c r="L37" s="299">
        <f t="shared" si="1"/>
        <v>260</v>
      </c>
      <c r="M37" s="300" t="s">
        <v>122</v>
      </c>
      <c r="N37" s="301" t="str">
        <f t="shared" si="2"/>
        <v>--</v>
      </c>
      <c r="O37" s="300" t="str">
        <f t="shared" si="3"/>
        <v>NO</v>
      </c>
      <c r="P37" s="302" t="str">
        <f t="shared" si="4"/>
        <v>--</v>
      </c>
      <c r="Q37" s="303" t="str">
        <f t="shared" si="5"/>
        <v>--</v>
      </c>
      <c r="R37" s="304">
        <f t="shared" si="6"/>
        <v>187.11</v>
      </c>
      <c r="S37" s="305">
        <f t="shared" si="7"/>
        <v>810.1863000000001</v>
      </c>
      <c r="T37" s="306" t="str">
        <f t="shared" si="8"/>
        <v>--</v>
      </c>
      <c r="U37" s="307" t="str">
        <f t="shared" si="9"/>
        <v>--</v>
      </c>
      <c r="V37" s="308" t="str">
        <f t="shared" si="10"/>
        <v>--</v>
      </c>
      <c r="W37" s="309" t="str">
        <f t="shared" si="11"/>
        <v>--</v>
      </c>
      <c r="X37" s="300" t="str">
        <f t="shared" si="12"/>
        <v>SI</v>
      </c>
      <c r="Y37" s="310">
        <f t="shared" si="13"/>
        <v>997.2963000000001</v>
      </c>
      <c r="Z37" s="310">
        <v>777.114</v>
      </c>
      <c r="AA37" s="310">
        <f t="shared" si="17"/>
        <v>220.18230000000005</v>
      </c>
      <c r="AB37" s="311"/>
    </row>
    <row r="38" spans="2:28" ht="16.5" customHeight="1" thickBot="1">
      <c r="B38" s="239"/>
      <c r="C38" s="473"/>
      <c r="D38" s="293"/>
      <c r="E38" s="475"/>
      <c r="F38" s="315"/>
      <c r="G38" s="296"/>
      <c r="H38" s="492">
        <f t="shared" si="16"/>
        <v>0</v>
      </c>
      <c r="I38" s="476"/>
      <c r="J38" s="476"/>
      <c r="K38" s="477">
        <f t="shared" si="0"/>
      </c>
      <c r="L38" s="478">
        <f t="shared" si="1"/>
      </c>
      <c r="M38" s="479"/>
      <c r="N38" s="480">
        <f t="shared" si="2"/>
      </c>
      <c r="O38" s="479">
        <f t="shared" si="3"/>
      </c>
      <c r="P38" s="481" t="str">
        <f t="shared" si="4"/>
        <v>--</v>
      </c>
      <c r="Q38" s="482" t="str">
        <f t="shared" si="5"/>
        <v>--</v>
      </c>
      <c r="R38" s="483" t="str">
        <f t="shared" si="6"/>
        <v>--</v>
      </c>
      <c r="S38" s="484" t="str">
        <f t="shared" si="7"/>
        <v>--</v>
      </c>
      <c r="T38" s="485" t="str">
        <f t="shared" si="8"/>
        <v>--</v>
      </c>
      <c r="U38" s="486" t="str">
        <f t="shared" si="9"/>
        <v>--</v>
      </c>
      <c r="V38" s="487" t="str">
        <f t="shared" si="10"/>
        <v>--</v>
      </c>
      <c r="W38" s="488" t="str">
        <f t="shared" si="11"/>
        <v>--</v>
      </c>
      <c r="X38" s="479">
        <f t="shared" si="12"/>
      </c>
      <c r="Y38" s="489">
        <f t="shared" si="13"/>
      </c>
      <c r="Z38" s="489" t="s">
        <v>126</v>
      </c>
      <c r="AA38" s="489"/>
      <c r="AB38" s="311"/>
    </row>
    <row r="39" spans="2:28" s="78" customFormat="1" ht="16.5" customHeight="1" thickBot="1" thickTop="1">
      <c r="B39" s="130"/>
      <c r="C39" s="605" t="s">
        <v>229</v>
      </c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6"/>
      <c r="AB39" s="187"/>
    </row>
    <row r="40" spans="2:28" ht="16.5" customHeight="1" thickTop="1">
      <c r="B40" s="239"/>
      <c r="C40" s="438">
        <v>9</v>
      </c>
      <c r="D40" s="490" t="s">
        <v>24</v>
      </c>
      <c r="E40" s="294" t="s">
        <v>12</v>
      </c>
      <c r="F40" s="475">
        <v>20</v>
      </c>
      <c r="G40" s="491" t="s">
        <v>23</v>
      </c>
      <c r="H40" s="492">
        <f>F40*$G$16*$M$16</f>
        <v>4.158</v>
      </c>
      <c r="I40" s="493">
        <v>36196.47361111111</v>
      </c>
      <c r="J40" s="493">
        <v>36196.59861111111</v>
      </c>
      <c r="K40" s="400">
        <f t="shared" si="0"/>
        <v>3</v>
      </c>
      <c r="L40" s="494">
        <f t="shared" si="1"/>
        <v>180</v>
      </c>
      <c r="M40" s="403" t="s">
        <v>121</v>
      </c>
      <c r="N40" s="495" t="str">
        <f t="shared" si="2"/>
        <v>--</v>
      </c>
      <c r="O40" s="403" t="str">
        <f t="shared" si="3"/>
        <v>--</v>
      </c>
      <c r="P40" s="496">
        <f t="shared" si="4"/>
        <v>37.422000000000004</v>
      </c>
      <c r="Q40" s="497" t="str">
        <f t="shared" si="5"/>
        <v>--</v>
      </c>
      <c r="R40" s="498" t="str">
        <f t="shared" si="6"/>
        <v>--</v>
      </c>
      <c r="S40" s="499" t="str">
        <f t="shared" si="7"/>
        <v>--</v>
      </c>
      <c r="T40" s="500" t="str">
        <f t="shared" si="8"/>
        <v>--</v>
      </c>
      <c r="U40" s="501" t="str">
        <f t="shared" si="9"/>
        <v>--</v>
      </c>
      <c r="V40" s="502" t="str">
        <f t="shared" si="10"/>
        <v>--</v>
      </c>
      <c r="W40" s="503" t="str">
        <f t="shared" si="11"/>
        <v>--</v>
      </c>
      <c r="X40" s="403" t="str">
        <f t="shared" si="12"/>
        <v>SI</v>
      </c>
      <c r="Y40" s="504">
        <f t="shared" si="13"/>
        <v>37.422000000000004</v>
      </c>
      <c r="Z40" s="504">
        <v>29.16</v>
      </c>
      <c r="AA40" s="504">
        <f>+Y40-Z40</f>
        <v>8.262000000000004</v>
      </c>
      <c r="AB40" s="311"/>
    </row>
    <row r="41" spans="2:28" ht="16.5" customHeight="1">
      <c r="B41" s="239"/>
      <c r="C41" s="291">
        <v>10</v>
      </c>
      <c r="D41" s="293" t="s">
        <v>24</v>
      </c>
      <c r="E41" s="294" t="s">
        <v>14</v>
      </c>
      <c r="F41" s="315">
        <v>15</v>
      </c>
      <c r="G41" s="316" t="s">
        <v>23</v>
      </c>
      <c r="H41" s="492">
        <f>F41*$G$16*$M$16</f>
        <v>3.1185</v>
      </c>
      <c r="I41" s="297">
        <v>36196.47361111111</v>
      </c>
      <c r="J41" s="297">
        <v>36196.59861111111</v>
      </c>
      <c r="K41" s="298">
        <f t="shared" si="0"/>
        <v>3</v>
      </c>
      <c r="L41" s="299">
        <f t="shared" si="1"/>
        <v>180</v>
      </c>
      <c r="M41" s="300" t="s">
        <v>121</v>
      </c>
      <c r="N41" s="301" t="str">
        <f t="shared" si="2"/>
        <v>--</v>
      </c>
      <c r="O41" s="300" t="str">
        <f t="shared" si="3"/>
        <v>--</v>
      </c>
      <c r="P41" s="302">
        <f t="shared" si="4"/>
        <v>28.066500000000005</v>
      </c>
      <c r="Q41" s="303" t="str">
        <f t="shared" si="5"/>
        <v>--</v>
      </c>
      <c r="R41" s="304" t="str">
        <f t="shared" si="6"/>
        <v>--</v>
      </c>
      <c r="S41" s="305" t="str">
        <f t="shared" si="7"/>
        <v>--</v>
      </c>
      <c r="T41" s="306" t="str">
        <f t="shared" si="8"/>
        <v>--</v>
      </c>
      <c r="U41" s="307" t="str">
        <f t="shared" si="9"/>
        <v>--</v>
      </c>
      <c r="V41" s="308" t="str">
        <f t="shared" si="10"/>
        <v>--</v>
      </c>
      <c r="W41" s="309" t="str">
        <f t="shared" si="11"/>
        <v>--</v>
      </c>
      <c r="X41" s="300" t="str">
        <f t="shared" si="12"/>
        <v>SI</v>
      </c>
      <c r="Y41" s="310">
        <f t="shared" si="13"/>
        <v>28.066500000000005</v>
      </c>
      <c r="Z41" s="310">
        <v>21.87</v>
      </c>
      <c r="AA41" s="310">
        <f>+Y41-Z41</f>
        <v>6.196500000000004</v>
      </c>
      <c r="AB41" s="311"/>
    </row>
    <row r="42" spans="2:28" ht="16.5" customHeight="1">
      <c r="B42" s="239"/>
      <c r="C42" s="291">
        <v>11</v>
      </c>
      <c r="D42" s="293" t="s">
        <v>17</v>
      </c>
      <c r="E42" s="294" t="s">
        <v>12</v>
      </c>
      <c r="F42" s="295">
        <v>20</v>
      </c>
      <c r="G42" s="296" t="s">
        <v>18</v>
      </c>
      <c r="H42" s="492">
        <f>F42*$G$16*$M$16</f>
        <v>4.158</v>
      </c>
      <c r="I42" s="297">
        <v>36196.879166666666</v>
      </c>
      <c r="J42" s="297">
        <v>36196.88263888889</v>
      </c>
      <c r="K42" s="298">
        <f t="shared" si="0"/>
        <v>0.0833333334303461</v>
      </c>
      <c r="L42" s="299">
        <f t="shared" si="1"/>
        <v>5</v>
      </c>
      <c r="M42" s="300" t="s">
        <v>122</v>
      </c>
      <c r="N42" s="301" t="str">
        <f t="shared" si="2"/>
        <v>--</v>
      </c>
      <c r="O42" s="300" t="str">
        <f t="shared" si="3"/>
        <v>NO</v>
      </c>
      <c r="P42" s="302" t="str">
        <f t="shared" si="4"/>
        <v>--</v>
      </c>
      <c r="Q42" s="303" t="str">
        <f t="shared" si="5"/>
        <v>--</v>
      </c>
      <c r="R42" s="304">
        <f t="shared" si="6"/>
        <v>124.74000000000001</v>
      </c>
      <c r="S42" s="305">
        <f t="shared" si="7"/>
        <v>9.9792</v>
      </c>
      <c r="T42" s="306" t="str">
        <f t="shared" si="8"/>
        <v>--</v>
      </c>
      <c r="U42" s="307" t="str">
        <f t="shared" si="9"/>
        <v>--</v>
      </c>
      <c r="V42" s="308" t="str">
        <f t="shared" si="10"/>
        <v>--</v>
      </c>
      <c r="W42" s="309" t="str">
        <f t="shared" si="11"/>
        <v>--</v>
      </c>
      <c r="X42" s="300" t="str">
        <f t="shared" si="12"/>
        <v>SI</v>
      </c>
      <c r="Y42" s="310">
        <f t="shared" si="13"/>
        <v>134.7192</v>
      </c>
      <c r="Z42" s="310">
        <v>104.976</v>
      </c>
      <c r="AA42" s="310">
        <f>+Y42-Z42</f>
        <v>29.7432</v>
      </c>
      <c r="AB42" s="311"/>
    </row>
    <row r="43" spans="2:28" ht="16.5" customHeight="1">
      <c r="B43" s="239"/>
      <c r="C43" s="291">
        <v>12</v>
      </c>
      <c r="D43" s="293" t="s">
        <v>21</v>
      </c>
      <c r="E43" s="294" t="s">
        <v>12</v>
      </c>
      <c r="F43" s="312">
        <v>30</v>
      </c>
      <c r="G43" s="296" t="s">
        <v>18</v>
      </c>
      <c r="H43" s="492">
        <f>F43*$G$16*$M$16</f>
        <v>6.237</v>
      </c>
      <c r="I43" s="297">
        <v>36207.43194444444</v>
      </c>
      <c r="J43" s="297">
        <v>36207.63333333333</v>
      </c>
      <c r="K43" s="298">
        <f t="shared" si="0"/>
        <v>4.833333333372138</v>
      </c>
      <c r="L43" s="299">
        <f t="shared" si="1"/>
        <v>290</v>
      </c>
      <c r="M43" s="300" t="s">
        <v>121</v>
      </c>
      <c r="N43" s="301" t="str">
        <f t="shared" si="2"/>
        <v>--</v>
      </c>
      <c r="O43" s="300" t="str">
        <f t="shared" si="3"/>
        <v>--</v>
      </c>
      <c r="P43" s="302">
        <f t="shared" si="4"/>
        <v>90.37413000000001</v>
      </c>
      <c r="Q43" s="303" t="str">
        <f t="shared" si="5"/>
        <v>--</v>
      </c>
      <c r="R43" s="304" t="str">
        <f t="shared" si="6"/>
        <v>--</v>
      </c>
      <c r="S43" s="305" t="str">
        <f t="shared" si="7"/>
        <v>--</v>
      </c>
      <c r="T43" s="306" t="str">
        <f t="shared" si="8"/>
        <v>--</v>
      </c>
      <c r="U43" s="307" t="str">
        <f t="shared" si="9"/>
        <v>--</v>
      </c>
      <c r="V43" s="308" t="str">
        <f t="shared" si="10"/>
        <v>--</v>
      </c>
      <c r="W43" s="309" t="str">
        <f t="shared" si="11"/>
        <v>--</v>
      </c>
      <c r="X43" s="300" t="str">
        <f t="shared" si="12"/>
        <v>SI</v>
      </c>
      <c r="Y43" s="310">
        <f t="shared" si="13"/>
        <v>90.37413000000001</v>
      </c>
      <c r="Z43" s="310">
        <v>70.4214</v>
      </c>
      <c r="AA43" s="310">
        <f>+Y43-Z43</f>
        <v>19.952730000000003</v>
      </c>
      <c r="AB43" s="311"/>
    </row>
    <row r="44" spans="2:28" ht="16.5" customHeight="1">
      <c r="B44" s="239"/>
      <c r="C44" s="291"/>
      <c r="D44" s="293"/>
      <c r="E44" s="294"/>
      <c r="F44" s="313"/>
      <c r="G44" s="296"/>
      <c r="H44" s="492">
        <f>F44*$G$16*$M$16</f>
        <v>0</v>
      </c>
      <c r="I44" s="297"/>
      <c r="J44" s="297"/>
      <c r="K44" s="298">
        <f t="shared" si="0"/>
      </c>
      <c r="L44" s="299">
        <f t="shared" si="1"/>
      </c>
      <c r="M44" s="300"/>
      <c r="N44" s="301">
        <f t="shared" si="2"/>
      </c>
      <c r="O44" s="300">
        <f t="shared" si="3"/>
      </c>
      <c r="P44" s="302" t="str">
        <f t="shared" si="4"/>
        <v>--</v>
      </c>
      <c r="Q44" s="303" t="str">
        <f t="shared" si="5"/>
        <v>--</v>
      </c>
      <c r="R44" s="304" t="str">
        <f t="shared" si="6"/>
        <v>--</v>
      </c>
      <c r="S44" s="305" t="str">
        <f t="shared" si="7"/>
        <v>--</v>
      </c>
      <c r="T44" s="306" t="str">
        <f t="shared" si="8"/>
        <v>--</v>
      </c>
      <c r="U44" s="307" t="str">
        <f t="shared" si="9"/>
        <v>--</v>
      </c>
      <c r="V44" s="308" t="str">
        <f t="shared" si="10"/>
        <v>--</v>
      </c>
      <c r="W44" s="309" t="str">
        <f t="shared" si="11"/>
        <v>--</v>
      </c>
      <c r="X44" s="300">
        <f t="shared" si="12"/>
      </c>
      <c r="Y44" s="310">
        <f t="shared" si="13"/>
      </c>
      <c r="Z44" s="310" t="s">
        <v>126</v>
      </c>
      <c r="AA44" s="310"/>
      <c r="AB44" s="311"/>
    </row>
    <row r="45" spans="2:28" ht="16.5" customHeight="1" thickBot="1">
      <c r="B45" s="239"/>
      <c r="C45" s="317"/>
      <c r="D45" s="318"/>
      <c r="E45" s="319"/>
      <c r="F45" s="318"/>
      <c r="G45" s="320"/>
      <c r="H45" s="321"/>
      <c r="I45" s="322"/>
      <c r="J45" s="322"/>
      <c r="K45" s="323"/>
      <c r="L45" s="323"/>
      <c r="M45" s="322"/>
      <c r="N45" s="324"/>
      <c r="O45" s="322"/>
      <c r="P45" s="325"/>
      <c r="Q45" s="326"/>
      <c r="R45" s="327"/>
      <c r="S45" s="328"/>
      <c r="T45" s="329"/>
      <c r="U45" s="330"/>
      <c r="V45" s="331"/>
      <c r="W45" s="332"/>
      <c r="X45" s="322"/>
      <c r="Y45" s="471"/>
      <c r="Z45" s="471"/>
      <c r="AA45" s="471"/>
      <c r="AB45" s="311"/>
    </row>
    <row r="46" spans="2:28" ht="16.5" customHeight="1" thickBot="1" thickTop="1">
      <c r="B46" s="239"/>
      <c r="C46" s="208" t="s">
        <v>120</v>
      </c>
      <c r="D46" s="209" t="s">
        <v>110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334">
        <f>ROUND(SUM(Y20:Y45),2)</f>
        <v>68051.85</v>
      </c>
      <c r="Z46" s="334">
        <f>ROUND(SUM(Z20:Z45),2)</f>
        <v>34918.73</v>
      </c>
      <c r="AA46" s="334">
        <f>ROUND(SUM(AA20:AA45),2)</f>
        <v>15338.3</v>
      </c>
      <c r="AB46" s="311"/>
    </row>
    <row r="47" spans="2:28" s="335" customFormat="1" ht="9.75" thickTop="1">
      <c r="B47" s="336"/>
      <c r="C47" s="219"/>
      <c r="D47" s="220" t="s">
        <v>111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8"/>
      <c r="Z47" s="338"/>
      <c r="AA47" s="338"/>
      <c r="AB47" s="339"/>
    </row>
    <row r="48" spans="2:28" ht="16.5" customHeight="1" thickBot="1">
      <c r="B48" s="340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2"/>
    </row>
    <row r="49" ht="13.5" thickTop="1"/>
  </sheetData>
  <mergeCells count="5">
    <mergeCell ref="C39:AA39"/>
    <mergeCell ref="C31:AA31"/>
    <mergeCell ref="C22:AA22"/>
    <mergeCell ref="J16:L16"/>
    <mergeCell ref="M16:N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12">
    <pageSetUpPr fitToPage="1"/>
  </sheetPr>
  <dimension ref="A1:AB47"/>
  <sheetViews>
    <sheetView zoomScale="75" zoomScaleNormal="75" workbookViewId="0" topLeftCell="C9">
      <selection activeCell="G16" sqref="G16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+'TR (4)'!B14</f>
        <v>Desde el 01 de noviembre de 1998 al 30 de abril de 1999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470">
        <v>0.21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115" t="s">
        <v>226</v>
      </c>
      <c r="AA19" s="115" t="s">
        <v>127</v>
      </c>
      <c r="AB19" s="278"/>
    </row>
    <row r="20" spans="2:28" ht="16.5" customHeight="1" thickTop="1">
      <c r="B20" s="239"/>
      <c r="C20" s="279"/>
      <c r="D20" s="279" t="s">
        <v>244</v>
      </c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>
        <f>+'TR (4)'!Y46</f>
        <v>68051.85</v>
      </c>
      <c r="Z20" s="148">
        <f>+'TR (4)'!Z46</f>
        <v>34918.73</v>
      </c>
      <c r="AA20" s="148">
        <f>+'TR (4)'!AA46</f>
        <v>15338.3</v>
      </c>
      <c r="AB20" s="54"/>
    </row>
    <row r="21" spans="2:28" ht="16.5" customHeight="1" thickBot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8" s="78" customFormat="1" ht="16.5" customHeight="1" thickBot="1" thickTop="1">
      <c r="B22" s="130"/>
      <c r="C22" s="605" t="s">
        <v>230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187"/>
    </row>
    <row r="23" spans="2:28" ht="16.5" customHeight="1" thickTop="1">
      <c r="B23" s="239"/>
      <c r="C23" s="438">
        <v>23</v>
      </c>
      <c r="D23" s="490" t="s">
        <v>25</v>
      </c>
      <c r="E23" s="294" t="s">
        <v>12</v>
      </c>
      <c r="F23" s="516">
        <v>15</v>
      </c>
      <c r="G23" s="517" t="s">
        <v>26</v>
      </c>
      <c r="H23" s="492">
        <f>F23*$G$16*$M$16</f>
        <v>3.1185</v>
      </c>
      <c r="I23" s="493">
        <v>36229.50208333333</v>
      </c>
      <c r="J23" s="493">
        <v>36229.63402777778</v>
      </c>
      <c r="K23" s="400">
        <f aca="true" t="shared" si="0" ref="K23:K43">IF(I23="","",(J23-I23)*24)</f>
        <v>3.166666666686069</v>
      </c>
      <c r="L23" s="494">
        <f aca="true" t="shared" si="1" ref="L23:L43">IF(J23="","",ROUND((J23-I23)*24*60,0))</f>
        <v>190</v>
      </c>
      <c r="M23" s="403" t="s">
        <v>121</v>
      </c>
      <c r="N23" s="495" t="str">
        <f aca="true" t="shared" si="2" ref="N23:N43">IF(D23="","","--")</f>
        <v>--</v>
      </c>
      <c r="O23" s="403" t="str">
        <f aca="true" t="shared" si="3" ref="O23:O43">IF(M23="","",IF(OR(M23="P",M23="RP"),"--","NO"))</f>
        <v>--</v>
      </c>
      <c r="P23" s="496">
        <f aca="true" t="shared" si="4" ref="P23:P43">IF(M23="P",H23*$G$17*0.1*ROUND(L23/60,2),"--")</f>
        <v>29.656935000000004</v>
      </c>
      <c r="Q23" s="497" t="str">
        <f aca="true" t="shared" si="5" ref="Q23:Q43">IF(M23="RP",H23*$G$17*0.1*N23/100*ROUND(L23/60,2),"--")</f>
        <v>--</v>
      </c>
      <c r="R23" s="498" t="str">
        <f aca="true" t="shared" si="6" ref="R23:R43">IF(AND(M23="F",O23="NO"),H23*$G$17,"--")</f>
        <v>--</v>
      </c>
      <c r="S23" s="499" t="str">
        <f aca="true" t="shared" si="7" ref="S23:S43">IF(M23="F",H23*$G$17*ROUND(L23/60,2),"--")</f>
        <v>--</v>
      </c>
      <c r="T23" s="500" t="str">
        <f aca="true" t="shared" si="8" ref="T23:T43">IF(AND(M23="R",O23="NO"),H23*$G$17*N23/100,"--")</f>
        <v>--</v>
      </c>
      <c r="U23" s="501" t="str">
        <f aca="true" t="shared" si="9" ref="U23:U43">IF(M23="R",H23*$G$17*N23/100*ROUND(L23/60,2),"--")</f>
        <v>--</v>
      </c>
      <c r="V23" s="502" t="str">
        <f aca="true" t="shared" si="10" ref="V23:V43">IF(M23="RF",H23*$G$17*ROUND(L23/60,2),"--")</f>
        <v>--</v>
      </c>
      <c r="W23" s="503" t="str">
        <f aca="true" t="shared" si="11" ref="W23:W43">IF(M23="RR",H23*$G$17*N23/100*ROUND(L23/60,2),"--")</f>
        <v>--</v>
      </c>
      <c r="X23" s="403" t="str">
        <f aca="true" t="shared" si="12" ref="X23:X43">IF(D23="","","SI")</f>
        <v>SI</v>
      </c>
      <c r="Y23" s="504">
        <f aca="true" t="shared" si="13" ref="Y23:Y43">IF(D23="","",IF(X23="SI",SUM(P23:W23),2*SUM(P23:W23)))</f>
        <v>29.656935000000004</v>
      </c>
      <c r="Z23" s="504">
        <v>23.1093</v>
      </c>
      <c r="AA23" s="504">
        <f>+Y23-Z23</f>
        <v>6.547635000000003</v>
      </c>
      <c r="AB23" s="311"/>
    </row>
    <row r="24" spans="2:28" ht="16.5" customHeight="1">
      <c r="B24" s="239"/>
      <c r="C24" s="291">
        <v>24</v>
      </c>
      <c r="D24" s="293" t="s">
        <v>27</v>
      </c>
      <c r="E24" s="294" t="s">
        <v>22</v>
      </c>
      <c r="F24" s="312">
        <v>30</v>
      </c>
      <c r="G24" s="296" t="s">
        <v>13</v>
      </c>
      <c r="H24" s="492">
        <f>F24*$G$16*$M$16</f>
        <v>6.237</v>
      </c>
      <c r="I24" s="297">
        <v>36232.67222222222</v>
      </c>
      <c r="J24" s="297">
        <v>36232.677083333336</v>
      </c>
      <c r="K24" s="298">
        <f t="shared" si="0"/>
        <v>0.11666666669771075</v>
      </c>
      <c r="L24" s="299">
        <f t="shared" si="1"/>
        <v>7</v>
      </c>
      <c r="M24" s="300" t="s">
        <v>123</v>
      </c>
      <c r="N24" s="301">
        <v>60</v>
      </c>
      <c r="O24" s="300" t="str">
        <f t="shared" si="3"/>
        <v>NO</v>
      </c>
      <c r="P24" s="302" t="str">
        <f t="shared" si="4"/>
        <v>--</v>
      </c>
      <c r="Q24" s="303" t="str">
        <f t="shared" si="5"/>
        <v>--</v>
      </c>
      <c r="R24" s="304" t="str">
        <f t="shared" si="6"/>
        <v>--</v>
      </c>
      <c r="S24" s="305" t="str">
        <f t="shared" si="7"/>
        <v>--</v>
      </c>
      <c r="T24" s="306">
        <f t="shared" si="8"/>
        <v>112.266</v>
      </c>
      <c r="U24" s="307">
        <f t="shared" si="9"/>
        <v>13.47192</v>
      </c>
      <c r="V24" s="308" t="str">
        <f t="shared" si="10"/>
        <v>--</v>
      </c>
      <c r="W24" s="309" t="str">
        <f t="shared" si="11"/>
        <v>--</v>
      </c>
      <c r="X24" s="300" t="str">
        <f t="shared" si="12"/>
        <v>SI</v>
      </c>
      <c r="Y24" s="310">
        <f t="shared" si="13"/>
        <v>125.73792</v>
      </c>
      <c r="Z24" s="310">
        <v>97.97760000000001</v>
      </c>
      <c r="AA24" s="310">
        <f>+Y24-Z24</f>
        <v>27.760319999999993</v>
      </c>
      <c r="AB24" s="311"/>
    </row>
    <row r="25" spans="2:28" ht="16.5" customHeight="1">
      <c r="B25" s="239"/>
      <c r="C25" s="291">
        <v>25</v>
      </c>
      <c r="D25" s="293" t="s">
        <v>29</v>
      </c>
      <c r="E25" s="294" t="s">
        <v>14</v>
      </c>
      <c r="F25" s="313">
        <v>15</v>
      </c>
      <c r="G25" s="296" t="s">
        <v>13</v>
      </c>
      <c r="H25" s="492">
        <f>F25*$G$16*$M$16</f>
        <v>3.1185</v>
      </c>
      <c r="I25" s="297">
        <v>36237.42291666667</v>
      </c>
      <c r="J25" s="297">
        <v>36237.625</v>
      </c>
      <c r="K25" s="298">
        <f t="shared" si="0"/>
        <v>4.849999999918509</v>
      </c>
      <c r="L25" s="299">
        <f t="shared" si="1"/>
        <v>291</v>
      </c>
      <c r="M25" s="300" t="s">
        <v>121</v>
      </c>
      <c r="N25" s="301" t="str">
        <f t="shared" si="2"/>
        <v>--</v>
      </c>
      <c r="O25" s="300" t="str">
        <f t="shared" si="3"/>
        <v>--</v>
      </c>
      <c r="P25" s="302">
        <f t="shared" si="4"/>
        <v>45.374175</v>
      </c>
      <c r="Q25" s="303" t="str">
        <f t="shared" si="5"/>
        <v>--</v>
      </c>
      <c r="R25" s="304" t="str">
        <f t="shared" si="6"/>
        <v>--</v>
      </c>
      <c r="S25" s="305" t="str">
        <f t="shared" si="7"/>
        <v>--</v>
      </c>
      <c r="T25" s="306" t="str">
        <f t="shared" si="8"/>
        <v>--</v>
      </c>
      <c r="U25" s="307" t="str">
        <f t="shared" si="9"/>
        <v>--</v>
      </c>
      <c r="V25" s="308" t="str">
        <f t="shared" si="10"/>
        <v>--</v>
      </c>
      <c r="W25" s="309" t="str">
        <f t="shared" si="11"/>
        <v>--</v>
      </c>
      <c r="X25" s="300" t="str">
        <f t="shared" si="12"/>
        <v>SI</v>
      </c>
      <c r="Y25" s="310">
        <f t="shared" si="13"/>
        <v>45.374175</v>
      </c>
      <c r="Z25" s="310">
        <v>35.356500000000004</v>
      </c>
      <c r="AA25" s="310">
        <f>+Y25-Z25</f>
        <v>10.017674999999997</v>
      </c>
      <c r="AB25" s="311"/>
    </row>
    <row r="26" spans="2:28" ht="16.5" customHeight="1">
      <c r="B26" s="239"/>
      <c r="C26" s="291">
        <v>26</v>
      </c>
      <c r="D26" s="293" t="s">
        <v>29</v>
      </c>
      <c r="E26" s="294" t="s">
        <v>12</v>
      </c>
      <c r="F26" s="294">
        <v>9</v>
      </c>
      <c r="G26" s="296" t="s">
        <v>26</v>
      </c>
      <c r="H26" s="492">
        <f>F26*$G$16*$M$16</f>
        <v>1.8711</v>
      </c>
      <c r="I26" s="297">
        <v>36237.43263888889</v>
      </c>
      <c r="J26" s="297">
        <v>36237.618055555555</v>
      </c>
      <c r="K26" s="298">
        <f t="shared" si="0"/>
        <v>4.4500000000116415</v>
      </c>
      <c r="L26" s="299">
        <f t="shared" si="1"/>
        <v>267</v>
      </c>
      <c r="M26" s="300" t="s">
        <v>121</v>
      </c>
      <c r="N26" s="301" t="str">
        <f t="shared" si="2"/>
        <v>--</v>
      </c>
      <c r="O26" s="300" t="str">
        <f t="shared" si="3"/>
        <v>--</v>
      </c>
      <c r="P26" s="302">
        <f t="shared" si="4"/>
        <v>24.979185000000005</v>
      </c>
      <c r="Q26" s="303" t="str">
        <f t="shared" si="5"/>
        <v>--</v>
      </c>
      <c r="R26" s="304" t="str">
        <f t="shared" si="6"/>
        <v>--</v>
      </c>
      <c r="S26" s="305" t="str">
        <f t="shared" si="7"/>
        <v>--</v>
      </c>
      <c r="T26" s="306" t="str">
        <f t="shared" si="8"/>
        <v>--</v>
      </c>
      <c r="U26" s="307" t="str">
        <f t="shared" si="9"/>
        <v>--</v>
      </c>
      <c r="V26" s="308" t="str">
        <f t="shared" si="10"/>
        <v>--</v>
      </c>
      <c r="W26" s="309" t="str">
        <f t="shared" si="11"/>
        <v>--</v>
      </c>
      <c r="X26" s="300" t="str">
        <f t="shared" si="12"/>
        <v>SI</v>
      </c>
      <c r="Y26" s="310">
        <f t="shared" si="13"/>
        <v>24.979185000000005</v>
      </c>
      <c r="Z26" s="310">
        <v>19.4643</v>
      </c>
      <c r="AA26" s="310">
        <f>+Y26-Z26</f>
        <v>5.514885000000003</v>
      </c>
      <c r="AB26" s="311"/>
    </row>
    <row r="27" spans="2:28" ht="16.5" customHeight="1" thickBot="1">
      <c r="B27" s="239"/>
      <c r="C27" s="473"/>
      <c r="D27" s="293"/>
      <c r="E27" s="475"/>
      <c r="F27" s="475"/>
      <c r="G27" s="296"/>
      <c r="H27" s="492">
        <f>F27*$G$16*$M$16</f>
        <v>0</v>
      </c>
      <c r="I27" s="476"/>
      <c r="J27" s="476"/>
      <c r="K27" s="477">
        <f t="shared" si="0"/>
      </c>
      <c r="L27" s="478">
        <f t="shared" si="1"/>
      </c>
      <c r="M27" s="479"/>
      <c r="N27" s="480">
        <f t="shared" si="2"/>
      </c>
      <c r="O27" s="479">
        <f t="shared" si="3"/>
      </c>
      <c r="P27" s="481" t="str">
        <f t="shared" si="4"/>
        <v>--</v>
      </c>
      <c r="Q27" s="482" t="str">
        <f t="shared" si="5"/>
        <v>--</v>
      </c>
      <c r="R27" s="483" t="str">
        <f t="shared" si="6"/>
        <v>--</v>
      </c>
      <c r="S27" s="484" t="str">
        <f t="shared" si="7"/>
        <v>--</v>
      </c>
      <c r="T27" s="485" t="str">
        <f t="shared" si="8"/>
        <v>--</v>
      </c>
      <c r="U27" s="486" t="str">
        <f t="shared" si="9"/>
        <v>--</v>
      </c>
      <c r="V27" s="487" t="str">
        <f t="shared" si="10"/>
        <v>--</v>
      </c>
      <c r="W27" s="488" t="str">
        <f t="shared" si="11"/>
        <v>--</v>
      </c>
      <c r="X27" s="479">
        <f t="shared" si="12"/>
      </c>
      <c r="Y27" s="489">
        <f t="shared" si="13"/>
      </c>
      <c r="Z27" s="489" t="s">
        <v>126</v>
      </c>
      <c r="AA27" s="489"/>
      <c r="AB27" s="311"/>
    </row>
    <row r="28" spans="2:28" s="78" customFormat="1" ht="16.5" customHeight="1" thickBot="1" thickTop="1">
      <c r="B28" s="130"/>
      <c r="C28" s="605" t="s">
        <v>231</v>
      </c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6"/>
      <c r="AB28" s="187"/>
    </row>
    <row r="29" spans="2:28" ht="16.5" customHeight="1" thickTop="1">
      <c r="B29" s="239"/>
      <c r="C29" s="438">
        <v>9</v>
      </c>
      <c r="D29" s="490" t="s">
        <v>29</v>
      </c>
      <c r="E29" s="294" t="s">
        <v>12</v>
      </c>
      <c r="F29" s="516">
        <v>9</v>
      </c>
      <c r="G29" s="517" t="s">
        <v>26</v>
      </c>
      <c r="H29" s="492">
        <f aca="true" t="shared" si="14" ref="H29:H43">F29*$G$16*$M$16</f>
        <v>1.8711</v>
      </c>
      <c r="I29" s="493">
        <v>36258.62152777778</v>
      </c>
      <c r="J29" s="493">
        <v>36258.77013888889</v>
      </c>
      <c r="K29" s="400">
        <f t="shared" si="0"/>
        <v>3.566666666592937</v>
      </c>
      <c r="L29" s="494">
        <f t="shared" si="1"/>
        <v>214</v>
      </c>
      <c r="M29" s="403" t="s">
        <v>122</v>
      </c>
      <c r="N29" s="495" t="str">
        <f t="shared" si="2"/>
        <v>--</v>
      </c>
      <c r="O29" s="403" t="s">
        <v>129</v>
      </c>
      <c r="P29" s="496" t="str">
        <f t="shared" si="4"/>
        <v>--</v>
      </c>
      <c r="Q29" s="497" t="str">
        <f t="shared" si="5"/>
        <v>--</v>
      </c>
      <c r="R29" s="498" t="str">
        <f t="shared" si="6"/>
        <v>--</v>
      </c>
      <c r="S29" s="499">
        <f t="shared" si="7"/>
        <v>200.39481</v>
      </c>
      <c r="T29" s="500" t="str">
        <f t="shared" si="8"/>
        <v>--</v>
      </c>
      <c r="U29" s="501" t="str">
        <f t="shared" si="9"/>
        <v>--</v>
      </c>
      <c r="V29" s="502" t="str">
        <f t="shared" si="10"/>
        <v>--</v>
      </c>
      <c r="W29" s="503" t="str">
        <f t="shared" si="11"/>
        <v>--</v>
      </c>
      <c r="X29" s="403" t="str">
        <f t="shared" si="12"/>
        <v>SI</v>
      </c>
      <c r="Y29" s="504">
        <f t="shared" si="13"/>
        <v>200.39481</v>
      </c>
      <c r="Z29" s="504">
        <v>156.1518</v>
      </c>
      <c r="AA29" s="504">
        <f>+Y29-Z29</f>
        <v>44.24301</v>
      </c>
      <c r="AB29" s="311"/>
    </row>
    <row r="30" spans="2:28" ht="16.5" customHeight="1">
      <c r="B30" s="239"/>
      <c r="C30" s="291">
        <v>10</v>
      </c>
      <c r="D30" s="293" t="s">
        <v>19</v>
      </c>
      <c r="E30" s="294" t="s">
        <v>20</v>
      </c>
      <c r="F30" s="312">
        <v>15</v>
      </c>
      <c r="G30" s="296" t="s">
        <v>13</v>
      </c>
      <c r="H30" s="492">
        <f t="shared" si="14"/>
        <v>3.1185</v>
      </c>
      <c r="I30" s="297">
        <v>36261.45486111111</v>
      </c>
      <c r="J30" s="297">
        <v>36261.4625</v>
      </c>
      <c r="K30" s="298">
        <f t="shared" si="0"/>
        <v>0.18333333340706304</v>
      </c>
      <c r="L30" s="299">
        <f t="shared" si="1"/>
        <v>11</v>
      </c>
      <c r="M30" s="300" t="s">
        <v>122</v>
      </c>
      <c r="N30" s="301" t="str">
        <f t="shared" si="2"/>
        <v>--</v>
      </c>
      <c r="O30" s="300" t="str">
        <f t="shared" si="3"/>
        <v>NO</v>
      </c>
      <c r="P30" s="302" t="str">
        <f t="shared" si="4"/>
        <v>--</v>
      </c>
      <c r="Q30" s="303" t="str">
        <f t="shared" si="5"/>
        <v>--</v>
      </c>
      <c r="R30" s="304">
        <f t="shared" si="6"/>
        <v>93.555</v>
      </c>
      <c r="S30" s="305">
        <f t="shared" si="7"/>
        <v>16.8399</v>
      </c>
      <c r="T30" s="306" t="str">
        <f t="shared" si="8"/>
        <v>--</v>
      </c>
      <c r="U30" s="307" t="str">
        <f t="shared" si="9"/>
        <v>--</v>
      </c>
      <c r="V30" s="308" t="str">
        <f t="shared" si="10"/>
        <v>--</v>
      </c>
      <c r="W30" s="309" t="str">
        <f t="shared" si="11"/>
        <v>--</v>
      </c>
      <c r="X30" s="300" t="str">
        <f t="shared" si="12"/>
        <v>SI</v>
      </c>
      <c r="Y30" s="310">
        <f t="shared" si="13"/>
        <v>110.3949</v>
      </c>
      <c r="Z30" s="310">
        <v>86.022</v>
      </c>
      <c r="AA30" s="310">
        <f>+Y30-Z30</f>
        <v>24.3729</v>
      </c>
      <c r="AB30" s="311"/>
    </row>
    <row r="31" spans="2:28" ht="16.5" customHeight="1">
      <c r="B31" s="239"/>
      <c r="C31" s="291">
        <v>11</v>
      </c>
      <c r="D31" s="293" t="s">
        <v>31</v>
      </c>
      <c r="E31" s="294" t="s">
        <v>20</v>
      </c>
      <c r="F31" s="313">
        <v>15</v>
      </c>
      <c r="G31" s="296" t="s">
        <v>23</v>
      </c>
      <c r="H31" s="492">
        <f t="shared" si="14"/>
        <v>3.1185</v>
      </c>
      <c r="I31" s="297">
        <v>36270.90555555555</v>
      </c>
      <c r="J31" s="297">
        <v>36270.96875</v>
      </c>
      <c r="K31" s="298">
        <f t="shared" si="0"/>
        <v>1.5166666667209938</v>
      </c>
      <c r="L31" s="299">
        <f t="shared" si="1"/>
        <v>91</v>
      </c>
      <c r="M31" s="300" t="s">
        <v>122</v>
      </c>
      <c r="N31" s="301" t="str">
        <f t="shared" si="2"/>
        <v>--</v>
      </c>
      <c r="O31" s="300" t="str">
        <f t="shared" si="3"/>
        <v>NO</v>
      </c>
      <c r="P31" s="302" t="str">
        <f t="shared" si="4"/>
        <v>--</v>
      </c>
      <c r="Q31" s="303" t="str">
        <f t="shared" si="5"/>
        <v>--</v>
      </c>
      <c r="R31" s="304">
        <f t="shared" si="6"/>
        <v>93.555</v>
      </c>
      <c r="S31" s="305">
        <f t="shared" si="7"/>
        <v>142.20360000000002</v>
      </c>
      <c r="T31" s="306" t="str">
        <f t="shared" si="8"/>
        <v>--</v>
      </c>
      <c r="U31" s="307" t="str">
        <f t="shared" si="9"/>
        <v>--</v>
      </c>
      <c r="V31" s="308" t="str">
        <f t="shared" si="10"/>
        <v>--</v>
      </c>
      <c r="W31" s="309" t="str">
        <f t="shared" si="11"/>
        <v>--</v>
      </c>
      <c r="X31" s="300" t="str">
        <f t="shared" si="12"/>
        <v>SI</v>
      </c>
      <c r="Y31" s="310">
        <f t="shared" si="13"/>
        <v>235.75860000000003</v>
      </c>
      <c r="Z31" s="310">
        <v>183.70800000000003</v>
      </c>
      <c r="AA31" s="310">
        <f>+Y31-Z31</f>
        <v>52.0506</v>
      </c>
      <c r="AB31" s="311"/>
    </row>
    <row r="32" spans="2:28" ht="16.5" customHeight="1">
      <c r="B32" s="239"/>
      <c r="C32" s="291"/>
      <c r="D32" s="293"/>
      <c r="E32" s="294"/>
      <c r="F32" s="315"/>
      <c r="G32" s="316"/>
      <c r="H32" s="492">
        <f t="shared" si="14"/>
        <v>0</v>
      </c>
      <c r="I32" s="297"/>
      <c r="J32" s="297"/>
      <c r="K32" s="298">
        <f t="shared" si="0"/>
      </c>
      <c r="L32" s="299">
        <f t="shared" si="1"/>
      </c>
      <c r="M32" s="300"/>
      <c r="N32" s="301">
        <f t="shared" si="2"/>
      </c>
      <c r="O32" s="300">
        <f t="shared" si="3"/>
      </c>
      <c r="P32" s="302" t="str">
        <f t="shared" si="4"/>
        <v>--</v>
      </c>
      <c r="Q32" s="303" t="str">
        <f t="shared" si="5"/>
        <v>--</v>
      </c>
      <c r="R32" s="304" t="str">
        <f t="shared" si="6"/>
        <v>--</v>
      </c>
      <c r="S32" s="305" t="str">
        <f t="shared" si="7"/>
        <v>--</v>
      </c>
      <c r="T32" s="306" t="str">
        <f t="shared" si="8"/>
        <v>--</v>
      </c>
      <c r="U32" s="307" t="str">
        <f t="shared" si="9"/>
        <v>--</v>
      </c>
      <c r="V32" s="308" t="str">
        <f t="shared" si="10"/>
        <v>--</v>
      </c>
      <c r="W32" s="309" t="str">
        <f t="shared" si="11"/>
        <v>--</v>
      </c>
      <c r="X32" s="300">
        <f t="shared" si="12"/>
      </c>
      <c r="Y32" s="310">
        <f t="shared" si="13"/>
      </c>
      <c r="Z32" s="310" t="s">
        <v>126</v>
      </c>
      <c r="AA32" s="310"/>
      <c r="AB32" s="311"/>
    </row>
    <row r="33" spans="2:28" ht="16.5" customHeight="1">
      <c r="B33" s="239"/>
      <c r="C33" s="291"/>
      <c r="D33" s="293"/>
      <c r="E33" s="294"/>
      <c r="F33" s="315"/>
      <c r="G33" s="316"/>
      <c r="H33" s="492">
        <f t="shared" si="14"/>
        <v>0</v>
      </c>
      <c r="I33" s="297"/>
      <c r="J33" s="297"/>
      <c r="K33" s="298">
        <f t="shared" si="0"/>
      </c>
      <c r="L33" s="299">
        <f t="shared" si="1"/>
      </c>
      <c r="M33" s="300"/>
      <c r="N33" s="301">
        <f t="shared" si="2"/>
      </c>
      <c r="O33" s="300">
        <f t="shared" si="3"/>
      </c>
      <c r="P33" s="302" t="str">
        <f t="shared" si="4"/>
        <v>--</v>
      </c>
      <c r="Q33" s="303" t="str">
        <f t="shared" si="5"/>
        <v>--</v>
      </c>
      <c r="R33" s="304" t="str">
        <f t="shared" si="6"/>
        <v>--</v>
      </c>
      <c r="S33" s="305" t="str">
        <f t="shared" si="7"/>
        <v>--</v>
      </c>
      <c r="T33" s="306" t="str">
        <f t="shared" si="8"/>
        <v>--</v>
      </c>
      <c r="U33" s="307" t="str">
        <f t="shared" si="9"/>
        <v>--</v>
      </c>
      <c r="V33" s="308" t="str">
        <f t="shared" si="10"/>
        <v>--</v>
      </c>
      <c r="W33" s="309" t="str">
        <f t="shared" si="11"/>
        <v>--</v>
      </c>
      <c r="X33" s="300">
        <f t="shared" si="12"/>
      </c>
      <c r="Y33" s="310">
        <f t="shared" si="13"/>
      </c>
      <c r="Z33" s="310" t="s">
        <v>126</v>
      </c>
      <c r="AA33" s="310"/>
      <c r="AB33" s="311"/>
    </row>
    <row r="34" spans="2:28" ht="16.5" customHeight="1">
      <c r="B34" s="239"/>
      <c r="C34" s="291"/>
      <c r="D34" s="293"/>
      <c r="E34" s="294"/>
      <c r="F34" s="315"/>
      <c r="G34" s="316"/>
      <c r="H34" s="492">
        <f t="shared" si="14"/>
        <v>0</v>
      </c>
      <c r="I34" s="297"/>
      <c r="J34" s="297"/>
      <c r="K34" s="298">
        <f t="shared" si="0"/>
      </c>
      <c r="L34" s="299">
        <f t="shared" si="1"/>
      </c>
      <c r="M34" s="300"/>
      <c r="N34" s="301">
        <f t="shared" si="2"/>
      </c>
      <c r="O34" s="300">
        <f t="shared" si="3"/>
      </c>
      <c r="P34" s="302" t="str">
        <f t="shared" si="4"/>
        <v>--</v>
      </c>
      <c r="Q34" s="303" t="str">
        <f t="shared" si="5"/>
        <v>--</v>
      </c>
      <c r="R34" s="304" t="str">
        <f t="shared" si="6"/>
        <v>--</v>
      </c>
      <c r="S34" s="305" t="str">
        <f t="shared" si="7"/>
        <v>--</v>
      </c>
      <c r="T34" s="306" t="str">
        <f t="shared" si="8"/>
        <v>--</v>
      </c>
      <c r="U34" s="307" t="str">
        <f t="shared" si="9"/>
        <v>--</v>
      </c>
      <c r="V34" s="308" t="str">
        <f t="shared" si="10"/>
        <v>--</v>
      </c>
      <c r="W34" s="309" t="str">
        <f t="shared" si="11"/>
        <v>--</v>
      </c>
      <c r="X34" s="300">
        <f t="shared" si="12"/>
      </c>
      <c r="Y34" s="310">
        <f t="shared" si="13"/>
      </c>
      <c r="Z34" s="310" t="s">
        <v>126</v>
      </c>
      <c r="AA34" s="310"/>
      <c r="AB34" s="311"/>
    </row>
    <row r="35" spans="2:28" ht="16.5" customHeight="1">
      <c r="B35" s="239"/>
      <c r="C35" s="291"/>
      <c r="D35" s="293"/>
      <c r="E35" s="294"/>
      <c r="F35" s="315"/>
      <c r="G35" s="316"/>
      <c r="H35" s="492">
        <f t="shared" si="14"/>
        <v>0</v>
      </c>
      <c r="I35" s="297"/>
      <c r="J35" s="297"/>
      <c r="K35" s="298">
        <f t="shared" si="0"/>
      </c>
      <c r="L35" s="299">
        <f t="shared" si="1"/>
      </c>
      <c r="M35" s="300"/>
      <c r="N35" s="301">
        <f t="shared" si="2"/>
      </c>
      <c r="O35" s="300">
        <f t="shared" si="3"/>
      </c>
      <c r="P35" s="302" t="str">
        <f t="shared" si="4"/>
        <v>--</v>
      </c>
      <c r="Q35" s="303" t="str">
        <f t="shared" si="5"/>
        <v>--</v>
      </c>
      <c r="R35" s="304" t="str">
        <f t="shared" si="6"/>
        <v>--</v>
      </c>
      <c r="S35" s="305" t="str">
        <f t="shared" si="7"/>
        <v>--</v>
      </c>
      <c r="T35" s="306" t="str">
        <f t="shared" si="8"/>
        <v>--</v>
      </c>
      <c r="U35" s="307" t="str">
        <f t="shared" si="9"/>
        <v>--</v>
      </c>
      <c r="V35" s="308" t="str">
        <f t="shared" si="10"/>
        <v>--</v>
      </c>
      <c r="W35" s="309" t="str">
        <f t="shared" si="11"/>
        <v>--</v>
      </c>
      <c r="X35" s="300">
        <f t="shared" si="12"/>
      </c>
      <c r="Y35" s="310">
        <f t="shared" si="13"/>
      </c>
      <c r="Z35" s="310" t="s">
        <v>126</v>
      </c>
      <c r="AA35" s="310"/>
      <c r="AB35" s="311"/>
    </row>
    <row r="36" spans="2:28" ht="16.5" customHeight="1">
      <c r="B36" s="239"/>
      <c r="C36" s="291"/>
      <c r="D36" s="293"/>
      <c r="E36" s="294"/>
      <c r="F36" s="315"/>
      <c r="G36" s="316"/>
      <c r="H36" s="492">
        <f t="shared" si="14"/>
        <v>0</v>
      </c>
      <c r="I36" s="297"/>
      <c r="J36" s="297"/>
      <c r="K36" s="298">
        <f t="shared" si="0"/>
      </c>
      <c r="L36" s="299">
        <f t="shared" si="1"/>
      </c>
      <c r="M36" s="300"/>
      <c r="N36" s="301">
        <f t="shared" si="2"/>
      </c>
      <c r="O36" s="300">
        <f t="shared" si="3"/>
      </c>
      <c r="P36" s="302" t="str">
        <f t="shared" si="4"/>
        <v>--</v>
      </c>
      <c r="Q36" s="303" t="str">
        <f t="shared" si="5"/>
        <v>--</v>
      </c>
      <c r="R36" s="304" t="str">
        <f t="shared" si="6"/>
        <v>--</v>
      </c>
      <c r="S36" s="305" t="str">
        <f t="shared" si="7"/>
        <v>--</v>
      </c>
      <c r="T36" s="306" t="str">
        <f t="shared" si="8"/>
        <v>--</v>
      </c>
      <c r="U36" s="307" t="str">
        <f t="shared" si="9"/>
        <v>--</v>
      </c>
      <c r="V36" s="308" t="str">
        <f t="shared" si="10"/>
        <v>--</v>
      </c>
      <c r="W36" s="309" t="str">
        <f t="shared" si="11"/>
        <v>--</v>
      </c>
      <c r="X36" s="300">
        <f t="shared" si="12"/>
      </c>
      <c r="Y36" s="310">
        <f t="shared" si="13"/>
      </c>
      <c r="Z36" s="310" t="s">
        <v>126</v>
      </c>
      <c r="AA36" s="310"/>
      <c r="AB36" s="311"/>
    </row>
    <row r="37" spans="2:28" ht="16.5" customHeight="1">
      <c r="B37" s="239"/>
      <c r="C37" s="291"/>
      <c r="D37" s="293"/>
      <c r="E37" s="294"/>
      <c r="F37" s="315"/>
      <c r="G37" s="316"/>
      <c r="H37" s="492">
        <f t="shared" si="14"/>
        <v>0</v>
      </c>
      <c r="I37" s="297"/>
      <c r="J37" s="297"/>
      <c r="K37" s="298">
        <f t="shared" si="0"/>
      </c>
      <c r="L37" s="299">
        <f t="shared" si="1"/>
      </c>
      <c r="M37" s="300"/>
      <c r="N37" s="301">
        <f t="shared" si="2"/>
      </c>
      <c r="O37" s="300">
        <f t="shared" si="3"/>
      </c>
      <c r="P37" s="302" t="str">
        <f t="shared" si="4"/>
        <v>--</v>
      </c>
      <c r="Q37" s="303" t="str">
        <f t="shared" si="5"/>
        <v>--</v>
      </c>
      <c r="R37" s="304" t="str">
        <f t="shared" si="6"/>
        <v>--</v>
      </c>
      <c r="S37" s="305" t="str">
        <f t="shared" si="7"/>
        <v>--</v>
      </c>
      <c r="T37" s="306" t="str">
        <f t="shared" si="8"/>
        <v>--</v>
      </c>
      <c r="U37" s="307" t="str">
        <f t="shared" si="9"/>
        <v>--</v>
      </c>
      <c r="V37" s="308" t="str">
        <f t="shared" si="10"/>
        <v>--</v>
      </c>
      <c r="W37" s="309" t="str">
        <f t="shared" si="11"/>
        <v>--</v>
      </c>
      <c r="X37" s="300">
        <f t="shared" si="12"/>
      </c>
      <c r="Y37" s="310">
        <f t="shared" si="13"/>
      </c>
      <c r="Z37" s="310" t="s">
        <v>126</v>
      </c>
      <c r="AA37" s="310"/>
      <c r="AB37" s="311"/>
    </row>
    <row r="38" spans="2:28" ht="16.5" customHeight="1">
      <c r="B38" s="239"/>
      <c r="C38" s="291"/>
      <c r="D38" s="293"/>
      <c r="E38" s="294"/>
      <c r="F38" s="315"/>
      <c r="G38" s="316"/>
      <c r="H38" s="492">
        <f t="shared" si="14"/>
        <v>0</v>
      </c>
      <c r="I38" s="297"/>
      <c r="J38" s="297"/>
      <c r="K38" s="298">
        <f t="shared" si="0"/>
      </c>
      <c r="L38" s="299">
        <f t="shared" si="1"/>
      </c>
      <c r="M38" s="300"/>
      <c r="N38" s="301">
        <f t="shared" si="2"/>
      </c>
      <c r="O38" s="300">
        <f t="shared" si="3"/>
      </c>
      <c r="P38" s="302" t="str">
        <f t="shared" si="4"/>
        <v>--</v>
      </c>
      <c r="Q38" s="303" t="str">
        <f t="shared" si="5"/>
        <v>--</v>
      </c>
      <c r="R38" s="304" t="str">
        <f t="shared" si="6"/>
        <v>--</v>
      </c>
      <c r="S38" s="305" t="str">
        <f t="shared" si="7"/>
        <v>--</v>
      </c>
      <c r="T38" s="306" t="str">
        <f t="shared" si="8"/>
        <v>--</v>
      </c>
      <c r="U38" s="307" t="str">
        <f t="shared" si="9"/>
        <v>--</v>
      </c>
      <c r="V38" s="308" t="str">
        <f t="shared" si="10"/>
        <v>--</v>
      </c>
      <c r="W38" s="309" t="str">
        <f t="shared" si="11"/>
        <v>--</v>
      </c>
      <c r="X38" s="300">
        <f t="shared" si="12"/>
      </c>
      <c r="Y38" s="310">
        <f t="shared" si="13"/>
      </c>
      <c r="Z38" s="310" t="s">
        <v>126</v>
      </c>
      <c r="AA38" s="310"/>
      <c r="AB38" s="311"/>
    </row>
    <row r="39" spans="2:28" ht="16.5" customHeight="1">
      <c r="B39" s="239"/>
      <c r="C39" s="291"/>
      <c r="D39" s="293"/>
      <c r="E39" s="294"/>
      <c r="F39" s="315"/>
      <c r="G39" s="316"/>
      <c r="H39" s="492">
        <f t="shared" si="14"/>
        <v>0</v>
      </c>
      <c r="I39" s="297"/>
      <c r="J39" s="297"/>
      <c r="K39" s="298">
        <f t="shared" si="0"/>
      </c>
      <c r="L39" s="299">
        <f t="shared" si="1"/>
      </c>
      <c r="M39" s="300"/>
      <c r="N39" s="301">
        <f t="shared" si="2"/>
      </c>
      <c r="O39" s="300">
        <f t="shared" si="3"/>
      </c>
      <c r="P39" s="302" t="str">
        <f t="shared" si="4"/>
        <v>--</v>
      </c>
      <c r="Q39" s="303" t="str">
        <f t="shared" si="5"/>
        <v>--</v>
      </c>
      <c r="R39" s="304" t="str">
        <f t="shared" si="6"/>
        <v>--</v>
      </c>
      <c r="S39" s="305" t="str">
        <f t="shared" si="7"/>
        <v>--</v>
      </c>
      <c r="T39" s="306" t="str">
        <f t="shared" si="8"/>
        <v>--</v>
      </c>
      <c r="U39" s="307" t="str">
        <f t="shared" si="9"/>
        <v>--</v>
      </c>
      <c r="V39" s="308" t="str">
        <f t="shared" si="10"/>
        <v>--</v>
      </c>
      <c r="W39" s="309" t="str">
        <f t="shared" si="11"/>
        <v>--</v>
      </c>
      <c r="X39" s="300">
        <f t="shared" si="12"/>
      </c>
      <c r="Y39" s="310">
        <f t="shared" si="13"/>
      </c>
      <c r="Z39" s="310" t="s">
        <v>126</v>
      </c>
      <c r="AA39" s="310"/>
      <c r="AB39" s="311"/>
    </row>
    <row r="40" spans="2:28" ht="16.5" customHeight="1">
      <c r="B40" s="239"/>
      <c r="C40" s="291"/>
      <c r="D40" s="293"/>
      <c r="E40" s="294"/>
      <c r="F40" s="315"/>
      <c r="G40" s="316"/>
      <c r="H40" s="492">
        <f t="shared" si="14"/>
        <v>0</v>
      </c>
      <c r="I40" s="297"/>
      <c r="J40" s="297"/>
      <c r="K40" s="298">
        <f t="shared" si="0"/>
      </c>
      <c r="L40" s="299">
        <f t="shared" si="1"/>
      </c>
      <c r="M40" s="300"/>
      <c r="N40" s="301">
        <f t="shared" si="2"/>
      </c>
      <c r="O40" s="300">
        <f t="shared" si="3"/>
      </c>
      <c r="P40" s="302" t="str">
        <f t="shared" si="4"/>
        <v>--</v>
      </c>
      <c r="Q40" s="303" t="str">
        <f t="shared" si="5"/>
        <v>--</v>
      </c>
      <c r="R40" s="304" t="str">
        <f t="shared" si="6"/>
        <v>--</v>
      </c>
      <c r="S40" s="305" t="str">
        <f t="shared" si="7"/>
        <v>--</v>
      </c>
      <c r="T40" s="306" t="str">
        <f t="shared" si="8"/>
        <v>--</v>
      </c>
      <c r="U40" s="307" t="str">
        <f t="shared" si="9"/>
        <v>--</v>
      </c>
      <c r="V40" s="308" t="str">
        <f t="shared" si="10"/>
        <v>--</v>
      </c>
      <c r="W40" s="309" t="str">
        <f t="shared" si="11"/>
        <v>--</v>
      </c>
      <c r="X40" s="300">
        <f t="shared" si="12"/>
      </c>
      <c r="Y40" s="310">
        <f t="shared" si="13"/>
      </c>
      <c r="Z40" s="310" t="s">
        <v>126</v>
      </c>
      <c r="AA40" s="310"/>
      <c r="AB40" s="311"/>
    </row>
    <row r="41" spans="2:28" ht="16.5" customHeight="1">
      <c r="B41" s="239"/>
      <c r="C41" s="291"/>
      <c r="D41" s="293"/>
      <c r="E41" s="294"/>
      <c r="F41" s="295"/>
      <c r="G41" s="296"/>
      <c r="H41" s="492">
        <f t="shared" si="14"/>
        <v>0</v>
      </c>
      <c r="I41" s="297"/>
      <c r="J41" s="297"/>
      <c r="K41" s="298">
        <f t="shared" si="0"/>
      </c>
      <c r="L41" s="299">
        <f t="shared" si="1"/>
      </c>
      <c r="M41" s="300"/>
      <c r="N41" s="301">
        <f t="shared" si="2"/>
      </c>
      <c r="O41" s="300">
        <f t="shared" si="3"/>
      </c>
      <c r="P41" s="302" t="str">
        <f t="shared" si="4"/>
        <v>--</v>
      </c>
      <c r="Q41" s="303" t="str">
        <f t="shared" si="5"/>
        <v>--</v>
      </c>
      <c r="R41" s="304" t="str">
        <f t="shared" si="6"/>
        <v>--</v>
      </c>
      <c r="S41" s="305" t="str">
        <f t="shared" si="7"/>
        <v>--</v>
      </c>
      <c r="T41" s="306" t="str">
        <f t="shared" si="8"/>
        <v>--</v>
      </c>
      <c r="U41" s="307" t="str">
        <f t="shared" si="9"/>
        <v>--</v>
      </c>
      <c r="V41" s="308" t="str">
        <f t="shared" si="10"/>
        <v>--</v>
      </c>
      <c r="W41" s="309" t="str">
        <f t="shared" si="11"/>
        <v>--</v>
      </c>
      <c r="X41" s="300">
        <f t="shared" si="12"/>
      </c>
      <c r="Y41" s="310">
        <f t="shared" si="13"/>
      </c>
      <c r="Z41" s="310" t="s">
        <v>126</v>
      </c>
      <c r="AA41" s="310"/>
      <c r="AB41" s="311"/>
    </row>
    <row r="42" spans="2:28" ht="16.5" customHeight="1">
      <c r="B42" s="239"/>
      <c r="C42" s="291"/>
      <c r="D42" s="293"/>
      <c r="E42" s="294"/>
      <c r="F42" s="312"/>
      <c r="G42" s="296"/>
      <c r="H42" s="492">
        <f t="shared" si="14"/>
        <v>0</v>
      </c>
      <c r="I42" s="297"/>
      <c r="J42" s="297"/>
      <c r="K42" s="298">
        <f t="shared" si="0"/>
      </c>
      <c r="L42" s="299">
        <f t="shared" si="1"/>
      </c>
      <c r="M42" s="300"/>
      <c r="N42" s="301">
        <f t="shared" si="2"/>
      </c>
      <c r="O42" s="300">
        <f t="shared" si="3"/>
      </c>
      <c r="P42" s="302" t="str">
        <f t="shared" si="4"/>
        <v>--</v>
      </c>
      <c r="Q42" s="303" t="str">
        <f t="shared" si="5"/>
        <v>--</v>
      </c>
      <c r="R42" s="304" t="str">
        <f t="shared" si="6"/>
        <v>--</v>
      </c>
      <c r="S42" s="305" t="str">
        <f t="shared" si="7"/>
        <v>--</v>
      </c>
      <c r="T42" s="306" t="str">
        <f t="shared" si="8"/>
        <v>--</v>
      </c>
      <c r="U42" s="307" t="str">
        <f t="shared" si="9"/>
        <v>--</v>
      </c>
      <c r="V42" s="308" t="str">
        <f t="shared" si="10"/>
        <v>--</v>
      </c>
      <c r="W42" s="309" t="str">
        <f t="shared" si="11"/>
        <v>--</v>
      </c>
      <c r="X42" s="300">
        <f t="shared" si="12"/>
      </c>
      <c r="Y42" s="310">
        <f t="shared" si="13"/>
      </c>
      <c r="Z42" s="310" t="s">
        <v>126</v>
      </c>
      <c r="AA42" s="310"/>
      <c r="AB42" s="311"/>
    </row>
    <row r="43" spans="2:28" ht="16.5" customHeight="1">
      <c r="B43" s="239"/>
      <c r="C43" s="291"/>
      <c r="D43" s="293"/>
      <c r="E43" s="294"/>
      <c r="F43" s="313"/>
      <c r="G43" s="296"/>
      <c r="H43" s="492">
        <f t="shared" si="14"/>
        <v>0</v>
      </c>
      <c r="I43" s="297"/>
      <c r="J43" s="297"/>
      <c r="K43" s="298">
        <f t="shared" si="0"/>
      </c>
      <c r="L43" s="299">
        <f t="shared" si="1"/>
      </c>
      <c r="M43" s="300"/>
      <c r="N43" s="301">
        <f t="shared" si="2"/>
      </c>
      <c r="O43" s="300">
        <f t="shared" si="3"/>
      </c>
      <c r="P43" s="302" t="str">
        <f t="shared" si="4"/>
        <v>--</v>
      </c>
      <c r="Q43" s="303" t="str">
        <f t="shared" si="5"/>
        <v>--</v>
      </c>
      <c r="R43" s="304" t="str">
        <f t="shared" si="6"/>
        <v>--</v>
      </c>
      <c r="S43" s="305" t="str">
        <f t="shared" si="7"/>
        <v>--</v>
      </c>
      <c r="T43" s="306" t="str">
        <f t="shared" si="8"/>
        <v>--</v>
      </c>
      <c r="U43" s="307" t="str">
        <f t="shared" si="9"/>
        <v>--</v>
      </c>
      <c r="V43" s="308" t="str">
        <f t="shared" si="10"/>
        <v>--</v>
      </c>
      <c r="W43" s="309" t="str">
        <f t="shared" si="11"/>
        <v>--</v>
      </c>
      <c r="X43" s="300">
        <f t="shared" si="12"/>
      </c>
      <c r="Y43" s="310">
        <f t="shared" si="13"/>
      </c>
      <c r="Z43" s="310" t="s">
        <v>126</v>
      </c>
      <c r="AA43" s="310"/>
      <c r="AB43" s="311"/>
    </row>
    <row r="44" spans="2:28" ht="16.5" customHeight="1" thickBot="1">
      <c r="B44" s="239"/>
      <c r="C44" s="317"/>
      <c r="D44" s="318"/>
      <c r="E44" s="319"/>
      <c r="F44" s="318"/>
      <c r="G44" s="320"/>
      <c r="H44" s="321"/>
      <c r="I44" s="322"/>
      <c r="J44" s="322"/>
      <c r="K44" s="323"/>
      <c r="L44" s="323"/>
      <c r="M44" s="322"/>
      <c r="N44" s="324"/>
      <c r="O44" s="322"/>
      <c r="P44" s="325"/>
      <c r="Q44" s="326"/>
      <c r="R44" s="327"/>
      <c r="S44" s="328"/>
      <c r="T44" s="329"/>
      <c r="U44" s="330"/>
      <c r="V44" s="331"/>
      <c r="W44" s="332"/>
      <c r="X44" s="322"/>
      <c r="Y44" s="333"/>
      <c r="Z44" s="333"/>
      <c r="AA44" s="333"/>
      <c r="AB44" s="311"/>
    </row>
    <row r="45" spans="2:28" ht="16.5" customHeight="1" thickBot="1" thickTop="1">
      <c r="B45" s="239"/>
      <c r="C45" s="208" t="s">
        <v>120</v>
      </c>
      <c r="D45" s="209" t="s">
        <v>110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434">
        <f>ROUND(SUM(Y20:Y44),2)</f>
        <v>68824.15</v>
      </c>
      <c r="Z45" s="434">
        <f>ROUND(SUM(Z20:Z44),2)</f>
        <v>35520.52</v>
      </c>
      <c r="AA45" s="434">
        <f>ROUND(SUM(AA20:AA44),2)</f>
        <v>15508.81</v>
      </c>
      <c r="AB45" s="311"/>
    </row>
    <row r="46" spans="2:28" s="335" customFormat="1" ht="9.75" thickTop="1">
      <c r="B46" s="336"/>
      <c r="C46" s="219"/>
      <c r="D46" s="220" t="s">
        <v>111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8"/>
      <c r="Z46" s="338"/>
      <c r="AA46" s="338"/>
      <c r="AB46" s="339"/>
    </row>
    <row r="47" spans="2:28" ht="16.5" customHeight="1" thickBot="1">
      <c r="B47" s="340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2"/>
    </row>
    <row r="48" ht="13.5" thickTop="1"/>
  </sheetData>
  <mergeCells count="4">
    <mergeCell ref="C28:AA28"/>
    <mergeCell ref="C22:AA22"/>
    <mergeCell ref="J16:L16"/>
    <mergeCell ref="M16:N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14">
    <pageSetUpPr fitToPage="1"/>
  </sheetPr>
  <dimension ref="A1:AB46"/>
  <sheetViews>
    <sheetView zoomScale="75" zoomScaleNormal="75" workbookViewId="0" topLeftCell="D9">
      <selection activeCell="G17" sqref="G17"/>
    </sheetView>
  </sheetViews>
  <sheetFormatPr defaultColWidth="11.421875" defaultRowHeight="12.75"/>
  <cols>
    <col min="1" max="1" width="20.7109375" style="8" customWidth="1"/>
    <col min="2" max="2" width="15.7109375" style="8" customWidth="1"/>
    <col min="3" max="3" width="4.7109375" style="8" customWidth="1"/>
    <col min="4" max="4" width="30.7109375" style="8" customWidth="1"/>
    <col min="5" max="5" width="15.7109375" style="8" customWidth="1"/>
    <col min="6" max="6" width="8.00390625" style="8" customWidth="1"/>
    <col min="7" max="7" width="12.28125" style="8" customWidth="1"/>
    <col min="8" max="8" width="13.421875" style="8" hidden="1" customWidth="1"/>
    <col min="9" max="10" width="15.7109375" style="8" customWidth="1"/>
    <col min="11" max="12" width="9.7109375" style="8" customWidth="1"/>
    <col min="13" max="14" width="8.7109375" style="8" customWidth="1"/>
    <col min="15" max="15" width="6.00390625" style="8" customWidth="1"/>
    <col min="16" max="17" width="15.00390625" style="8" hidden="1" customWidth="1"/>
    <col min="18" max="23" width="14.57421875" style="8" hidden="1" customWidth="1"/>
    <col min="24" max="24" width="9.28125" style="8" customWidth="1"/>
    <col min="25" max="28" width="15.7109375" style="8" customWidth="1"/>
    <col min="29" max="29" width="21.421875" style="8" customWidth="1"/>
    <col min="30" max="16384" width="11.421875" style="8" customWidth="1"/>
  </cols>
  <sheetData>
    <row r="1" spans="2:28" s="3" customFormat="1" ht="26.25">
      <c r="B1" s="228"/>
      <c r="AB1" s="440" t="s">
        <v>125</v>
      </c>
    </row>
    <row r="2" spans="2:28" s="3" customFormat="1" ht="26.25">
      <c r="B2" s="76" t="str">
        <f>+total!B2</f>
        <v>ANEXO III A LA RESOLUCION ENRE N° 1227/99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12.75">
      <c r="B3" s="229"/>
    </row>
    <row r="4" spans="1:3" s="13" customFormat="1" ht="11.25">
      <c r="A4" s="230" t="s">
        <v>59</v>
      </c>
      <c r="B4" s="80"/>
      <c r="C4" s="231"/>
    </row>
    <row r="5" spans="1:3" s="13" customFormat="1" ht="11.25">
      <c r="A5" s="230" t="s">
        <v>60</v>
      </c>
      <c r="B5" s="80"/>
      <c r="C5" s="231"/>
    </row>
    <row r="6" ht="13.5" thickBot="1"/>
    <row r="7" spans="2:28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2:28" s="17" customFormat="1" ht="20.25">
      <c r="B8" s="235"/>
      <c r="C8" s="236"/>
      <c r="D8" s="237" t="s">
        <v>70</v>
      </c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8"/>
    </row>
    <row r="9" spans="2:28" ht="12.75">
      <c r="B9" s="239"/>
      <c r="C9" s="69"/>
      <c r="D9" s="69"/>
      <c r="E9" s="24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1"/>
    </row>
    <row r="10" spans="2:28" s="17" customFormat="1" ht="20.25">
      <c r="B10" s="235"/>
      <c r="C10" s="236"/>
      <c r="D10" s="237" t="s">
        <v>94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8"/>
    </row>
    <row r="11" spans="2:28" ht="12.75">
      <c r="B11" s="239"/>
      <c r="C11" s="69"/>
      <c r="D11" s="24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1"/>
    </row>
    <row r="12" spans="2:28" s="17" customFormat="1" ht="20.25">
      <c r="B12" s="235"/>
      <c r="C12" s="236"/>
      <c r="D12" s="242" t="s">
        <v>95</v>
      </c>
      <c r="E12" s="237"/>
      <c r="F12" s="236"/>
      <c r="G12" s="236"/>
      <c r="H12" s="243"/>
      <c r="I12" s="243"/>
      <c r="J12" s="243"/>
      <c r="K12" s="243"/>
      <c r="L12" s="243"/>
      <c r="M12" s="243"/>
      <c r="N12" s="243"/>
      <c r="O12" s="243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8"/>
    </row>
    <row r="13" spans="2:28" ht="12.75">
      <c r="B13" s="239"/>
      <c r="C13" s="69"/>
      <c r="D13" s="69"/>
      <c r="E13" s="69"/>
      <c r="F13" s="69"/>
      <c r="G13" s="69"/>
      <c r="H13" s="244"/>
      <c r="I13" s="244"/>
      <c r="J13" s="244"/>
      <c r="K13" s="244"/>
      <c r="L13" s="244"/>
      <c r="M13" s="244"/>
      <c r="N13" s="244"/>
      <c r="O13" s="244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1"/>
    </row>
    <row r="14" spans="2:28" s="33" customFormat="1" ht="19.5">
      <c r="B14" s="245" t="str">
        <f>+'LI (9)'!B12</f>
        <v>Desde el 01 al 31 de mayo de 1999</v>
      </c>
      <c r="C14" s="246"/>
      <c r="D14" s="247"/>
      <c r="E14" s="247"/>
      <c r="F14" s="247"/>
      <c r="G14" s="247"/>
      <c r="H14" s="247"/>
      <c r="I14" s="9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2:28" ht="16.5" thickBot="1">
      <c r="B15" s="239"/>
      <c r="C15" s="69"/>
      <c r="D15" s="69"/>
      <c r="E15" s="69"/>
      <c r="F15" s="69"/>
      <c r="G15" s="249"/>
      <c r="H15" s="69"/>
      <c r="I15" s="25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1"/>
    </row>
    <row r="16" spans="2:28" ht="14.25" thickBot="1" thickTop="1">
      <c r="B16" s="239"/>
      <c r="C16" s="251"/>
      <c r="D16" s="252" t="s">
        <v>96</v>
      </c>
      <c r="E16" s="253"/>
      <c r="F16" s="254"/>
      <c r="G16" s="255">
        <v>0.211</v>
      </c>
      <c r="H16" s="251"/>
      <c r="I16" s="251"/>
      <c r="J16" s="614" t="s">
        <v>257</v>
      </c>
      <c r="K16" s="614"/>
      <c r="L16" s="614"/>
      <c r="M16" s="613">
        <v>0.99</v>
      </c>
      <c r="N16" s="613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1"/>
    </row>
    <row r="17" spans="2:28" ht="14.25" thickBot="1" thickTop="1">
      <c r="B17" s="239"/>
      <c r="C17" s="251"/>
      <c r="D17" s="256" t="s">
        <v>97</v>
      </c>
      <c r="E17" s="257"/>
      <c r="F17" s="257"/>
      <c r="G17" s="258">
        <v>30</v>
      </c>
      <c r="H17" s="251"/>
      <c r="I17" s="106" t="str">
        <f>IF(G17=30," ",IF(G17=60,"    Coeficiente duplicado por tasa de falla &gt;4 Sal. x año/100 km.","   REVISAR COEFICIENTE"))</f>
        <v> </v>
      </c>
      <c r="J17" s="251"/>
      <c r="K17" s="251"/>
      <c r="L17" s="251"/>
      <c r="M17" s="251"/>
      <c r="N17" s="251"/>
      <c r="O17" s="251" t="s">
        <v>98</v>
      </c>
      <c r="P17" s="251"/>
      <c r="Q17" s="251"/>
      <c r="R17" s="251"/>
      <c r="S17" s="259"/>
      <c r="T17" s="251"/>
      <c r="U17" s="259"/>
      <c r="V17" s="259"/>
      <c r="W17" s="259"/>
      <c r="X17" s="259"/>
      <c r="Y17" s="251"/>
      <c r="Z17" s="251"/>
      <c r="AA17" s="251"/>
      <c r="AB17" s="241"/>
    </row>
    <row r="18" spans="2:28" ht="16.5" customHeight="1" thickBot="1" thickTop="1">
      <c r="B18" s="239"/>
      <c r="C18" s="251"/>
      <c r="D18" s="251"/>
      <c r="E18" s="251"/>
      <c r="F18" s="251"/>
      <c r="G18" s="260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41"/>
    </row>
    <row r="19" spans="2:28" s="261" customFormat="1" ht="34.5" customHeight="1" thickBot="1" thickTop="1">
      <c r="B19" s="262"/>
      <c r="C19" s="263" t="s">
        <v>74</v>
      </c>
      <c r="D19" s="264" t="s">
        <v>99</v>
      </c>
      <c r="E19" s="265" t="s">
        <v>100</v>
      </c>
      <c r="F19" s="266" t="s">
        <v>101</v>
      </c>
      <c r="G19" s="267" t="s">
        <v>102</v>
      </c>
      <c r="H19" s="116" t="s">
        <v>77</v>
      </c>
      <c r="I19" s="264" t="s">
        <v>78</v>
      </c>
      <c r="J19" s="264" t="s">
        <v>79</v>
      </c>
      <c r="K19" s="264" t="s">
        <v>103</v>
      </c>
      <c r="L19" s="264" t="s">
        <v>104</v>
      </c>
      <c r="M19" s="118" t="s">
        <v>119</v>
      </c>
      <c r="N19" s="268" t="s">
        <v>82</v>
      </c>
      <c r="O19" s="269" t="s">
        <v>83</v>
      </c>
      <c r="P19" s="270" t="s">
        <v>84</v>
      </c>
      <c r="Q19" s="271" t="s">
        <v>85</v>
      </c>
      <c r="R19" s="272" t="s">
        <v>105</v>
      </c>
      <c r="S19" s="273"/>
      <c r="T19" s="274" t="s">
        <v>106</v>
      </c>
      <c r="U19" s="275"/>
      <c r="V19" s="276" t="s">
        <v>107</v>
      </c>
      <c r="W19" s="277" t="s">
        <v>108</v>
      </c>
      <c r="X19" s="267" t="s">
        <v>109</v>
      </c>
      <c r="Y19" s="267" t="s">
        <v>91</v>
      </c>
      <c r="Z19" s="115" t="s">
        <v>226</v>
      </c>
      <c r="AA19" s="115" t="s">
        <v>127</v>
      </c>
      <c r="AB19" s="278"/>
    </row>
    <row r="20" spans="2:28" ht="16.5" customHeight="1" thickTop="1">
      <c r="B20" s="239"/>
      <c r="C20" s="279"/>
      <c r="D20" s="279" t="s">
        <v>246</v>
      </c>
      <c r="E20" s="279"/>
      <c r="F20" s="279"/>
      <c r="G20" s="280"/>
      <c r="H20" s="281"/>
      <c r="I20" s="279"/>
      <c r="J20" s="279"/>
      <c r="K20" s="282"/>
      <c r="L20" s="282"/>
      <c r="M20" s="279"/>
      <c r="N20" s="279"/>
      <c r="O20" s="279"/>
      <c r="P20" s="283"/>
      <c r="Q20" s="284"/>
      <c r="R20" s="285"/>
      <c r="S20" s="286"/>
      <c r="T20" s="287"/>
      <c r="U20" s="288"/>
      <c r="V20" s="289"/>
      <c r="W20" s="290"/>
      <c r="X20" s="279"/>
      <c r="Y20" s="148">
        <f>+'TR (5)'!Y45</f>
        <v>68824.15</v>
      </c>
      <c r="Z20" s="148">
        <f>+'TR (5)'!Z45</f>
        <v>35520.52</v>
      </c>
      <c r="AA20" s="148">
        <f>+'TR (5)'!AA45</f>
        <v>15508.81</v>
      </c>
      <c r="AB20" s="54"/>
    </row>
    <row r="21" spans="2:28" ht="16.5" customHeight="1" thickBot="1">
      <c r="B21" s="239"/>
      <c r="C21" s="473"/>
      <c r="D21" s="473"/>
      <c r="E21" s="473"/>
      <c r="F21" s="473"/>
      <c r="G21" s="473"/>
      <c r="H21" s="505"/>
      <c r="I21" s="473"/>
      <c r="J21" s="506"/>
      <c r="K21" s="507"/>
      <c r="L21" s="507"/>
      <c r="M21" s="506"/>
      <c r="N21" s="506"/>
      <c r="O21" s="506"/>
      <c r="P21" s="508"/>
      <c r="Q21" s="509"/>
      <c r="R21" s="510"/>
      <c r="S21" s="511"/>
      <c r="T21" s="512"/>
      <c r="U21" s="513"/>
      <c r="V21" s="514"/>
      <c r="W21" s="515"/>
      <c r="X21" s="473"/>
      <c r="Y21" s="507"/>
      <c r="Z21" s="507"/>
      <c r="AA21" s="507"/>
      <c r="AB21" s="54"/>
    </row>
    <row r="22" spans="2:28" s="78" customFormat="1" ht="16.5" customHeight="1" thickBot="1" thickTop="1">
      <c r="B22" s="130"/>
      <c r="C22" s="605" t="s">
        <v>238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187"/>
    </row>
    <row r="23" spans="2:28" ht="16.5" customHeight="1" thickTop="1">
      <c r="B23" s="239"/>
      <c r="C23" s="438">
        <v>12</v>
      </c>
      <c r="D23" s="490" t="s">
        <v>27</v>
      </c>
      <c r="E23" s="294" t="s">
        <v>28</v>
      </c>
      <c r="F23" s="516">
        <v>30</v>
      </c>
      <c r="G23" s="517" t="s">
        <v>13</v>
      </c>
      <c r="H23" s="492">
        <f>F23*$G$16*$M$16</f>
        <v>6.2667</v>
      </c>
      <c r="I23" s="493">
        <v>36282.10763888889</v>
      </c>
      <c r="J23" s="493">
        <v>36282.12777777778</v>
      </c>
      <c r="K23" s="400">
        <f aca="true" t="shared" si="0" ref="K23:K42">IF(I23="","",(J23-I23)*24)</f>
        <v>0.48333333333721384</v>
      </c>
      <c r="L23" s="494">
        <f aca="true" t="shared" si="1" ref="L23:L42">IF(J23="","",ROUND((J23-I23)*24*60,0))</f>
        <v>29</v>
      </c>
      <c r="M23" s="403" t="s">
        <v>122</v>
      </c>
      <c r="N23" s="495" t="str">
        <f aca="true" t="shared" si="2" ref="N23:N42">IF(D23="","","--")</f>
        <v>--</v>
      </c>
      <c r="O23" s="403" t="str">
        <f aca="true" t="shared" si="3" ref="O23:O42">IF(M23="","",IF(OR(M23="P",M23="RP"),"--","NO"))</f>
        <v>NO</v>
      </c>
      <c r="P23" s="496" t="str">
        <f aca="true" t="shared" si="4" ref="P23:P42">IF(M23="P",H23*$G$17*0.1*ROUND(L23/60,2),"--")</f>
        <v>--</v>
      </c>
      <c r="Q23" s="497" t="str">
        <f aca="true" t="shared" si="5" ref="Q23:Q42">IF(M23="RP",H23*$G$17*0.1*N23/100*ROUND(L23/60,2),"--")</f>
        <v>--</v>
      </c>
      <c r="R23" s="498">
        <f aca="true" t="shared" si="6" ref="R23:R42">IF(AND(M23="F",O23="NO"),H23*$G$17,"--")</f>
        <v>188.001</v>
      </c>
      <c r="S23" s="499">
        <f aca="true" t="shared" si="7" ref="S23:S42">IF(M23="F",H23*$G$17*ROUND(L23/60,2),"--")</f>
        <v>90.24048</v>
      </c>
      <c r="T23" s="500" t="str">
        <f aca="true" t="shared" si="8" ref="T23:T42">IF(AND(M23="R",O23="NO"),H23*$G$17*N23/100,"--")</f>
        <v>--</v>
      </c>
      <c r="U23" s="501" t="str">
        <f aca="true" t="shared" si="9" ref="U23:U42">IF(M23="R",H23*$G$17*N23/100*ROUND(L23/60,2),"--")</f>
        <v>--</v>
      </c>
      <c r="V23" s="502" t="str">
        <f aca="true" t="shared" si="10" ref="V23:V42">IF(M23="RF",H23*$G$17*ROUND(L23/60,2),"--")</f>
        <v>--</v>
      </c>
      <c r="W23" s="503" t="str">
        <f aca="true" t="shared" si="11" ref="W23:W42">IF(M23="RR",H23*$G$17*N23/100*ROUND(L23/60,2),"--")</f>
        <v>--</v>
      </c>
      <c r="X23" s="403" t="str">
        <f aca="true" t="shared" si="12" ref="X23:X42">IF(D23="","","SI")</f>
        <v>SI</v>
      </c>
      <c r="Y23" s="504">
        <f aca="true" t="shared" si="13" ref="Y23:Y42">IF(D23="","",IF(X23="SI",SUM(P23:W23),2*SUM(P23:W23)))</f>
        <v>278.24148</v>
      </c>
      <c r="Z23" s="504">
        <v>217.11600000000004</v>
      </c>
      <c r="AA23" s="504">
        <f>+Y23-Z23</f>
        <v>61.12547999999998</v>
      </c>
      <c r="AB23" s="311"/>
    </row>
    <row r="24" spans="2:28" ht="16.5" customHeight="1">
      <c r="B24" s="239"/>
      <c r="C24" s="291">
        <v>13</v>
      </c>
      <c r="D24" s="293" t="s">
        <v>27</v>
      </c>
      <c r="E24" s="294" t="s">
        <v>22</v>
      </c>
      <c r="F24" s="312">
        <v>30</v>
      </c>
      <c r="G24" s="296" t="s">
        <v>13</v>
      </c>
      <c r="H24" s="492">
        <f aca="true" t="shared" si="14" ref="H24:H42">F24*$G$16*$M$16</f>
        <v>6.2667</v>
      </c>
      <c r="I24" s="297">
        <v>36287.381944444445</v>
      </c>
      <c r="J24" s="297">
        <v>36287.3875</v>
      </c>
      <c r="K24" s="298">
        <f t="shared" si="0"/>
        <v>0.1333333332440816</v>
      </c>
      <c r="L24" s="299">
        <f t="shared" si="1"/>
        <v>8</v>
      </c>
      <c r="M24" s="300" t="s">
        <v>123</v>
      </c>
      <c r="N24" s="301">
        <v>60</v>
      </c>
      <c r="O24" s="300" t="str">
        <f t="shared" si="3"/>
        <v>NO</v>
      </c>
      <c r="P24" s="302" t="str">
        <f t="shared" si="4"/>
        <v>--</v>
      </c>
      <c r="Q24" s="303" t="str">
        <f t="shared" si="5"/>
        <v>--</v>
      </c>
      <c r="R24" s="304" t="str">
        <f t="shared" si="6"/>
        <v>--</v>
      </c>
      <c r="S24" s="305" t="str">
        <f t="shared" si="7"/>
        <v>--</v>
      </c>
      <c r="T24" s="306">
        <f t="shared" si="8"/>
        <v>112.80059999999999</v>
      </c>
      <c r="U24" s="307">
        <f t="shared" si="9"/>
        <v>14.664077999999998</v>
      </c>
      <c r="V24" s="308" t="str">
        <f t="shared" si="10"/>
        <v>--</v>
      </c>
      <c r="W24" s="309" t="str">
        <f t="shared" si="11"/>
        <v>--</v>
      </c>
      <c r="X24" s="300" t="str">
        <f t="shared" si="12"/>
        <v>SI</v>
      </c>
      <c r="Y24" s="310">
        <f t="shared" si="13"/>
        <v>127.46467799999999</v>
      </c>
      <c r="Z24" s="310">
        <v>99.46260000000002</v>
      </c>
      <c r="AA24" s="310">
        <f aca="true" t="shared" si="15" ref="AA24:AA31">+Y24-Z24</f>
        <v>28.00207799999997</v>
      </c>
      <c r="AB24" s="311"/>
    </row>
    <row r="25" spans="2:28" ht="16.5" customHeight="1">
      <c r="B25" s="239"/>
      <c r="C25" s="291">
        <v>14</v>
      </c>
      <c r="D25" s="293" t="s">
        <v>29</v>
      </c>
      <c r="E25" s="294" t="s">
        <v>12</v>
      </c>
      <c r="F25" s="313">
        <v>15</v>
      </c>
      <c r="G25" s="296" t="s">
        <v>26</v>
      </c>
      <c r="H25" s="492">
        <f t="shared" si="14"/>
        <v>3.13335</v>
      </c>
      <c r="I25" s="297">
        <v>36290.572222222225</v>
      </c>
      <c r="J25" s="297">
        <v>36297.70138888889</v>
      </c>
      <c r="K25" s="298">
        <f t="shared" si="0"/>
        <v>171.09999999997672</v>
      </c>
      <c r="L25" s="299">
        <f t="shared" si="1"/>
        <v>10266</v>
      </c>
      <c r="M25" s="300" t="s">
        <v>121</v>
      </c>
      <c r="N25" s="301" t="str">
        <f t="shared" si="2"/>
        <v>--</v>
      </c>
      <c r="O25" s="300" t="str">
        <f t="shared" si="3"/>
        <v>--</v>
      </c>
      <c r="P25" s="302">
        <f t="shared" si="4"/>
        <v>1608.348555</v>
      </c>
      <c r="Q25" s="303" t="str">
        <f t="shared" si="5"/>
        <v>--</v>
      </c>
      <c r="R25" s="304" t="str">
        <f t="shared" si="6"/>
        <v>--</v>
      </c>
      <c r="S25" s="305" t="str">
        <f t="shared" si="7"/>
        <v>--</v>
      </c>
      <c r="T25" s="306" t="str">
        <f t="shared" si="8"/>
        <v>--</v>
      </c>
      <c r="U25" s="307" t="str">
        <f t="shared" si="9"/>
        <v>--</v>
      </c>
      <c r="V25" s="308" t="str">
        <f t="shared" si="10"/>
        <v>--</v>
      </c>
      <c r="W25" s="309" t="str">
        <f t="shared" si="11"/>
        <v>--</v>
      </c>
      <c r="X25" s="300" t="str">
        <f t="shared" si="12"/>
        <v>SI</v>
      </c>
      <c r="Y25" s="310">
        <f t="shared" si="13"/>
        <v>1608.348555</v>
      </c>
      <c r="Z25" s="310">
        <v>1255.0185000000001</v>
      </c>
      <c r="AA25" s="310">
        <f t="shared" si="15"/>
        <v>353.3300549999999</v>
      </c>
      <c r="AB25" s="311"/>
    </row>
    <row r="26" spans="2:28" ht="16.5" customHeight="1">
      <c r="B26" s="239"/>
      <c r="C26" s="291">
        <v>15</v>
      </c>
      <c r="D26" s="293" t="s">
        <v>27</v>
      </c>
      <c r="E26" s="294" t="s">
        <v>28</v>
      </c>
      <c r="F26" s="294">
        <v>30</v>
      </c>
      <c r="G26" s="296" t="s">
        <v>13</v>
      </c>
      <c r="H26" s="492">
        <f t="shared" si="14"/>
        <v>6.2667</v>
      </c>
      <c r="I26" s="297">
        <v>36299.57986111111</v>
      </c>
      <c r="J26" s="297">
        <v>36299.71388888889</v>
      </c>
      <c r="K26" s="298">
        <f t="shared" si="0"/>
        <v>3.2166666666744277</v>
      </c>
      <c r="L26" s="299">
        <f t="shared" si="1"/>
        <v>193</v>
      </c>
      <c r="M26" s="300" t="s">
        <v>121</v>
      </c>
      <c r="N26" s="301" t="str">
        <f t="shared" si="2"/>
        <v>--</v>
      </c>
      <c r="O26" s="300" t="str">
        <f t="shared" si="3"/>
        <v>--</v>
      </c>
      <c r="P26" s="302">
        <f t="shared" si="4"/>
        <v>60.536322000000006</v>
      </c>
      <c r="Q26" s="303" t="str">
        <f t="shared" si="5"/>
        <v>--</v>
      </c>
      <c r="R26" s="304" t="str">
        <f t="shared" si="6"/>
        <v>--</v>
      </c>
      <c r="S26" s="305" t="str">
        <f t="shared" si="7"/>
        <v>--</v>
      </c>
      <c r="T26" s="306" t="str">
        <f t="shared" si="8"/>
        <v>--</v>
      </c>
      <c r="U26" s="307" t="str">
        <f t="shared" si="9"/>
        <v>--</v>
      </c>
      <c r="V26" s="308" t="str">
        <f t="shared" si="10"/>
        <v>--</v>
      </c>
      <c r="W26" s="309" t="str">
        <f t="shared" si="11"/>
        <v>--</v>
      </c>
      <c r="X26" s="300" t="str">
        <f t="shared" si="12"/>
        <v>SI</v>
      </c>
      <c r="Y26" s="310">
        <f t="shared" si="13"/>
        <v>60.536322000000006</v>
      </c>
      <c r="Z26" s="310">
        <v>47.23740000000001</v>
      </c>
      <c r="AA26" s="310">
        <f t="shared" si="15"/>
        <v>13.298921999999997</v>
      </c>
      <c r="AB26" s="311"/>
    </row>
    <row r="27" spans="2:28" ht="16.5" customHeight="1">
      <c r="B27" s="239"/>
      <c r="C27" s="291">
        <v>16</v>
      </c>
      <c r="D27" s="293" t="s">
        <v>27</v>
      </c>
      <c r="E27" s="294" t="s">
        <v>22</v>
      </c>
      <c r="F27" s="294">
        <v>30</v>
      </c>
      <c r="G27" s="296" t="s">
        <v>13</v>
      </c>
      <c r="H27" s="492">
        <f t="shared" si="14"/>
        <v>6.2667</v>
      </c>
      <c r="I27" s="297">
        <v>36300.39027777778</v>
      </c>
      <c r="J27" s="297">
        <v>36300.521527777775</v>
      </c>
      <c r="K27" s="298">
        <f t="shared" si="0"/>
        <v>3.1499999999650754</v>
      </c>
      <c r="L27" s="299">
        <f t="shared" si="1"/>
        <v>189</v>
      </c>
      <c r="M27" s="300" t="s">
        <v>121</v>
      </c>
      <c r="N27" s="301" t="str">
        <f t="shared" si="2"/>
        <v>--</v>
      </c>
      <c r="O27" s="300" t="str">
        <f t="shared" si="3"/>
        <v>--</v>
      </c>
      <c r="P27" s="302">
        <f t="shared" si="4"/>
        <v>59.220315</v>
      </c>
      <c r="Q27" s="303" t="str">
        <f t="shared" si="5"/>
        <v>--</v>
      </c>
      <c r="R27" s="304" t="str">
        <f t="shared" si="6"/>
        <v>--</v>
      </c>
      <c r="S27" s="305" t="str">
        <f t="shared" si="7"/>
        <v>--</v>
      </c>
      <c r="T27" s="306" t="str">
        <f t="shared" si="8"/>
        <v>--</v>
      </c>
      <c r="U27" s="307" t="str">
        <f t="shared" si="9"/>
        <v>--</v>
      </c>
      <c r="V27" s="308" t="str">
        <f t="shared" si="10"/>
        <v>--</v>
      </c>
      <c r="W27" s="309" t="str">
        <f t="shared" si="11"/>
        <v>--</v>
      </c>
      <c r="X27" s="300" t="str">
        <f t="shared" si="12"/>
        <v>SI</v>
      </c>
      <c r="Y27" s="310">
        <f t="shared" si="13"/>
        <v>59.220315</v>
      </c>
      <c r="Z27" s="310">
        <v>46.2105</v>
      </c>
      <c r="AA27" s="310">
        <f t="shared" si="15"/>
        <v>13.009814999999996</v>
      </c>
      <c r="AB27" s="311"/>
    </row>
    <row r="28" spans="2:28" ht="16.5" customHeight="1">
      <c r="B28" s="239"/>
      <c r="C28" s="291">
        <v>17</v>
      </c>
      <c r="D28" s="293" t="s">
        <v>31</v>
      </c>
      <c r="E28" s="294" t="s">
        <v>20</v>
      </c>
      <c r="F28" s="294">
        <v>15</v>
      </c>
      <c r="G28" s="296" t="s">
        <v>23</v>
      </c>
      <c r="H28" s="492">
        <f t="shared" si="14"/>
        <v>3.13335</v>
      </c>
      <c r="I28" s="297">
        <v>36300.43194444444</v>
      </c>
      <c r="J28" s="297">
        <v>36300.58472222222</v>
      </c>
      <c r="K28" s="298">
        <f t="shared" si="0"/>
        <v>3.666666666744277</v>
      </c>
      <c r="L28" s="299">
        <f t="shared" si="1"/>
        <v>220</v>
      </c>
      <c r="M28" s="300" t="s">
        <v>121</v>
      </c>
      <c r="N28" s="301" t="str">
        <f t="shared" si="2"/>
        <v>--</v>
      </c>
      <c r="O28" s="300" t="str">
        <f t="shared" si="3"/>
        <v>--</v>
      </c>
      <c r="P28" s="302">
        <f t="shared" si="4"/>
        <v>34.4981835</v>
      </c>
      <c r="Q28" s="303" t="str">
        <f t="shared" si="5"/>
        <v>--</v>
      </c>
      <c r="R28" s="304" t="str">
        <f t="shared" si="6"/>
        <v>--</v>
      </c>
      <c r="S28" s="305" t="str">
        <f t="shared" si="7"/>
        <v>--</v>
      </c>
      <c r="T28" s="306" t="str">
        <f t="shared" si="8"/>
        <v>--</v>
      </c>
      <c r="U28" s="307" t="str">
        <f t="shared" si="9"/>
        <v>--</v>
      </c>
      <c r="V28" s="308" t="str">
        <f t="shared" si="10"/>
        <v>--</v>
      </c>
      <c r="W28" s="309" t="str">
        <f t="shared" si="11"/>
        <v>--</v>
      </c>
      <c r="X28" s="300" t="str">
        <f t="shared" si="12"/>
        <v>SI</v>
      </c>
      <c r="Y28" s="310">
        <f t="shared" si="13"/>
        <v>34.4981835</v>
      </c>
      <c r="Z28" s="310">
        <v>26.91945</v>
      </c>
      <c r="AA28" s="310">
        <f t="shared" si="15"/>
        <v>7.578733500000002</v>
      </c>
      <c r="AB28" s="311"/>
    </row>
    <row r="29" spans="2:28" ht="16.5" customHeight="1">
      <c r="B29" s="239"/>
      <c r="C29" s="291">
        <v>18</v>
      </c>
      <c r="D29" s="314" t="s">
        <v>148</v>
      </c>
      <c r="E29" s="294" t="s">
        <v>20</v>
      </c>
      <c r="F29" s="313">
        <v>15</v>
      </c>
      <c r="G29" s="296" t="s">
        <v>13</v>
      </c>
      <c r="H29" s="492">
        <f t="shared" si="14"/>
        <v>3.13335</v>
      </c>
      <c r="I29" s="297">
        <v>36302.75069444445</v>
      </c>
      <c r="J29" s="297">
        <v>36302.78194444445</v>
      </c>
      <c r="K29" s="298">
        <f t="shared" si="0"/>
        <v>0.75</v>
      </c>
      <c r="L29" s="299">
        <f t="shared" si="1"/>
        <v>45</v>
      </c>
      <c r="M29" s="300" t="s">
        <v>122</v>
      </c>
      <c r="N29" s="301" t="str">
        <f t="shared" si="2"/>
        <v>--</v>
      </c>
      <c r="O29" s="300" t="str">
        <f t="shared" si="3"/>
        <v>NO</v>
      </c>
      <c r="P29" s="302" t="str">
        <f t="shared" si="4"/>
        <v>--</v>
      </c>
      <c r="Q29" s="303" t="str">
        <f t="shared" si="5"/>
        <v>--</v>
      </c>
      <c r="R29" s="304">
        <f t="shared" si="6"/>
        <v>94.0005</v>
      </c>
      <c r="S29" s="305">
        <f t="shared" si="7"/>
        <v>70.500375</v>
      </c>
      <c r="T29" s="306" t="str">
        <f t="shared" si="8"/>
        <v>--</v>
      </c>
      <c r="U29" s="307" t="str">
        <f t="shared" si="9"/>
        <v>--</v>
      </c>
      <c r="V29" s="308" t="str">
        <f t="shared" si="10"/>
        <v>--</v>
      </c>
      <c r="W29" s="309" t="str">
        <f t="shared" si="11"/>
        <v>--</v>
      </c>
      <c r="X29" s="300" t="str">
        <f t="shared" si="12"/>
        <v>SI</v>
      </c>
      <c r="Y29" s="310">
        <f t="shared" si="13"/>
        <v>164.500875</v>
      </c>
      <c r="Z29" s="310">
        <v>128.3625</v>
      </c>
      <c r="AA29" s="310">
        <f t="shared" si="15"/>
        <v>36.138374999999996</v>
      </c>
      <c r="AB29" s="311"/>
    </row>
    <row r="30" spans="2:28" ht="16.5" customHeight="1">
      <c r="B30" s="239"/>
      <c r="C30" s="291">
        <v>19</v>
      </c>
      <c r="D30" s="293" t="s">
        <v>25</v>
      </c>
      <c r="E30" s="294" t="s">
        <v>12</v>
      </c>
      <c r="F30" s="315">
        <v>15</v>
      </c>
      <c r="G30" s="316" t="s">
        <v>26</v>
      </c>
      <c r="H30" s="492">
        <f t="shared" si="14"/>
        <v>3.13335</v>
      </c>
      <c r="I30" s="297">
        <v>36302.76944444444</v>
      </c>
      <c r="J30" s="297">
        <v>36302.779861111114</v>
      </c>
      <c r="K30" s="298">
        <f t="shared" si="0"/>
        <v>0.2500000001164153</v>
      </c>
      <c r="L30" s="299">
        <f t="shared" si="1"/>
        <v>15</v>
      </c>
      <c r="M30" s="300" t="s">
        <v>122</v>
      </c>
      <c r="N30" s="301" t="str">
        <f t="shared" si="2"/>
        <v>--</v>
      </c>
      <c r="O30" s="300" t="str">
        <f t="shared" si="3"/>
        <v>NO</v>
      </c>
      <c r="P30" s="302" t="str">
        <f t="shared" si="4"/>
        <v>--</v>
      </c>
      <c r="Q30" s="303" t="str">
        <f t="shared" si="5"/>
        <v>--</v>
      </c>
      <c r="R30" s="304">
        <f t="shared" si="6"/>
        <v>94.0005</v>
      </c>
      <c r="S30" s="305">
        <f t="shared" si="7"/>
        <v>23.500125</v>
      </c>
      <c r="T30" s="306" t="str">
        <f t="shared" si="8"/>
        <v>--</v>
      </c>
      <c r="U30" s="307" t="str">
        <f t="shared" si="9"/>
        <v>--</v>
      </c>
      <c r="V30" s="308" t="str">
        <f t="shared" si="10"/>
        <v>--</v>
      </c>
      <c r="W30" s="309" t="str">
        <f t="shared" si="11"/>
        <v>--</v>
      </c>
      <c r="X30" s="300" t="str">
        <f t="shared" si="12"/>
        <v>SI</v>
      </c>
      <c r="Y30" s="310">
        <f t="shared" si="13"/>
        <v>117.500625</v>
      </c>
      <c r="Z30" s="310">
        <v>91.6875</v>
      </c>
      <c r="AA30" s="310">
        <f t="shared" si="15"/>
        <v>25.813125</v>
      </c>
      <c r="AB30" s="311"/>
    </row>
    <row r="31" spans="2:28" ht="16.5" customHeight="1">
      <c r="B31" s="239"/>
      <c r="C31" s="291">
        <v>20</v>
      </c>
      <c r="D31" s="293" t="s">
        <v>25</v>
      </c>
      <c r="E31" s="294" t="s">
        <v>14</v>
      </c>
      <c r="F31" s="315">
        <v>15</v>
      </c>
      <c r="G31" s="316" t="s">
        <v>26</v>
      </c>
      <c r="H31" s="492">
        <f t="shared" si="14"/>
        <v>3.13335</v>
      </c>
      <c r="I31" s="297">
        <v>36302.76944444444</v>
      </c>
      <c r="J31" s="297">
        <v>36302.779861111114</v>
      </c>
      <c r="K31" s="298">
        <f t="shared" si="0"/>
        <v>0.2500000001164153</v>
      </c>
      <c r="L31" s="299">
        <f t="shared" si="1"/>
        <v>15</v>
      </c>
      <c r="M31" s="300" t="s">
        <v>122</v>
      </c>
      <c r="N31" s="301" t="str">
        <f t="shared" si="2"/>
        <v>--</v>
      </c>
      <c r="O31" s="300" t="str">
        <f t="shared" si="3"/>
        <v>NO</v>
      </c>
      <c r="P31" s="302" t="str">
        <f t="shared" si="4"/>
        <v>--</v>
      </c>
      <c r="Q31" s="303" t="str">
        <f t="shared" si="5"/>
        <v>--</v>
      </c>
      <c r="R31" s="304">
        <f t="shared" si="6"/>
        <v>94.0005</v>
      </c>
      <c r="S31" s="305">
        <f t="shared" si="7"/>
        <v>23.500125</v>
      </c>
      <c r="T31" s="306" t="str">
        <f t="shared" si="8"/>
        <v>--</v>
      </c>
      <c r="U31" s="307" t="str">
        <f t="shared" si="9"/>
        <v>--</v>
      </c>
      <c r="V31" s="308" t="str">
        <f t="shared" si="10"/>
        <v>--</v>
      </c>
      <c r="W31" s="309" t="str">
        <f t="shared" si="11"/>
        <v>--</v>
      </c>
      <c r="X31" s="300" t="str">
        <f t="shared" si="12"/>
        <v>SI</v>
      </c>
      <c r="Y31" s="310">
        <f t="shared" si="13"/>
        <v>117.500625</v>
      </c>
      <c r="Z31" s="310">
        <v>91.6875</v>
      </c>
      <c r="AA31" s="310">
        <f t="shared" si="15"/>
        <v>25.813125</v>
      </c>
      <c r="AB31" s="311"/>
    </row>
    <row r="32" spans="2:28" ht="16.5" customHeight="1">
      <c r="B32" s="239"/>
      <c r="C32" s="291"/>
      <c r="D32" s="293"/>
      <c r="E32" s="294"/>
      <c r="F32" s="315"/>
      <c r="G32" s="316"/>
      <c r="H32" s="492">
        <f t="shared" si="14"/>
        <v>0</v>
      </c>
      <c r="I32" s="297"/>
      <c r="J32" s="297"/>
      <c r="K32" s="298">
        <f t="shared" si="0"/>
      </c>
      <c r="L32" s="299">
        <f t="shared" si="1"/>
      </c>
      <c r="M32" s="300"/>
      <c r="N32" s="301">
        <f t="shared" si="2"/>
      </c>
      <c r="O32" s="300">
        <f t="shared" si="3"/>
      </c>
      <c r="P32" s="302" t="str">
        <f t="shared" si="4"/>
        <v>--</v>
      </c>
      <c r="Q32" s="303" t="str">
        <f t="shared" si="5"/>
        <v>--</v>
      </c>
      <c r="R32" s="304" t="str">
        <f t="shared" si="6"/>
        <v>--</v>
      </c>
      <c r="S32" s="305" t="str">
        <f t="shared" si="7"/>
        <v>--</v>
      </c>
      <c r="T32" s="306" t="str">
        <f t="shared" si="8"/>
        <v>--</v>
      </c>
      <c r="U32" s="307" t="str">
        <f t="shared" si="9"/>
        <v>--</v>
      </c>
      <c r="V32" s="308" t="str">
        <f t="shared" si="10"/>
        <v>--</v>
      </c>
      <c r="W32" s="309" t="str">
        <f t="shared" si="11"/>
        <v>--</v>
      </c>
      <c r="X32" s="300">
        <f t="shared" si="12"/>
      </c>
      <c r="Y32" s="310">
        <f t="shared" si="13"/>
      </c>
      <c r="Z32" s="310" t="s">
        <v>126</v>
      </c>
      <c r="AA32" s="310"/>
      <c r="AB32" s="311"/>
    </row>
    <row r="33" spans="2:28" ht="16.5" customHeight="1">
      <c r="B33" s="239"/>
      <c r="C33" s="291"/>
      <c r="D33" s="293"/>
      <c r="E33" s="294"/>
      <c r="F33" s="315"/>
      <c r="G33" s="316"/>
      <c r="H33" s="492">
        <f t="shared" si="14"/>
        <v>0</v>
      </c>
      <c r="I33" s="297"/>
      <c r="J33" s="297"/>
      <c r="K33" s="298">
        <f t="shared" si="0"/>
      </c>
      <c r="L33" s="299">
        <f t="shared" si="1"/>
      </c>
      <c r="M33" s="300"/>
      <c r="N33" s="301">
        <f t="shared" si="2"/>
      </c>
      <c r="O33" s="300">
        <f t="shared" si="3"/>
      </c>
      <c r="P33" s="302" t="str">
        <f t="shared" si="4"/>
        <v>--</v>
      </c>
      <c r="Q33" s="303" t="str">
        <f t="shared" si="5"/>
        <v>--</v>
      </c>
      <c r="R33" s="304" t="str">
        <f t="shared" si="6"/>
        <v>--</v>
      </c>
      <c r="S33" s="305" t="str">
        <f t="shared" si="7"/>
        <v>--</v>
      </c>
      <c r="T33" s="306" t="str">
        <f t="shared" si="8"/>
        <v>--</v>
      </c>
      <c r="U33" s="307" t="str">
        <f t="shared" si="9"/>
        <v>--</v>
      </c>
      <c r="V33" s="308" t="str">
        <f t="shared" si="10"/>
        <v>--</v>
      </c>
      <c r="W33" s="309" t="str">
        <f t="shared" si="11"/>
        <v>--</v>
      </c>
      <c r="X33" s="300">
        <f t="shared" si="12"/>
      </c>
      <c r="Y33" s="310">
        <f t="shared" si="13"/>
      </c>
      <c r="Z33" s="310" t="s">
        <v>126</v>
      </c>
      <c r="AA33" s="310"/>
      <c r="AB33" s="311"/>
    </row>
    <row r="34" spans="2:28" ht="16.5" customHeight="1">
      <c r="B34" s="239"/>
      <c r="C34" s="291"/>
      <c r="D34" s="293"/>
      <c r="E34" s="294"/>
      <c r="F34" s="315"/>
      <c r="G34" s="316"/>
      <c r="H34" s="492">
        <f t="shared" si="14"/>
        <v>0</v>
      </c>
      <c r="I34" s="297"/>
      <c r="J34" s="297"/>
      <c r="K34" s="298">
        <f t="shared" si="0"/>
      </c>
      <c r="L34" s="299">
        <f t="shared" si="1"/>
      </c>
      <c r="M34" s="300"/>
      <c r="N34" s="301">
        <f t="shared" si="2"/>
      </c>
      <c r="O34" s="300">
        <f t="shared" si="3"/>
      </c>
      <c r="P34" s="302" t="str">
        <f t="shared" si="4"/>
        <v>--</v>
      </c>
      <c r="Q34" s="303" t="str">
        <f t="shared" si="5"/>
        <v>--</v>
      </c>
      <c r="R34" s="304" t="str">
        <f t="shared" si="6"/>
        <v>--</v>
      </c>
      <c r="S34" s="305" t="str">
        <f t="shared" si="7"/>
        <v>--</v>
      </c>
      <c r="T34" s="306" t="str">
        <f t="shared" si="8"/>
        <v>--</v>
      </c>
      <c r="U34" s="307" t="str">
        <f t="shared" si="9"/>
        <v>--</v>
      </c>
      <c r="V34" s="308" t="str">
        <f t="shared" si="10"/>
        <v>--</v>
      </c>
      <c r="W34" s="309" t="str">
        <f t="shared" si="11"/>
        <v>--</v>
      </c>
      <c r="X34" s="300">
        <f t="shared" si="12"/>
      </c>
      <c r="Y34" s="310">
        <f t="shared" si="13"/>
      </c>
      <c r="Z34" s="310" t="s">
        <v>126</v>
      </c>
      <c r="AA34" s="310"/>
      <c r="AB34" s="311"/>
    </row>
    <row r="35" spans="2:28" ht="16.5" customHeight="1">
      <c r="B35" s="239"/>
      <c r="C35" s="291"/>
      <c r="D35" s="293"/>
      <c r="E35" s="294"/>
      <c r="F35" s="315"/>
      <c r="G35" s="316"/>
      <c r="H35" s="492">
        <f t="shared" si="14"/>
        <v>0</v>
      </c>
      <c r="I35" s="297"/>
      <c r="J35" s="297"/>
      <c r="K35" s="298">
        <f t="shared" si="0"/>
      </c>
      <c r="L35" s="299">
        <f t="shared" si="1"/>
      </c>
      <c r="M35" s="300"/>
      <c r="N35" s="301">
        <f t="shared" si="2"/>
      </c>
      <c r="O35" s="300">
        <f t="shared" si="3"/>
      </c>
      <c r="P35" s="302" t="str">
        <f t="shared" si="4"/>
        <v>--</v>
      </c>
      <c r="Q35" s="303" t="str">
        <f t="shared" si="5"/>
        <v>--</v>
      </c>
      <c r="R35" s="304" t="str">
        <f t="shared" si="6"/>
        <v>--</v>
      </c>
      <c r="S35" s="305" t="str">
        <f t="shared" si="7"/>
        <v>--</v>
      </c>
      <c r="T35" s="306" t="str">
        <f t="shared" si="8"/>
        <v>--</v>
      </c>
      <c r="U35" s="307" t="str">
        <f t="shared" si="9"/>
        <v>--</v>
      </c>
      <c r="V35" s="308" t="str">
        <f t="shared" si="10"/>
        <v>--</v>
      </c>
      <c r="W35" s="309" t="str">
        <f t="shared" si="11"/>
        <v>--</v>
      </c>
      <c r="X35" s="300">
        <f t="shared" si="12"/>
      </c>
      <c r="Y35" s="310">
        <f t="shared" si="13"/>
      </c>
      <c r="Z35" s="310" t="s">
        <v>126</v>
      </c>
      <c r="AA35" s="310"/>
      <c r="AB35" s="311"/>
    </row>
    <row r="36" spans="2:28" ht="16.5" customHeight="1">
      <c r="B36" s="239"/>
      <c r="C36" s="291"/>
      <c r="D36" s="293"/>
      <c r="E36" s="294"/>
      <c r="F36" s="315"/>
      <c r="G36" s="316"/>
      <c r="H36" s="492">
        <f t="shared" si="14"/>
        <v>0</v>
      </c>
      <c r="I36" s="297"/>
      <c r="J36" s="297"/>
      <c r="K36" s="298">
        <f t="shared" si="0"/>
      </c>
      <c r="L36" s="299">
        <f t="shared" si="1"/>
      </c>
      <c r="M36" s="300"/>
      <c r="N36" s="301">
        <f t="shared" si="2"/>
      </c>
      <c r="O36" s="300">
        <f t="shared" si="3"/>
      </c>
      <c r="P36" s="302" t="str">
        <f t="shared" si="4"/>
        <v>--</v>
      </c>
      <c r="Q36" s="303" t="str">
        <f t="shared" si="5"/>
        <v>--</v>
      </c>
      <c r="R36" s="304" t="str">
        <f t="shared" si="6"/>
        <v>--</v>
      </c>
      <c r="S36" s="305" t="str">
        <f t="shared" si="7"/>
        <v>--</v>
      </c>
      <c r="T36" s="306" t="str">
        <f t="shared" si="8"/>
        <v>--</v>
      </c>
      <c r="U36" s="307" t="str">
        <f t="shared" si="9"/>
        <v>--</v>
      </c>
      <c r="V36" s="308" t="str">
        <f t="shared" si="10"/>
        <v>--</v>
      </c>
      <c r="W36" s="309" t="str">
        <f t="shared" si="11"/>
        <v>--</v>
      </c>
      <c r="X36" s="300">
        <f t="shared" si="12"/>
      </c>
      <c r="Y36" s="310">
        <f t="shared" si="13"/>
      </c>
      <c r="Z36" s="310" t="s">
        <v>126</v>
      </c>
      <c r="AA36" s="310"/>
      <c r="AB36" s="311"/>
    </row>
    <row r="37" spans="2:28" ht="16.5" customHeight="1">
      <c r="B37" s="239"/>
      <c r="C37" s="291"/>
      <c r="D37" s="293"/>
      <c r="E37" s="294"/>
      <c r="F37" s="315"/>
      <c r="G37" s="316"/>
      <c r="H37" s="492">
        <f t="shared" si="14"/>
        <v>0</v>
      </c>
      <c r="I37" s="297"/>
      <c r="J37" s="297"/>
      <c r="K37" s="298">
        <f t="shared" si="0"/>
      </c>
      <c r="L37" s="299">
        <f t="shared" si="1"/>
      </c>
      <c r="M37" s="300"/>
      <c r="N37" s="301">
        <f t="shared" si="2"/>
      </c>
      <c r="O37" s="300">
        <f t="shared" si="3"/>
      </c>
      <c r="P37" s="302" t="str">
        <f t="shared" si="4"/>
        <v>--</v>
      </c>
      <c r="Q37" s="303" t="str">
        <f t="shared" si="5"/>
        <v>--</v>
      </c>
      <c r="R37" s="304" t="str">
        <f t="shared" si="6"/>
        <v>--</v>
      </c>
      <c r="S37" s="305" t="str">
        <f t="shared" si="7"/>
        <v>--</v>
      </c>
      <c r="T37" s="306" t="str">
        <f t="shared" si="8"/>
        <v>--</v>
      </c>
      <c r="U37" s="307" t="str">
        <f t="shared" si="9"/>
        <v>--</v>
      </c>
      <c r="V37" s="308" t="str">
        <f t="shared" si="10"/>
        <v>--</v>
      </c>
      <c r="W37" s="309" t="str">
        <f t="shared" si="11"/>
        <v>--</v>
      </c>
      <c r="X37" s="300">
        <f t="shared" si="12"/>
      </c>
      <c r="Y37" s="310">
        <f t="shared" si="13"/>
      </c>
      <c r="Z37" s="310" t="s">
        <v>126</v>
      </c>
      <c r="AA37" s="310"/>
      <c r="AB37" s="311"/>
    </row>
    <row r="38" spans="2:28" ht="16.5" customHeight="1">
      <c r="B38" s="239"/>
      <c r="C38" s="291"/>
      <c r="D38" s="293"/>
      <c r="E38" s="294"/>
      <c r="F38" s="315"/>
      <c r="G38" s="316"/>
      <c r="H38" s="492">
        <f t="shared" si="14"/>
        <v>0</v>
      </c>
      <c r="I38" s="297"/>
      <c r="J38" s="297"/>
      <c r="K38" s="298">
        <f t="shared" si="0"/>
      </c>
      <c r="L38" s="299">
        <f t="shared" si="1"/>
      </c>
      <c r="M38" s="300"/>
      <c r="N38" s="301">
        <f t="shared" si="2"/>
      </c>
      <c r="O38" s="300">
        <f t="shared" si="3"/>
      </c>
      <c r="P38" s="302" t="str">
        <f t="shared" si="4"/>
        <v>--</v>
      </c>
      <c r="Q38" s="303" t="str">
        <f t="shared" si="5"/>
        <v>--</v>
      </c>
      <c r="R38" s="304" t="str">
        <f t="shared" si="6"/>
        <v>--</v>
      </c>
      <c r="S38" s="305" t="str">
        <f t="shared" si="7"/>
        <v>--</v>
      </c>
      <c r="T38" s="306" t="str">
        <f t="shared" si="8"/>
        <v>--</v>
      </c>
      <c r="U38" s="307" t="str">
        <f t="shared" si="9"/>
        <v>--</v>
      </c>
      <c r="V38" s="308" t="str">
        <f t="shared" si="10"/>
        <v>--</v>
      </c>
      <c r="W38" s="309" t="str">
        <f t="shared" si="11"/>
        <v>--</v>
      </c>
      <c r="X38" s="300">
        <f t="shared" si="12"/>
      </c>
      <c r="Y38" s="310">
        <f t="shared" si="13"/>
      </c>
      <c r="Z38" s="310" t="s">
        <v>126</v>
      </c>
      <c r="AA38" s="310"/>
      <c r="AB38" s="311"/>
    </row>
    <row r="39" spans="2:28" ht="16.5" customHeight="1">
      <c r="B39" s="239"/>
      <c r="C39" s="291"/>
      <c r="D39" s="293"/>
      <c r="E39" s="294"/>
      <c r="F39" s="315"/>
      <c r="G39" s="316"/>
      <c r="H39" s="492">
        <f t="shared" si="14"/>
        <v>0</v>
      </c>
      <c r="I39" s="297"/>
      <c r="J39" s="297"/>
      <c r="K39" s="298">
        <f t="shared" si="0"/>
      </c>
      <c r="L39" s="299">
        <f t="shared" si="1"/>
      </c>
      <c r="M39" s="300"/>
      <c r="N39" s="301">
        <f t="shared" si="2"/>
      </c>
      <c r="O39" s="300">
        <f t="shared" si="3"/>
      </c>
      <c r="P39" s="302" t="str">
        <f t="shared" si="4"/>
        <v>--</v>
      </c>
      <c r="Q39" s="303" t="str">
        <f t="shared" si="5"/>
        <v>--</v>
      </c>
      <c r="R39" s="304" t="str">
        <f t="shared" si="6"/>
        <v>--</v>
      </c>
      <c r="S39" s="305" t="str">
        <f t="shared" si="7"/>
        <v>--</v>
      </c>
      <c r="T39" s="306" t="str">
        <f t="shared" si="8"/>
        <v>--</v>
      </c>
      <c r="U39" s="307" t="str">
        <f t="shared" si="9"/>
        <v>--</v>
      </c>
      <c r="V39" s="308" t="str">
        <f t="shared" si="10"/>
        <v>--</v>
      </c>
      <c r="W39" s="309" t="str">
        <f t="shared" si="11"/>
        <v>--</v>
      </c>
      <c r="X39" s="300">
        <f t="shared" si="12"/>
      </c>
      <c r="Y39" s="310">
        <f t="shared" si="13"/>
      </c>
      <c r="Z39" s="310" t="s">
        <v>126</v>
      </c>
      <c r="AA39" s="310"/>
      <c r="AB39" s="311"/>
    </row>
    <row r="40" spans="2:28" ht="16.5" customHeight="1">
      <c r="B40" s="239"/>
      <c r="C40" s="291"/>
      <c r="D40" s="293"/>
      <c r="E40" s="294"/>
      <c r="F40" s="295"/>
      <c r="G40" s="296"/>
      <c r="H40" s="492">
        <f t="shared" si="14"/>
        <v>0</v>
      </c>
      <c r="I40" s="297"/>
      <c r="J40" s="297"/>
      <c r="K40" s="298">
        <f t="shared" si="0"/>
      </c>
      <c r="L40" s="299">
        <f t="shared" si="1"/>
      </c>
      <c r="M40" s="300"/>
      <c r="N40" s="301">
        <f t="shared" si="2"/>
      </c>
      <c r="O40" s="300">
        <f t="shared" si="3"/>
      </c>
      <c r="P40" s="302" t="str">
        <f t="shared" si="4"/>
        <v>--</v>
      </c>
      <c r="Q40" s="303" t="str">
        <f t="shared" si="5"/>
        <v>--</v>
      </c>
      <c r="R40" s="304" t="str">
        <f t="shared" si="6"/>
        <v>--</v>
      </c>
      <c r="S40" s="305" t="str">
        <f t="shared" si="7"/>
        <v>--</v>
      </c>
      <c r="T40" s="306" t="str">
        <f t="shared" si="8"/>
        <v>--</v>
      </c>
      <c r="U40" s="307" t="str">
        <f t="shared" si="9"/>
        <v>--</v>
      </c>
      <c r="V40" s="308" t="str">
        <f t="shared" si="10"/>
        <v>--</v>
      </c>
      <c r="W40" s="309" t="str">
        <f t="shared" si="11"/>
        <v>--</v>
      </c>
      <c r="X40" s="300">
        <f t="shared" si="12"/>
      </c>
      <c r="Y40" s="310">
        <f t="shared" si="13"/>
      </c>
      <c r="Z40" s="310" t="s">
        <v>126</v>
      </c>
      <c r="AA40" s="310"/>
      <c r="AB40" s="311"/>
    </row>
    <row r="41" spans="2:28" ht="16.5" customHeight="1">
      <c r="B41" s="239"/>
      <c r="C41" s="291"/>
      <c r="D41" s="293"/>
      <c r="E41" s="294"/>
      <c r="F41" s="312"/>
      <c r="G41" s="296"/>
      <c r="H41" s="492">
        <f t="shared" si="14"/>
        <v>0</v>
      </c>
      <c r="I41" s="297"/>
      <c r="J41" s="297"/>
      <c r="K41" s="298">
        <f t="shared" si="0"/>
      </c>
      <c r="L41" s="299">
        <f t="shared" si="1"/>
      </c>
      <c r="M41" s="300"/>
      <c r="N41" s="301">
        <f t="shared" si="2"/>
      </c>
      <c r="O41" s="300">
        <f t="shared" si="3"/>
      </c>
      <c r="P41" s="302" t="str">
        <f t="shared" si="4"/>
        <v>--</v>
      </c>
      <c r="Q41" s="303" t="str">
        <f t="shared" si="5"/>
        <v>--</v>
      </c>
      <c r="R41" s="304" t="str">
        <f t="shared" si="6"/>
        <v>--</v>
      </c>
      <c r="S41" s="305" t="str">
        <f t="shared" si="7"/>
        <v>--</v>
      </c>
      <c r="T41" s="306" t="str">
        <f t="shared" si="8"/>
        <v>--</v>
      </c>
      <c r="U41" s="307" t="str">
        <f t="shared" si="9"/>
        <v>--</v>
      </c>
      <c r="V41" s="308" t="str">
        <f t="shared" si="10"/>
        <v>--</v>
      </c>
      <c r="W41" s="309" t="str">
        <f t="shared" si="11"/>
        <v>--</v>
      </c>
      <c r="X41" s="300">
        <f t="shared" si="12"/>
      </c>
      <c r="Y41" s="310">
        <f t="shared" si="13"/>
      </c>
      <c r="Z41" s="310" t="s">
        <v>126</v>
      </c>
      <c r="AA41" s="310"/>
      <c r="AB41" s="311"/>
    </row>
    <row r="42" spans="2:28" ht="16.5" customHeight="1">
      <c r="B42" s="239"/>
      <c r="C42" s="291"/>
      <c r="D42" s="293"/>
      <c r="E42" s="294"/>
      <c r="F42" s="313"/>
      <c r="G42" s="296"/>
      <c r="H42" s="492">
        <f t="shared" si="14"/>
        <v>0</v>
      </c>
      <c r="I42" s="297"/>
      <c r="J42" s="297"/>
      <c r="K42" s="298">
        <f t="shared" si="0"/>
      </c>
      <c r="L42" s="299">
        <f t="shared" si="1"/>
      </c>
      <c r="M42" s="300"/>
      <c r="N42" s="301">
        <f t="shared" si="2"/>
      </c>
      <c r="O42" s="300">
        <f t="shared" si="3"/>
      </c>
      <c r="P42" s="302" t="str">
        <f t="shared" si="4"/>
        <v>--</v>
      </c>
      <c r="Q42" s="303" t="str">
        <f t="shared" si="5"/>
        <v>--</v>
      </c>
      <c r="R42" s="304" t="str">
        <f t="shared" si="6"/>
        <v>--</v>
      </c>
      <c r="S42" s="305" t="str">
        <f t="shared" si="7"/>
        <v>--</v>
      </c>
      <c r="T42" s="306" t="str">
        <f t="shared" si="8"/>
        <v>--</v>
      </c>
      <c r="U42" s="307" t="str">
        <f t="shared" si="9"/>
        <v>--</v>
      </c>
      <c r="V42" s="308" t="str">
        <f t="shared" si="10"/>
        <v>--</v>
      </c>
      <c r="W42" s="309" t="str">
        <f t="shared" si="11"/>
        <v>--</v>
      </c>
      <c r="X42" s="300">
        <f t="shared" si="12"/>
      </c>
      <c r="Y42" s="310">
        <f t="shared" si="13"/>
      </c>
      <c r="Z42" s="310" t="s">
        <v>126</v>
      </c>
      <c r="AA42" s="310"/>
      <c r="AB42" s="311"/>
    </row>
    <row r="43" spans="2:28" ht="16.5" customHeight="1" thickBot="1">
      <c r="B43" s="239"/>
      <c r="C43" s="317"/>
      <c r="D43" s="318"/>
      <c r="E43" s="319"/>
      <c r="F43" s="318"/>
      <c r="G43" s="320"/>
      <c r="H43" s="321"/>
      <c r="I43" s="322"/>
      <c r="J43" s="322"/>
      <c r="K43" s="323"/>
      <c r="L43" s="323"/>
      <c r="M43" s="322"/>
      <c r="N43" s="324"/>
      <c r="O43" s="322"/>
      <c r="P43" s="325"/>
      <c r="Q43" s="326"/>
      <c r="R43" s="327"/>
      <c r="S43" s="328"/>
      <c r="T43" s="329"/>
      <c r="U43" s="330"/>
      <c r="V43" s="331"/>
      <c r="W43" s="332"/>
      <c r="X43" s="322"/>
      <c r="Y43" s="333"/>
      <c r="Z43" s="333"/>
      <c r="AA43" s="333"/>
      <c r="AB43" s="311"/>
    </row>
    <row r="44" spans="2:28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434">
        <f>ROUND(SUM(Y20:Y43),2)</f>
        <v>71391.96</v>
      </c>
      <c r="Z44" s="434">
        <f>ROUND(SUM(Z20:Z43),2)</f>
        <v>37524.22</v>
      </c>
      <c r="AA44" s="434">
        <f>ROUND(SUM(AA20:AA43),2)</f>
        <v>16072.92</v>
      </c>
      <c r="AB44" s="311"/>
    </row>
    <row r="45" spans="2:28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8"/>
      <c r="Z45" s="338"/>
      <c r="AA45" s="338"/>
      <c r="AB45" s="339"/>
    </row>
    <row r="46" spans="2:28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2"/>
    </row>
    <row r="47" ht="13.5" thickTop="1"/>
  </sheetData>
  <mergeCells count="3">
    <mergeCell ref="C22:AA22"/>
    <mergeCell ref="J16:L16"/>
    <mergeCell ref="M16:N16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13">
    <pageSetUpPr fitToPage="1"/>
  </sheetPr>
  <dimension ref="A1:AA16383"/>
  <sheetViews>
    <sheetView zoomScale="75" zoomScaleNormal="75" workbookViewId="0" topLeftCell="D18">
      <selection activeCell="F30" sqref="F30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239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2.787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267" t="s">
        <v>226</v>
      </c>
      <c r="V19" s="267" t="s">
        <v>127</v>
      </c>
      <c r="W19" s="374"/>
    </row>
    <row r="20" spans="2:23" s="149" customFormat="1" ht="16.5" customHeight="1" hidden="1" thickTop="1">
      <c r="B20" s="375"/>
      <c r="C20" s="376"/>
      <c r="D20" s="279"/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/>
      <c r="U20" s="148"/>
      <c r="V20" s="148"/>
      <c r="W20" s="166"/>
    </row>
    <row r="21" spans="2:27" s="149" customFormat="1" ht="16.5" customHeight="1" thickBot="1" thickTop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  <c r="X21" s="8"/>
      <c r="Y21" s="8"/>
      <c r="Z21" s="8"/>
      <c r="AA21" s="8"/>
    </row>
    <row r="22" spans="2:27" s="78" customFormat="1" ht="16.5" customHeight="1" thickBot="1" thickTop="1">
      <c r="B22" s="130"/>
      <c r="C22" s="605" t="s">
        <v>227</v>
      </c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8"/>
      <c r="W22" s="187"/>
      <c r="X22" s="8"/>
      <c r="Y22" s="8"/>
      <c r="Z22" s="8"/>
      <c r="AA22" s="8"/>
    </row>
    <row r="23" spans="2:23" ht="16.5" customHeight="1" thickTop="1">
      <c r="B23" s="396"/>
      <c r="C23" s="397">
        <v>39</v>
      </c>
      <c r="D23" s="585" t="s">
        <v>44</v>
      </c>
      <c r="E23" s="294" t="s">
        <v>45</v>
      </c>
      <c r="F23" s="294">
        <v>132</v>
      </c>
      <c r="G23" s="398">
        <f>IF(OR(F23=132,F23=66),$E$14,IF(F23=33,$E$15,$E$16))*$F$17</f>
        <v>2.75913</v>
      </c>
      <c r="H23" s="399">
        <v>36011.59166666667</v>
      </c>
      <c r="I23" s="399">
        <v>36011.70625</v>
      </c>
      <c r="J23" s="400">
        <f aca="true" t="shared" si="0" ref="J23:J42">IF(H23="","",(I23-H23)*24)</f>
        <v>2.7500000000582077</v>
      </c>
      <c r="K23" s="401">
        <f aca="true" t="shared" si="1" ref="K23:K42">IF(I23="","",ROUND((I23-H23)*24*60,0))</f>
        <v>165</v>
      </c>
      <c r="L23" s="402" t="s">
        <v>122</v>
      </c>
      <c r="M23" s="403" t="str">
        <f aca="true" t="shared" si="2" ref="M23:M42">IF(L23="","",IF(L23="P","--","NO"))</f>
        <v>NO</v>
      </c>
      <c r="N23" s="404">
        <f aca="true" t="shared" si="3" ref="N23:N42">IF(OR(F23=132,F23=66),$F$14,IF(F23=33,$F$15,$F$16))</f>
        <v>50</v>
      </c>
      <c r="O23" s="586" t="str">
        <f aca="true" t="shared" si="4" ref="O23:O42">IF(L23="P",G23*N23*0.1*ROUND(K23/60,2),"--")</f>
        <v>--</v>
      </c>
      <c r="P23" s="587">
        <f aca="true" t="shared" si="5" ref="P23:P42">IF(M23="NO",IF(L23="F",G23*N23,"--"),"--")</f>
        <v>137.9565</v>
      </c>
      <c r="Q23" s="588">
        <f aca="true" t="shared" si="6" ref="Q23:Q42">IF(L23="F",G23*N23*ROUND(K23/60,2),"--")</f>
        <v>379.380375</v>
      </c>
      <c r="R23" s="408" t="str">
        <f aca="true" t="shared" si="7" ref="R23:R42">IF(L23="RF",G23*N23*ROUND(K23/60,2),"--")</f>
        <v>--</v>
      </c>
      <c r="S23" s="409" t="str">
        <f aca="true" t="shared" si="8" ref="S23:S42">IF(D23="","","SI")</f>
        <v>SI</v>
      </c>
      <c r="T23" s="410">
        <f aca="true" t="shared" si="9" ref="T23:T42">IF(D23="","",IF(F23="500/220",0,IF(S23="SI",SUM(O23:R23),2*SUM(O23:R23))))</f>
        <v>517.336875</v>
      </c>
      <c r="U23" s="410">
        <v>401.25</v>
      </c>
      <c r="V23" s="410">
        <f>+T23-U23</f>
        <v>116.08687499999996</v>
      </c>
      <c r="W23" s="311"/>
    </row>
    <row r="24" spans="2:23" ht="16.5" customHeight="1">
      <c r="B24" s="396"/>
      <c r="C24" s="397">
        <v>40</v>
      </c>
      <c r="D24" s="314" t="s">
        <v>189</v>
      </c>
      <c r="E24" s="294" t="s">
        <v>190</v>
      </c>
      <c r="F24" s="294">
        <v>13.2</v>
      </c>
      <c r="G24" s="398">
        <f aca="true" t="shared" si="10" ref="G24:G42">IF(OR(F24=132,F24=66),$E$14,IF(F24=33,$E$15,$E$16))*$F$17</f>
        <v>2.0690999999999997</v>
      </c>
      <c r="H24" s="399">
        <v>36012.52777777778</v>
      </c>
      <c r="I24" s="399">
        <v>36012.61944444444</v>
      </c>
      <c r="J24" s="400">
        <f t="shared" si="0"/>
        <v>2.1999999998370185</v>
      </c>
      <c r="K24" s="401">
        <f t="shared" si="1"/>
        <v>132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9.10404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9.10404</v>
      </c>
      <c r="U24" s="410">
        <v>7.062000000000001</v>
      </c>
      <c r="V24" s="410">
        <f aca="true" t="shared" si="11" ref="V24:V42">+T24-U24</f>
        <v>2.0420399999999983</v>
      </c>
      <c r="W24" s="311"/>
    </row>
    <row r="25" spans="2:23" ht="16.5" customHeight="1">
      <c r="B25" s="396"/>
      <c r="C25" s="397">
        <v>41</v>
      </c>
      <c r="D25" s="314" t="s">
        <v>191</v>
      </c>
      <c r="E25" s="294" t="s">
        <v>155</v>
      </c>
      <c r="F25" s="294">
        <v>13.2</v>
      </c>
      <c r="G25" s="398">
        <f t="shared" si="10"/>
        <v>2.0690999999999997</v>
      </c>
      <c r="H25" s="399">
        <v>36012.65694444445</v>
      </c>
      <c r="I25" s="399">
        <v>36012.87569444445</v>
      </c>
      <c r="J25" s="400">
        <f t="shared" si="0"/>
        <v>5.25</v>
      </c>
      <c r="K25" s="401">
        <f t="shared" si="1"/>
        <v>315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21.72555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21.72555</v>
      </c>
      <c r="U25" s="410">
        <v>16.8525</v>
      </c>
      <c r="V25" s="410">
        <f t="shared" si="11"/>
        <v>4.873049999999999</v>
      </c>
      <c r="W25" s="311"/>
    </row>
    <row r="26" spans="2:23" ht="16.5" customHeight="1">
      <c r="B26" s="363"/>
      <c r="C26" s="397">
        <v>42</v>
      </c>
      <c r="D26" s="314" t="s">
        <v>191</v>
      </c>
      <c r="E26" s="294" t="s">
        <v>192</v>
      </c>
      <c r="F26" s="294">
        <v>13.2</v>
      </c>
      <c r="G26" s="398">
        <f t="shared" si="10"/>
        <v>2.0690999999999997</v>
      </c>
      <c r="H26" s="399">
        <v>36013.34375</v>
      </c>
      <c r="I26" s="399">
        <v>36013.506944444445</v>
      </c>
      <c r="J26" s="400">
        <f t="shared" si="0"/>
        <v>3.916666666686069</v>
      </c>
      <c r="K26" s="401">
        <f t="shared" si="1"/>
        <v>235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16.221743999999997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16.221743999999997</v>
      </c>
      <c r="U26" s="410">
        <v>12.583200000000001</v>
      </c>
      <c r="V26" s="410">
        <f t="shared" si="11"/>
        <v>3.638543999999996</v>
      </c>
      <c r="W26" s="311"/>
    </row>
    <row r="27" spans="2:23" ht="16.5" customHeight="1">
      <c r="B27" s="396"/>
      <c r="C27" s="397">
        <v>43</v>
      </c>
      <c r="D27" s="314" t="s">
        <v>139</v>
      </c>
      <c r="E27" s="294" t="s">
        <v>140</v>
      </c>
      <c r="F27" s="294">
        <v>132</v>
      </c>
      <c r="G27" s="398">
        <f t="shared" si="10"/>
        <v>2.75913</v>
      </c>
      <c r="H27" s="399">
        <v>36017.416666666664</v>
      </c>
      <c r="I27" s="399">
        <v>36017.47152777778</v>
      </c>
      <c r="J27" s="400">
        <f t="shared" si="0"/>
        <v>1.31666666676756</v>
      </c>
      <c r="K27" s="401">
        <f t="shared" si="1"/>
        <v>79</v>
      </c>
      <c r="L27" s="402" t="s">
        <v>121</v>
      </c>
      <c r="M27" s="403" t="str">
        <f t="shared" si="2"/>
        <v>--</v>
      </c>
      <c r="N27" s="404">
        <f t="shared" si="3"/>
        <v>50</v>
      </c>
      <c r="O27" s="405">
        <f t="shared" si="4"/>
        <v>18.210258000000003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18.210258000000003</v>
      </c>
      <c r="U27" s="410">
        <v>14.124000000000002</v>
      </c>
      <c r="V27" s="410">
        <f t="shared" si="11"/>
        <v>4.086258000000001</v>
      </c>
      <c r="W27" s="311"/>
    </row>
    <row r="28" spans="2:23" ht="16.5" customHeight="1">
      <c r="B28" s="396"/>
      <c r="C28" s="397">
        <v>44</v>
      </c>
      <c r="D28" s="314" t="s">
        <v>139</v>
      </c>
      <c r="E28" s="294" t="s">
        <v>140</v>
      </c>
      <c r="F28" s="294">
        <v>132</v>
      </c>
      <c r="G28" s="398">
        <f t="shared" si="10"/>
        <v>2.75913</v>
      </c>
      <c r="H28" s="399">
        <v>36018.60763888889</v>
      </c>
      <c r="I28" s="399">
        <v>36018.782638888886</v>
      </c>
      <c r="J28" s="400">
        <f t="shared" si="0"/>
        <v>4.199999999895226</v>
      </c>
      <c r="K28" s="401">
        <f t="shared" si="1"/>
        <v>252</v>
      </c>
      <c r="L28" s="402" t="s">
        <v>121</v>
      </c>
      <c r="M28" s="403" t="str">
        <f t="shared" si="2"/>
        <v>--</v>
      </c>
      <c r="N28" s="404">
        <f t="shared" si="3"/>
        <v>50</v>
      </c>
      <c r="O28" s="405">
        <f t="shared" si="4"/>
        <v>57.941730000000014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57.941730000000014</v>
      </c>
      <c r="U28" s="410">
        <v>44.94</v>
      </c>
      <c r="V28" s="410">
        <f t="shared" si="11"/>
        <v>13.001730000000016</v>
      </c>
      <c r="W28" s="311"/>
    </row>
    <row r="29" spans="2:23" ht="16.5" customHeight="1">
      <c r="B29" s="396"/>
      <c r="C29" s="397">
        <v>45</v>
      </c>
      <c r="D29" s="314" t="s">
        <v>25</v>
      </c>
      <c r="E29" s="294" t="s">
        <v>136</v>
      </c>
      <c r="F29" s="294">
        <v>33</v>
      </c>
      <c r="G29" s="398">
        <f t="shared" si="10"/>
        <v>2.0690999999999997</v>
      </c>
      <c r="H29" s="399">
        <v>36020.45694444444</v>
      </c>
      <c r="I29" s="399">
        <v>36020.55</v>
      </c>
      <c r="J29" s="400">
        <f t="shared" si="0"/>
        <v>2.233333333453629</v>
      </c>
      <c r="K29" s="401">
        <f t="shared" si="1"/>
        <v>134</v>
      </c>
      <c r="L29" s="402" t="s">
        <v>121</v>
      </c>
      <c r="M29" s="403" t="str">
        <f t="shared" si="2"/>
        <v>--</v>
      </c>
      <c r="N29" s="404">
        <f t="shared" si="3"/>
        <v>25</v>
      </c>
      <c r="O29" s="405">
        <f t="shared" si="4"/>
        <v>11.5352325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11.5352325</v>
      </c>
      <c r="U29" s="410">
        <v>8.947875</v>
      </c>
      <c r="V29" s="410">
        <f t="shared" si="11"/>
        <v>2.5873574999999995</v>
      </c>
      <c r="W29" s="311"/>
    </row>
    <row r="30" spans="2:23" ht="16.5" customHeight="1">
      <c r="B30" s="396"/>
      <c r="C30" s="397">
        <v>46</v>
      </c>
      <c r="D30" s="314" t="s">
        <v>25</v>
      </c>
      <c r="E30" s="294" t="s">
        <v>149</v>
      </c>
      <c r="F30" s="294">
        <v>33</v>
      </c>
      <c r="G30" s="398">
        <f t="shared" si="10"/>
        <v>2.0690999999999997</v>
      </c>
      <c r="H30" s="399">
        <v>36020.55069444444</v>
      </c>
      <c r="I30" s="399">
        <v>36020.68819444445</v>
      </c>
      <c r="J30" s="400">
        <f t="shared" si="0"/>
        <v>3.300000000104774</v>
      </c>
      <c r="K30" s="401">
        <f t="shared" si="1"/>
        <v>198</v>
      </c>
      <c r="L30" s="402" t="s">
        <v>121</v>
      </c>
      <c r="M30" s="403" t="str">
        <f t="shared" si="2"/>
        <v>--</v>
      </c>
      <c r="N30" s="404">
        <f t="shared" si="3"/>
        <v>25</v>
      </c>
      <c r="O30" s="405">
        <f t="shared" si="4"/>
        <v>17.070075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17.070075</v>
      </c>
      <c r="U30" s="410">
        <v>13.24125</v>
      </c>
      <c r="V30" s="410">
        <f t="shared" si="11"/>
        <v>3.8288249999999984</v>
      </c>
      <c r="W30" s="311"/>
    </row>
    <row r="31" spans="2:23" ht="16.5" customHeight="1">
      <c r="B31" s="396"/>
      <c r="C31" s="397">
        <v>47</v>
      </c>
      <c r="D31" s="314" t="s">
        <v>44</v>
      </c>
      <c r="E31" s="294" t="s">
        <v>45</v>
      </c>
      <c r="F31" s="411">
        <v>132</v>
      </c>
      <c r="G31" s="398">
        <f t="shared" si="10"/>
        <v>2.75913</v>
      </c>
      <c r="H31" s="399">
        <v>36022.248611111114</v>
      </c>
      <c r="I31" s="399">
        <v>36022.26111111111</v>
      </c>
      <c r="J31" s="400">
        <f t="shared" si="0"/>
        <v>0.2999999999301508</v>
      </c>
      <c r="K31" s="401">
        <f t="shared" si="1"/>
        <v>18</v>
      </c>
      <c r="L31" s="402" t="s">
        <v>122</v>
      </c>
      <c r="M31" s="403" t="str">
        <f t="shared" si="2"/>
        <v>NO</v>
      </c>
      <c r="N31" s="404">
        <f t="shared" si="3"/>
        <v>50</v>
      </c>
      <c r="O31" s="405" t="str">
        <f t="shared" si="4"/>
        <v>--</v>
      </c>
      <c r="P31" s="406">
        <f t="shared" si="5"/>
        <v>137.9565</v>
      </c>
      <c r="Q31" s="407">
        <f t="shared" si="6"/>
        <v>41.38695</v>
      </c>
      <c r="R31" s="408" t="str">
        <f t="shared" si="7"/>
        <v>--</v>
      </c>
      <c r="S31" s="409" t="str">
        <f t="shared" si="8"/>
        <v>SI</v>
      </c>
      <c r="T31" s="410">
        <f t="shared" si="9"/>
        <v>179.34345000000002</v>
      </c>
      <c r="U31" s="410">
        <v>139.1</v>
      </c>
      <c r="V31" s="410">
        <f t="shared" si="11"/>
        <v>40.243450000000024</v>
      </c>
      <c r="W31" s="311"/>
    </row>
    <row r="32" spans="2:23" ht="16.5" customHeight="1">
      <c r="B32" s="396"/>
      <c r="C32" s="397">
        <v>48</v>
      </c>
      <c r="D32" s="314" t="s">
        <v>57</v>
      </c>
      <c r="E32" s="294" t="s">
        <v>193</v>
      </c>
      <c r="F32" s="411">
        <v>132</v>
      </c>
      <c r="G32" s="398">
        <f t="shared" si="10"/>
        <v>2.75913</v>
      </c>
      <c r="H32" s="399">
        <v>36027.29791666667</v>
      </c>
      <c r="I32" s="399">
        <v>36027.3125</v>
      </c>
      <c r="J32" s="400">
        <f t="shared" si="0"/>
        <v>0.3499999999185093</v>
      </c>
      <c r="K32" s="401">
        <f t="shared" si="1"/>
        <v>21</v>
      </c>
      <c r="L32" s="402" t="s">
        <v>122</v>
      </c>
      <c r="M32" s="403" t="str">
        <f t="shared" si="2"/>
        <v>NO</v>
      </c>
      <c r="N32" s="404">
        <f t="shared" si="3"/>
        <v>50</v>
      </c>
      <c r="O32" s="405" t="str">
        <f t="shared" si="4"/>
        <v>--</v>
      </c>
      <c r="P32" s="406">
        <f t="shared" si="5"/>
        <v>137.9565</v>
      </c>
      <c r="Q32" s="407">
        <f t="shared" si="6"/>
        <v>48.284774999999996</v>
      </c>
      <c r="R32" s="408" t="str">
        <f t="shared" si="7"/>
        <v>--</v>
      </c>
      <c r="S32" s="409" t="str">
        <f t="shared" si="8"/>
        <v>SI</v>
      </c>
      <c r="T32" s="410">
        <f t="shared" si="9"/>
        <v>186.241275</v>
      </c>
      <c r="U32" s="410">
        <v>144.45</v>
      </c>
      <c r="V32" s="410">
        <f t="shared" si="11"/>
        <v>41.79127500000001</v>
      </c>
      <c r="W32" s="311"/>
    </row>
    <row r="33" spans="2:23" ht="16.5" customHeight="1">
      <c r="B33" s="396"/>
      <c r="C33" s="397">
        <v>49</v>
      </c>
      <c r="D33" s="314" t="s">
        <v>25</v>
      </c>
      <c r="E33" s="294" t="s">
        <v>158</v>
      </c>
      <c r="F33" s="411">
        <v>33</v>
      </c>
      <c r="G33" s="398">
        <f t="shared" si="10"/>
        <v>2.0690999999999997</v>
      </c>
      <c r="H33" s="399">
        <v>36027.41736111111</v>
      </c>
      <c r="I33" s="399">
        <v>36027.59305555555</v>
      </c>
      <c r="J33" s="400">
        <f t="shared" si="0"/>
        <v>4.21666666661622</v>
      </c>
      <c r="K33" s="401">
        <f t="shared" si="1"/>
        <v>253</v>
      </c>
      <c r="L33" s="402" t="s">
        <v>121</v>
      </c>
      <c r="M33" s="403" t="str">
        <f t="shared" si="2"/>
        <v>--</v>
      </c>
      <c r="N33" s="404">
        <f t="shared" si="3"/>
        <v>25</v>
      </c>
      <c r="O33" s="405">
        <f t="shared" si="4"/>
        <v>21.829005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21.829005</v>
      </c>
      <c r="U33" s="410">
        <v>16.93275</v>
      </c>
      <c r="V33" s="410">
        <f t="shared" si="11"/>
        <v>4.896255</v>
      </c>
      <c r="W33" s="311"/>
    </row>
    <row r="34" spans="2:23" ht="16.5" customHeight="1">
      <c r="B34" s="396"/>
      <c r="C34" s="397">
        <v>50</v>
      </c>
      <c r="D34" s="314" t="s">
        <v>57</v>
      </c>
      <c r="E34" s="294" t="s">
        <v>194</v>
      </c>
      <c r="F34" s="411">
        <v>13.2</v>
      </c>
      <c r="G34" s="398">
        <f t="shared" si="10"/>
        <v>2.0690999999999997</v>
      </c>
      <c r="H34" s="399">
        <v>36032.44652777778</v>
      </c>
      <c r="I34" s="399">
        <v>36032.618055555555</v>
      </c>
      <c r="J34" s="400">
        <f t="shared" si="0"/>
        <v>4.116666666639503</v>
      </c>
      <c r="K34" s="401">
        <f t="shared" si="1"/>
        <v>247</v>
      </c>
      <c r="L34" s="402" t="s">
        <v>121</v>
      </c>
      <c r="M34" s="403" t="str">
        <f t="shared" si="2"/>
        <v>--</v>
      </c>
      <c r="N34" s="404">
        <f t="shared" si="3"/>
        <v>20</v>
      </c>
      <c r="O34" s="405">
        <f t="shared" si="4"/>
        <v>17.049384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17.049384</v>
      </c>
      <c r="U34" s="410">
        <v>13.225200000000003</v>
      </c>
      <c r="V34" s="410">
        <f t="shared" si="11"/>
        <v>3.824183999999997</v>
      </c>
      <c r="W34" s="311"/>
    </row>
    <row r="35" spans="2:23" ht="16.5" customHeight="1">
      <c r="B35" s="396"/>
      <c r="C35" s="397">
        <v>51</v>
      </c>
      <c r="D35" s="314" t="s">
        <v>57</v>
      </c>
      <c r="E35" s="294" t="s">
        <v>195</v>
      </c>
      <c r="F35" s="411">
        <v>13.2</v>
      </c>
      <c r="G35" s="398">
        <f t="shared" si="10"/>
        <v>2.0690999999999997</v>
      </c>
      <c r="H35" s="399">
        <v>36032.623611111114</v>
      </c>
      <c r="I35" s="399">
        <v>36032.71527777778</v>
      </c>
      <c r="J35" s="400">
        <f t="shared" si="0"/>
        <v>2.2000000000116415</v>
      </c>
      <c r="K35" s="401">
        <f t="shared" si="1"/>
        <v>132</v>
      </c>
      <c r="L35" s="402" t="s">
        <v>121</v>
      </c>
      <c r="M35" s="403" t="str">
        <f t="shared" si="2"/>
        <v>--</v>
      </c>
      <c r="N35" s="404">
        <f t="shared" si="3"/>
        <v>20</v>
      </c>
      <c r="O35" s="405">
        <f t="shared" si="4"/>
        <v>9.10404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9.10404</v>
      </c>
      <c r="U35" s="410">
        <v>7.062000000000001</v>
      </c>
      <c r="V35" s="410">
        <f t="shared" si="11"/>
        <v>2.0420399999999983</v>
      </c>
      <c r="W35" s="311"/>
    </row>
    <row r="36" spans="2:23" ht="16.5" customHeight="1">
      <c r="B36" s="396"/>
      <c r="C36" s="397">
        <v>52</v>
      </c>
      <c r="D36" s="314" t="s">
        <v>57</v>
      </c>
      <c r="E36" s="294" t="s">
        <v>163</v>
      </c>
      <c r="F36" s="411">
        <v>13.2</v>
      </c>
      <c r="G36" s="398">
        <f t="shared" si="10"/>
        <v>2.0690999999999997</v>
      </c>
      <c r="H36" s="399">
        <v>36032.73263888889</v>
      </c>
      <c r="I36" s="399">
        <v>36032.791666666664</v>
      </c>
      <c r="J36" s="400">
        <f t="shared" si="0"/>
        <v>1.416666666569654</v>
      </c>
      <c r="K36" s="401">
        <f t="shared" si="1"/>
        <v>85</v>
      </c>
      <c r="L36" s="402" t="s">
        <v>121</v>
      </c>
      <c r="M36" s="403" t="str">
        <f t="shared" si="2"/>
        <v>--</v>
      </c>
      <c r="N36" s="404">
        <f t="shared" si="3"/>
        <v>20</v>
      </c>
      <c r="O36" s="405">
        <f t="shared" si="4"/>
        <v>5.876243999999999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5.876243999999999</v>
      </c>
      <c r="U36" s="410">
        <v>4.5582</v>
      </c>
      <c r="V36" s="410">
        <f t="shared" si="11"/>
        <v>1.3180439999999987</v>
      </c>
      <c r="W36" s="311"/>
    </row>
    <row r="37" spans="2:23" ht="16.5" customHeight="1">
      <c r="B37" s="396"/>
      <c r="C37" s="397">
        <v>53</v>
      </c>
      <c r="D37" s="314" t="s">
        <v>41</v>
      </c>
      <c r="E37" s="294" t="s">
        <v>177</v>
      </c>
      <c r="F37" s="411">
        <v>13.2</v>
      </c>
      <c r="G37" s="398">
        <f t="shared" si="10"/>
        <v>2.0690999999999997</v>
      </c>
      <c r="H37" s="399">
        <v>36033.44513888889</v>
      </c>
      <c r="I37" s="399">
        <v>36033.51597222222</v>
      </c>
      <c r="J37" s="400">
        <f t="shared" si="0"/>
        <v>1.6999999999534339</v>
      </c>
      <c r="K37" s="401">
        <f t="shared" si="1"/>
        <v>102</v>
      </c>
      <c r="L37" s="402" t="s">
        <v>121</v>
      </c>
      <c r="M37" s="403" t="str">
        <f t="shared" si="2"/>
        <v>--</v>
      </c>
      <c r="N37" s="404">
        <f t="shared" si="3"/>
        <v>20</v>
      </c>
      <c r="O37" s="405">
        <f t="shared" si="4"/>
        <v>7.034939999999999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7.034939999999999</v>
      </c>
      <c r="U37" s="410">
        <v>5.457000000000001</v>
      </c>
      <c r="V37" s="410">
        <f t="shared" si="11"/>
        <v>1.5779399999999981</v>
      </c>
      <c r="W37" s="311"/>
    </row>
    <row r="38" spans="2:23" ht="16.5" customHeight="1">
      <c r="B38" s="396"/>
      <c r="C38" s="397">
        <v>54</v>
      </c>
      <c r="D38" s="314" t="s">
        <v>57</v>
      </c>
      <c r="E38" s="294" t="s">
        <v>159</v>
      </c>
      <c r="F38" s="411">
        <v>13.2</v>
      </c>
      <c r="G38" s="398">
        <f t="shared" si="10"/>
        <v>2.0690999999999997</v>
      </c>
      <c r="H38" s="399">
        <v>36033.44583333333</v>
      </c>
      <c r="I38" s="399">
        <v>36033.54861111111</v>
      </c>
      <c r="J38" s="400">
        <f t="shared" si="0"/>
        <v>2.4666666666744277</v>
      </c>
      <c r="K38" s="401">
        <f t="shared" si="1"/>
        <v>148</v>
      </c>
      <c r="L38" s="402" t="s">
        <v>121</v>
      </c>
      <c r="M38" s="403" t="str">
        <f t="shared" si="2"/>
        <v>--</v>
      </c>
      <c r="N38" s="404">
        <f t="shared" si="3"/>
        <v>20</v>
      </c>
      <c r="O38" s="405">
        <f t="shared" si="4"/>
        <v>10.221354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10.221354</v>
      </c>
      <c r="U38" s="410">
        <v>7.928700000000002</v>
      </c>
      <c r="V38" s="410">
        <f t="shared" si="11"/>
        <v>2.292653999999998</v>
      </c>
      <c r="W38" s="311"/>
    </row>
    <row r="39" spans="2:23" ht="16.5" customHeight="1">
      <c r="B39" s="396"/>
      <c r="C39" s="397">
        <v>55</v>
      </c>
      <c r="D39" s="314" t="s">
        <v>41</v>
      </c>
      <c r="E39" s="294" t="s">
        <v>167</v>
      </c>
      <c r="F39" s="411">
        <v>13.2</v>
      </c>
      <c r="G39" s="398">
        <f t="shared" si="10"/>
        <v>2.0690999999999997</v>
      </c>
      <c r="H39" s="399">
        <v>36033.52291666667</v>
      </c>
      <c r="I39" s="399">
        <v>36033.68680555555</v>
      </c>
      <c r="J39" s="400">
        <f t="shared" si="0"/>
        <v>3.93333333323244</v>
      </c>
      <c r="K39" s="401">
        <f t="shared" si="1"/>
        <v>236</v>
      </c>
      <c r="L39" s="402" t="s">
        <v>121</v>
      </c>
      <c r="M39" s="403" t="str">
        <f t="shared" si="2"/>
        <v>--</v>
      </c>
      <c r="N39" s="404">
        <f t="shared" si="3"/>
        <v>20</v>
      </c>
      <c r="O39" s="405">
        <f t="shared" si="4"/>
        <v>16.263126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 t="str">
        <f t="shared" si="8"/>
        <v>SI</v>
      </c>
      <c r="T39" s="410">
        <f t="shared" si="9"/>
        <v>16.263126</v>
      </c>
      <c r="U39" s="410">
        <v>12.615300000000001</v>
      </c>
      <c r="V39" s="410">
        <f t="shared" si="11"/>
        <v>3.6478259999999985</v>
      </c>
      <c r="W39" s="311"/>
    </row>
    <row r="40" spans="2:23" ht="16.5" customHeight="1">
      <c r="B40" s="396"/>
      <c r="C40" s="397">
        <v>56</v>
      </c>
      <c r="D40" s="314" t="s">
        <v>57</v>
      </c>
      <c r="E40" s="294" t="s">
        <v>169</v>
      </c>
      <c r="F40" s="411">
        <v>13.2</v>
      </c>
      <c r="G40" s="398">
        <f t="shared" si="10"/>
        <v>2.0690999999999997</v>
      </c>
      <c r="H40" s="399">
        <v>36033.62569444445</v>
      </c>
      <c r="I40" s="399">
        <v>36033.729166666664</v>
      </c>
      <c r="J40" s="400">
        <f t="shared" si="0"/>
        <v>2.4833333332207985</v>
      </c>
      <c r="K40" s="401">
        <f t="shared" si="1"/>
        <v>149</v>
      </c>
      <c r="L40" s="402" t="s">
        <v>121</v>
      </c>
      <c r="M40" s="403" t="str">
        <f t="shared" si="2"/>
        <v>--</v>
      </c>
      <c r="N40" s="404">
        <f t="shared" si="3"/>
        <v>20</v>
      </c>
      <c r="O40" s="405">
        <f t="shared" si="4"/>
        <v>10.262735999999999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10.262735999999999</v>
      </c>
      <c r="U40" s="410">
        <v>7.960800000000001</v>
      </c>
      <c r="V40" s="410">
        <f t="shared" si="11"/>
        <v>2.3019359999999978</v>
      </c>
      <c r="W40" s="311"/>
    </row>
    <row r="41" spans="2:23" ht="16.5" customHeight="1">
      <c r="B41" s="396"/>
      <c r="C41" s="397">
        <v>57</v>
      </c>
      <c r="D41" s="314" t="s">
        <v>57</v>
      </c>
      <c r="E41" s="294" t="s">
        <v>163</v>
      </c>
      <c r="F41" s="411">
        <v>13.2</v>
      </c>
      <c r="G41" s="398">
        <f t="shared" si="10"/>
        <v>2.0690999999999997</v>
      </c>
      <c r="H41" s="399">
        <v>36033.74236111111</v>
      </c>
      <c r="I41" s="399">
        <v>36033.82847222222</v>
      </c>
      <c r="J41" s="400">
        <f t="shared" si="0"/>
        <v>2.06666666676756</v>
      </c>
      <c r="K41" s="401">
        <f t="shared" si="1"/>
        <v>124</v>
      </c>
      <c r="L41" s="402" t="s">
        <v>121</v>
      </c>
      <c r="M41" s="403" t="str">
        <f t="shared" si="2"/>
        <v>--</v>
      </c>
      <c r="N41" s="404">
        <f t="shared" si="3"/>
        <v>20</v>
      </c>
      <c r="O41" s="405">
        <f t="shared" si="4"/>
        <v>8.566073999999999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 t="str">
        <f t="shared" si="8"/>
        <v>SI</v>
      </c>
      <c r="T41" s="410">
        <f t="shared" si="9"/>
        <v>8.566073999999999</v>
      </c>
      <c r="U41" s="410">
        <v>6.6447</v>
      </c>
      <c r="V41" s="410">
        <f t="shared" si="11"/>
        <v>1.9213739999999984</v>
      </c>
      <c r="W41" s="311"/>
    </row>
    <row r="42" spans="2:23" ht="16.5" customHeight="1">
      <c r="B42" s="396"/>
      <c r="C42" s="397">
        <v>58</v>
      </c>
      <c r="D42" s="314" t="s">
        <v>57</v>
      </c>
      <c r="E42" s="294" t="s">
        <v>170</v>
      </c>
      <c r="F42" s="411">
        <v>13.2</v>
      </c>
      <c r="G42" s="398">
        <f t="shared" si="10"/>
        <v>2.0690999999999997</v>
      </c>
      <c r="H42" s="399">
        <v>36034.36111111111</v>
      </c>
      <c r="I42" s="399">
        <v>36034.43472222222</v>
      </c>
      <c r="J42" s="400">
        <f t="shared" si="0"/>
        <v>1.7666666666627862</v>
      </c>
      <c r="K42" s="401">
        <f t="shared" si="1"/>
        <v>106</v>
      </c>
      <c r="L42" s="402" t="s">
        <v>121</v>
      </c>
      <c r="M42" s="403" t="str">
        <f t="shared" si="2"/>
        <v>--</v>
      </c>
      <c r="N42" s="404">
        <f t="shared" si="3"/>
        <v>20</v>
      </c>
      <c r="O42" s="405">
        <f t="shared" si="4"/>
        <v>7.3246139999999995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 t="str">
        <f t="shared" si="8"/>
        <v>SI</v>
      </c>
      <c r="T42" s="410">
        <f t="shared" si="9"/>
        <v>7.3246139999999995</v>
      </c>
      <c r="U42" s="410">
        <v>5.681700000000001</v>
      </c>
      <c r="V42" s="410">
        <f t="shared" si="11"/>
        <v>1.6429139999999984</v>
      </c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25"/>
      <c r="U43" s="425"/>
      <c r="V43" s="425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334">
        <f>ROUND(SUM(T20:T43),2)</f>
        <v>1148.26</v>
      </c>
      <c r="U44" s="334">
        <f>ROUND(SUM(U20:U43),2)</f>
        <v>890.62</v>
      </c>
      <c r="V44" s="334">
        <f>ROUND(SUM(V20:V43),2)</f>
        <v>257.64</v>
      </c>
      <c r="W44" s="429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22">
    <pageSetUpPr fitToPage="1"/>
  </sheetPr>
  <dimension ref="A1:W16382"/>
  <sheetViews>
    <sheetView zoomScale="75" zoomScaleNormal="75" workbookViewId="0" topLeftCell="A7">
      <selection activeCell="G24" sqref="G24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239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2.787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267" t="s">
        <v>226</v>
      </c>
      <c r="V19" s="267" t="s">
        <v>127</v>
      </c>
      <c r="W19" s="374"/>
    </row>
    <row r="20" spans="2:23" s="149" customFormat="1" ht="16.5" customHeight="1" thickTop="1">
      <c r="B20" s="375"/>
      <c r="C20" s="376"/>
      <c r="D20" s="279" t="s">
        <v>247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+SA!T44</f>
        <v>1148.26</v>
      </c>
      <c r="U20" s="148">
        <f>+SA!U44</f>
        <v>890.62</v>
      </c>
      <c r="V20" s="148">
        <f>+SA!V44</f>
        <v>257.64</v>
      </c>
      <c r="W20" s="166"/>
    </row>
    <row r="21" spans="2:23" s="149" customFormat="1" ht="16.5" customHeight="1">
      <c r="B21" s="375"/>
      <c r="C21" s="385"/>
      <c r="D21" s="386"/>
      <c r="E21" s="386"/>
      <c r="F21" s="292"/>
      <c r="G21" s="387"/>
      <c r="H21" s="292"/>
      <c r="I21" s="388"/>
      <c r="J21" s="291"/>
      <c r="K21" s="389"/>
      <c r="L21" s="390"/>
      <c r="M21" s="292"/>
      <c r="N21" s="391"/>
      <c r="O21" s="392"/>
      <c r="P21" s="393"/>
      <c r="Q21" s="394"/>
      <c r="R21" s="395"/>
      <c r="S21" s="291"/>
      <c r="T21" s="291"/>
      <c r="U21" s="291"/>
      <c r="V21" s="291"/>
      <c r="W21" s="166"/>
    </row>
    <row r="22" spans="2:23" ht="16.5" customHeight="1">
      <c r="B22" s="396"/>
      <c r="C22" s="397">
        <v>59</v>
      </c>
      <c r="D22" s="314" t="s">
        <v>57</v>
      </c>
      <c r="E22" s="294" t="s">
        <v>196</v>
      </c>
      <c r="F22" s="294">
        <v>13.2</v>
      </c>
      <c r="G22" s="398">
        <f>IF(OR(F22=132,F22=66),$E$14,IF(F22=33,$E$15,$E$16))*$F$17</f>
        <v>2.0690999999999997</v>
      </c>
      <c r="H22" s="399">
        <v>36034.44097222222</v>
      </c>
      <c r="I22" s="399">
        <v>36034.53472222222</v>
      </c>
      <c r="J22" s="400">
        <f aca="true" t="shared" si="0" ref="J22:J41">IF(H22="","",(I22-H22)*24)</f>
        <v>2.25</v>
      </c>
      <c r="K22" s="401">
        <f aca="true" t="shared" si="1" ref="K22:K41">IF(I22="","",ROUND((I22-H22)*24*60,0))</f>
        <v>135</v>
      </c>
      <c r="L22" s="402" t="s">
        <v>121</v>
      </c>
      <c r="M22" s="403" t="str">
        <f aca="true" t="shared" si="2" ref="M22:M41">IF(L22="","",IF(L22="P","--","NO"))</f>
        <v>--</v>
      </c>
      <c r="N22" s="404">
        <f aca="true" t="shared" si="3" ref="N22:N41">IF(OR(F22=132,F22=66),$F$14,IF(F22=33,$F$15,$F$16))</f>
        <v>20</v>
      </c>
      <c r="O22" s="405">
        <f aca="true" t="shared" si="4" ref="O22:O41">IF(L22="P",G22*N22*0.1*ROUND(K22/60,2),"--")</f>
        <v>9.310949999999998</v>
      </c>
      <c r="P22" s="406" t="str">
        <f aca="true" t="shared" si="5" ref="P22:P41">IF(M22="NO",IF(L22="F",G22*N22,"--"),"--")</f>
        <v>--</v>
      </c>
      <c r="Q22" s="407" t="str">
        <f aca="true" t="shared" si="6" ref="Q22:Q41">IF(L22="F",G22*N22*ROUND(K22/60,2),"--")</f>
        <v>--</v>
      </c>
      <c r="R22" s="408" t="str">
        <f aca="true" t="shared" si="7" ref="R22:R41">IF(L22="RF",G22*N22*ROUND(K22/60,2),"--")</f>
        <v>--</v>
      </c>
      <c r="S22" s="409" t="str">
        <f aca="true" t="shared" si="8" ref="S22:S41">IF(D22="","","SI")</f>
        <v>SI</v>
      </c>
      <c r="T22" s="410">
        <f aca="true" t="shared" si="9" ref="T22:T41">IF(D22="","",IF(F22="500/220",0,IF(S22="SI",SUM(O22:R22),2*SUM(O22:R22))))</f>
        <v>9.310949999999998</v>
      </c>
      <c r="U22" s="410">
        <v>7.2225</v>
      </c>
      <c r="V22" s="410">
        <f aca="true" t="shared" si="10" ref="V22:V30">+T22-U22</f>
        <v>2.088449999999998</v>
      </c>
      <c r="W22" s="311"/>
    </row>
    <row r="23" spans="2:23" ht="16.5" customHeight="1">
      <c r="B23" s="396"/>
      <c r="C23" s="397">
        <v>60</v>
      </c>
      <c r="D23" s="314" t="s">
        <v>25</v>
      </c>
      <c r="E23" s="294" t="s">
        <v>39</v>
      </c>
      <c r="F23" s="294">
        <v>33</v>
      </c>
      <c r="G23" s="398">
        <f aca="true" t="shared" si="11" ref="G23:G41">IF(OR(F23=132,F23=66),$E$14,IF(F23=33,$E$15,$E$16))*$F$17</f>
        <v>2.0690999999999997</v>
      </c>
      <c r="H23" s="399">
        <v>36034.46805555555</v>
      </c>
      <c r="I23" s="399">
        <v>36034.623611111114</v>
      </c>
      <c r="J23" s="400">
        <f t="shared" si="0"/>
        <v>3.733333333453629</v>
      </c>
      <c r="K23" s="401">
        <f t="shared" si="1"/>
        <v>224</v>
      </c>
      <c r="L23" s="402" t="s">
        <v>121</v>
      </c>
      <c r="M23" s="403" t="str">
        <f t="shared" si="2"/>
        <v>--</v>
      </c>
      <c r="N23" s="404">
        <f t="shared" si="3"/>
        <v>25</v>
      </c>
      <c r="O23" s="405">
        <f t="shared" si="4"/>
        <v>19.2943575</v>
      </c>
      <c r="P23" s="406" t="str">
        <f t="shared" si="5"/>
        <v>--</v>
      </c>
      <c r="Q23" s="407" t="str">
        <f t="shared" si="6"/>
        <v>--</v>
      </c>
      <c r="R23" s="408" t="str">
        <f t="shared" si="7"/>
        <v>--</v>
      </c>
      <c r="S23" s="409" t="str">
        <f t="shared" si="8"/>
        <v>SI</v>
      </c>
      <c r="T23" s="410">
        <f t="shared" si="9"/>
        <v>19.2943575</v>
      </c>
      <c r="U23" s="410">
        <v>14.966625</v>
      </c>
      <c r="V23" s="410">
        <f t="shared" si="10"/>
        <v>4.3277325</v>
      </c>
      <c r="W23" s="311"/>
    </row>
    <row r="24" spans="2:23" ht="16.5" customHeight="1">
      <c r="B24" s="396"/>
      <c r="C24" s="397">
        <v>61</v>
      </c>
      <c r="D24" s="314" t="s">
        <v>57</v>
      </c>
      <c r="E24" s="294" t="s">
        <v>137</v>
      </c>
      <c r="F24" s="294">
        <v>13.2</v>
      </c>
      <c r="G24" s="398">
        <f t="shared" si="11"/>
        <v>2.0690999999999997</v>
      </c>
      <c r="H24" s="399">
        <v>36034.56597222222</v>
      </c>
      <c r="I24" s="399">
        <v>36034.64097222222</v>
      </c>
      <c r="J24" s="400">
        <f t="shared" si="0"/>
        <v>1.8000000001047738</v>
      </c>
      <c r="K24" s="401">
        <f t="shared" si="1"/>
        <v>108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7.448759999999999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7.448759999999999</v>
      </c>
      <c r="U24" s="410">
        <v>5.7780000000000005</v>
      </c>
      <c r="V24" s="410">
        <f t="shared" si="10"/>
        <v>1.6707599999999987</v>
      </c>
      <c r="W24" s="311"/>
    </row>
    <row r="25" spans="2:23" ht="16.5" customHeight="1">
      <c r="B25" s="363"/>
      <c r="C25" s="397">
        <v>62</v>
      </c>
      <c r="D25" s="314" t="s">
        <v>57</v>
      </c>
      <c r="E25" s="294" t="s">
        <v>137</v>
      </c>
      <c r="F25" s="294">
        <v>33</v>
      </c>
      <c r="G25" s="398">
        <f t="shared" si="11"/>
        <v>2.0690999999999997</v>
      </c>
      <c r="H25" s="399">
        <v>36034.58611111111</v>
      </c>
      <c r="I25" s="399">
        <v>36034.64027777778</v>
      </c>
      <c r="J25" s="400">
        <f t="shared" si="0"/>
        <v>1.3000000000465661</v>
      </c>
      <c r="K25" s="401">
        <f t="shared" si="1"/>
        <v>78</v>
      </c>
      <c r="L25" s="402" t="s">
        <v>121</v>
      </c>
      <c r="M25" s="403" t="str">
        <f t="shared" si="2"/>
        <v>--</v>
      </c>
      <c r="N25" s="404">
        <f t="shared" si="3"/>
        <v>25</v>
      </c>
      <c r="O25" s="405">
        <f t="shared" si="4"/>
        <v>6.724575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6.724575</v>
      </c>
      <c r="U25" s="410">
        <v>5.21625</v>
      </c>
      <c r="V25" s="410">
        <f t="shared" si="10"/>
        <v>1.5083250000000001</v>
      </c>
      <c r="W25" s="311"/>
    </row>
    <row r="26" spans="2:23" ht="16.5" customHeight="1">
      <c r="B26" s="396"/>
      <c r="C26" s="397">
        <v>63</v>
      </c>
      <c r="D26" s="314" t="s">
        <v>57</v>
      </c>
      <c r="E26" s="294" t="s">
        <v>197</v>
      </c>
      <c r="F26" s="294">
        <v>33</v>
      </c>
      <c r="G26" s="398">
        <f t="shared" si="11"/>
        <v>2.0690999999999997</v>
      </c>
      <c r="H26" s="399">
        <v>36034.61388888889</v>
      </c>
      <c r="I26" s="399">
        <v>36034.68125</v>
      </c>
      <c r="J26" s="400">
        <f t="shared" si="0"/>
        <v>1.6166666666977108</v>
      </c>
      <c r="K26" s="401">
        <f t="shared" si="1"/>
        <v>97</v>
      </c>
      <c r="L26" s="402" t="s">
        <v>121</v>
      </c>
      <c r="M26" s="403" t="str">
        <f t="shared" si="2"/>
        <v>--</v>
      </c>
      <c r="N26" s="404">
        <f t="shared" si="3"/>
        <v>25</v>
      </c>
      <c r="O26" s="405">
        <f t="shared" si="4"/>
        <v>8.379855000000001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8.379855000000001</v>
      </c>
      <c r="U26" s="410">
        <v>6.50025</v>
      </c>
      <c r="V26" s="410">
        <f t="shared" si="10"/>
        <v>1.8796050000000006</v>
      </c>
      <c r="W26" s="311"/>
    </row>
    <row r="27" spans="2:23" ht="16.5" customHeight="1">
      <c r="B27" s="396"/>
      <c r="C27" s="397">
        <v>64</v>
      </c>
      <c r="D27" s="314" t="s">
        <v>57</v>
      </c>
      <c r="E27" s="294" t="s">
        <v>141</v>
      </c>
      <c r="F27" s="294">
        <v>33</v>
      </c>
      <c r="G27" s="398">
        <f t="shared" si="11"/>
        <v>2.0690999999999997</v>
      </c>
      <c r="H27" s="399">
        <v>36034.68194444444</v>
      </c>
      <c r="I27" s="399">
        <v>36034.69583333333</v>
      </c>
      <c r="J27" s="400">
        <f t="shared" si="0"/>
        <v>0.33333333337213844</v>
      </c>
      <c r="K27" s="401">
        <f t="shared" si="1"/>
        <v>20</v>
      </c>
      <c r="L27" s="402" t="s">
        <v>121</v>
      </c>
      <c r="M27" s="403" t="str">
        <f t="shared" si="2"/>
        <v>--</v>
      </c>
      <c r="N27" s="404">
        <f t="shared" si="3"/>
        <v>25</v>
      </c>
      <c r="O27" s="405">
        <f t="shared" si="4"/>
        <v>1.7070075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1.7070075</v>
      </c>
      <c r="U27" s="410">
        <v>1.3241250000000002</v>
      </c>
      <c r="V27" s="410">
        <f t="shared" si="10"/>
        <v>0.3828824999999998</v>
      </c>
      <c r="W27" s="311"/>
    </row>
    <row r="28" spans="2:23" ht="16.5" customHeight="1">
      <c r="B28" s="396"/>
      <c r="C28" s="397">
        <v>65</v>
      </c>
      <c r="D28" s="314" t="s">
        <v>57</v>
      </c>
      <c r="E28" s="294" t="s">
        <v>193</v>
      </c>
      <c r="F28" s="294">
        <v>33</v>
      </c>
      <c r="G28" s="398">
        <f t="shared" si="11"/>
        <v>2.0690999999999997</v>
      </c>
      <c r="H28" s="399">
        <v>36034.70208333333</v>
      </c>
      <c r="I28" s="399">
        <v>36034.729166666664</v>
      </c>
      <c r="J28" s="400">
        <f t="shared" si="0"/>
        <v>0.6500000000232831</v>
      </c>
      <c r="K28" s="401">
        <f t="shared" si="1"/>
        <v>39</v>
      </c>
      <c r="L28" s="402" t="s">
        <v>121</v>
      </c>
      <c r="M28" s="403" t="str">
        <f t="shared" si="2"/>
        <v>--</v>
      </c>
      <c r="N28" s="404">
        <f t="shared" si="3"/>
        <v>25</v>
      </c>
      <c r="O28" s="405">
        <f t="shared" si="4"/>
        <v>3.3622875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3.3622875</v>
      </c>
      <c r="U28" s="410">
        <v>2.608125</v>
      </c>
      <c r="V28" s="410">
        <f t="shared" si="10"/>
        <v>0.7541625000000001</v>
      </c>
      <c r="W28" s="311"/>
    </row>
    <row r="29" spans="2:23" ht="16.5" customHeight="1">
      <c r="B29" s="396"/>
      <c r="C29" s="397">
        <v>66</v>
      </c>
      <c r="D29" s="314" t="s">
        <v>41</v>
      </c>
      <c r="E29" s="294" t="s">
        <v>42</v>
      </c>
      <c r="F29" s="294">
        <v>13.2</v>
      </c>
      <c r="G29" s="398">
        <f t="shared" si="11"/>
        <v>2.0690999999999997</v>
      </c>
      <c r="H29" s="399">
        <v>36038.46666666667</v>
      </c>
      <c r="I29" s="399">
        <v>36038.52013888889</v>
      </c>
      <c r="J29" s="400">
        <f t="shared" si="0"/>
        <v>1.2833333333255723</v>
      </c>
      <c r="K29" s="401">
        <f t="shared" si="1"/>
        <v>77</v>
      </c>
      <c r="L29" s="402" t="s">
        <v>121</v>
      </c>
      <c r="M29" s="403" t="str">
        <f t="shared" si="2"/>
        <v>--</v>
      </c>
      <c r="N29" s="404">
        <f t="shared" si="3"/>
        <v>20</v>
      </c>
      <c r="O29" s="405">
        <f t="shared" si="4"/>
        <v>5.296895999999999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5.296895999999999</v>
      </c>
      <c r="U29" s="410">
        <v>4.1088000000000005</v>
      </c>
      <c r="V29" s="410">
        <f t="shared" si="10"/>
        <v>1.188095999999999</v>
      </c>
      <c r="W29" s="311"/>
    </row>
    <row r="30" spans="2:23" ht="16.5" customHeight="1">
      <c r="B30" s="396"/>
      <c r="C30" s="397">
        <v>67</v>
      </c>
      <c r="D30" s="314" t="s">
        <v>41</v>
      </c>
      <c r="E30" s="294" t="s">
        <v>167</v>
      </c>
      <c r="F30" s="411">
        <v>13.2</v>
      </c>
      <c r="G30" s="398">
        <f t="shared" si="11"/>
        <v>2.0690999999999997</v>
      </c>
      <c r="H30" s="399">
        <v>36038.52916666667</v>
      </c>
      <c r="I30" s="399">
        <v>36038.618055555555</v>
      </c>
      <c r="J30" s="400">
        <f t="shared" si="0"/>
        <v>2.1333333333022892</v>
      </c>
      <c r="K30" s="401">
        <f t="shared" si="1"/>
        <v>128</v>
      </c>
      <c r="L30" s="402" t="s">
        <v>121</v>
      </c>
      <c r="M30" s="403" t="str">
        <f t="shared" si="2"/>
        <v>--</v>
      </c>
      <c r="N30" s="404">
        <f t="shared" si="3"/>
        <v>20</v>
      </c>
      <c r="O30" s="405">
        <f t="shared" si="4"/>
        <v>8.814365999999998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8.814365999999998</v>
      </c>
      <c r="U30" s="410">
        <v>6.837300000000001</v>
      </c>
      <c r="V30" s="410">
        <f t="shared" si="10"/>
        <v>1.977065999999997</v>
      </c>
      <c r="W30" s="311"/>
    </row>
    <row r="31" spans="2:23" ht="16.5" customHeight="1">
      <c r="B31" s="396"/>
      <c r="C31" s="397"/>
      <c r="D31" s="314"/>
      <c r="E31" s="294"/>
      <c r="F31" s="411"/>
      <c r="G31" s="398">
        <f t="shared" si="11"/>
        <v>2.0690999999999997</v>
      </c>
      <c r="H31" s="399"/>
      <c r="I31" s="399"/>
      <c r="J31" s="400">
        <f t="shared" si="0"/>
      </c>
      <c r="K31" s="401">
        <f t="shared" si="1"/>
      </c>
      <c r="L31" s="402"/>
      <c r="M31" s="403">
        <f t="shared" si="2"/>
      </c>
      <c r="N31" s="404">
        <f t="shared" si="3"/>
        <v>20</v>
      </c>
      <c r="O31" s="405" t="str">
        <f t="shared" si="4"/>
        <v>--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>
        <f t="shared" si="8"/>
      </c>
      <c r="T31" s="410">
        <f t="shared" si="9"/>
      </c>
      <c r="U31" s="410" t="s">
        <v>126</v>
      </c>
      <c r="V31" s="410"/>
      <c r="W31" s="311"/>
    </row>
    <row r="32" spans="2:23" ht="16.5" customHeight="1">
      <c r="B32" s="396"/>
      <c r="C32" s="397"/>
      <c r="D32" s="314"/>
      <c r="E32" s="294"/>
      <c r="F32" s="411"/>
      <c r="G32" s="398">
        <f t="shared" si="11"/>
        <v>2.0690999999999997</v>
      </c>
      <c r="H32" s="399"/>
      <c r="I32" s="399"/>
      <c r="J32" s="400">
        <f t="shared" si="0"/>
      </c>
      <c r="K32" s="401">
        <f t="shared" si="1"/>
      </c>
      <c r="L32" s="402"/>
      <c r="M32" s="403">
        <f t="shared" si="2"/>
      </c>
      <c r="N32" s="404">
        <f t="shared" si="3"/>
        <v>20</v>
      </c>
      <c r="O32" s="405" t="str">
        <f t="shared" si="4"/>
        <v>--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>
        <f t="shared" si="8"/>
      </c>
      <c r="T32" s="410">
        <f t="shared" si="9"/>
      </c>
      <c r="U32" s="410" t="s">
        <v>126</v>
      </c>
      <c r="V32" s="410"/>
      <c r="W32" s="311"/>
    </row>
    <row r="33" spans="2:23" ht="16.5" customHeight="1">
      <c r="B33" s="396"/>
      <c r="C33" s="397"/>
      <c r="D33" s="314"/>
      <c r="E33" s="294"/>
      <c r="F33" s="411"/>
      <c r="G33" s="398">
        <f t="shared" si="11"/>
        <v>2.0690999999999997</v>
      </c>
      <c r="H33" s="399"/>
      <c r="I33" s="399"/>
      <c r="J33" s="400">
        <f t="shared" si="0"/>
      </c>
      <c r="K33" s="401">
        <f t="shared" si="1"/>
      </c>
      <c r="L33" s="402"/>
      <c r="M33" s="403">
        <f t="shared" si="2"/>
      </c>
      <c r="N33" s="404">
        <f t="shared" si="3"/>
        <v>20</v>
      </c>
      <c r="O33" s="405" t="str">
        <f t="shared" si="4"/>
        <v>--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>
        <f t="shared" si="8"/>
      </c>
      <c r="T33" s="410">
        <f t="shared" si="9"/>
      </c>
      <c r="U33" s="410" t="s">
        <v>126</v>
      </c>
      <c r="V33" s="410"/>
      <c r="W33" s="311"/>
    </row>
    <row r="34" spans="2:23" ht="16.5" customHeight="1">
      <c r="B34" s="396"/>
      <c r="C34" s="397"/>
      <c r="D34" s="314"/>
      <c r="E34" s="294"/>
      <c r="F34" s="411"/>
      <c r="G34" s="398">
        <f t="shared" si="11"/>
        <v>2.0690999999999997</v>
      </c>
      <c r="H34" s="399"/>
      <c r="I34" s="399"/>
      <c r="J34" s="400">
        <f t="shared" si="0"/>
      </c>
      <c r="K34" s="401">
        <f t="shared" si="1"/>
      </c>
      <c r="L34" s="402"/>
      <c r="M34" s="403">
        <f t="shared" si="2"/>
      </c>
      <c r="N34" s="404">
        <f t="shared" si="3"/>
        <v>20</v>
      </c>
      <c r="O34" s="405" t="str">
        <f t="shared" si="4"/>
        <v>--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>
        <f t="shared" si="8"/>
      </c>
      <c r="T34" s="410">
        <f t="shared" si="9"/>
      </c>
      <c r="U34" s="410" t="s">
        <v>126</v>
      </c>
      <c r="V34" s="410"/>
      <c r="W34" s="311"/>
    </row>
    <row r="35" spans="2:23" ht="16.5" customHeight="1">
      <c r="B35" s="396"/>
      <c r="C35" s="397"/>
      <c r="D35" s="314"/>
      <c r="E35" s="294"/>
      <c r="F35" s="411"/>
      <c r="G35" s="398">
        <f t="shared" si="11"/>
        <v>2.0690999999999997</v>
      </c>
      <c r="H35" s="399"/>
      <c r="I35" s="399"/>
      <c r="J35" s="400">
        <f t="shared" si="0"/>
      </c>
      <c r="K35" s="401">
        <f t="shared" si="1"/>
      </c>
      <c r="L35" s="402"/>
      <c r="M35" s="403">
        <f t="shared" si="2"/>
      </c>
      <c r="N35" s="404">
        <f t="shared" si="3"/>
        <v>20</v>
      </c>
      <c r="O35" s="405" t="str">
        <f t="shared" si="4"/>
        <v>--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>
        <f t="shared" si="8"/>
      </c>
      <c r="T35" s="410">
        <f t="shared" si="9"/>
      </c>
      <c r="U35" s="410" t="s">
        <v>126</v>
      </c>
      <c r="V35" s="410"/>
      <c r="W35" s="311"/>
    </row>
    <row r="36" spans="2:23" ht="16.5" customHeight="1">
      <c r="B36" s="396"/>
      <c r="C36" s="397"/>
      <c r="D36" s="314"/>
      <c r="E36" s="294"/>
      <c r="F36" s="411"/>
      <c r="G36" s="398">
        <f t="shared" si="11"/>
        <v>2.0690999999999997</v>
      </c>
      <c r="H36" s="399"/>
      <c r="I36" s="399"/>
      <c r="J36" s="400">
        <f t="shared" si="0"/>
      </c>
      <c r="K36" s="401">
        <f t="shared" si="1"/>
      </c>
      <c r="L36" s="402"/>
      <c r="M36" s="403">
        <f t="shared" si="2"/>
      </c>
      <c r="N36" s="404">
        <f t="shared" si="3"/>
        <v>20</v>
      </c>
      <c r="O36" s="405" t="str">
        <f t="shared" si="4"/>
        <v>--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>
        <f t="shared" si="8"/>
      </c>
      <c r="T36" s="410">
        <f t="shared" si="9"/>
      </c>
      <c r="U36" s="410" t="s">
        <v>126</v>
      </c>
      <c r="V36" s="410"/>
      <c r="W36" s="311"/>
    </row>
    <row r="37" spans="2:23" ht="16.5" customHeight="1">
      <c r="B37" s="396"/>
      <c r="C37" s="397"/>
      <c r="D37" s="314"/>
      <c r="E37" s="294"/>
      <c r="F37" s="411"/>
      <c r="G37" s="398">
        <f t="shared" si="11"/>
        <v>2.0690999999999997</v>
      </c>
      <c r="H37" s="399"/>
      <c r="I37" s="399"/>
      <c r="J37" s="400">
        <f t="shared" si="0"/>
      </c>
      <c r="K37" s="401">
        <f t="shared" si="1"/>
      </c>
      <c r="L37" s="402"/>
      <c r="M37" s="403">
        <f t="shared" si="2"/>
      </c>
      <c r="N37" s="404">
        <f t="shared" si="3"/>
        <v>20</v>
      </c>
      <c r="O37" s="405" t="str">
        <f t="shared" si="4"/>
        <v>--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>
        <f t="shared" si="8"/>
      </c>
      <c r="T37" s="410">
        <f t="shared" si="9"/>
      </c>
      <c r="U37" s="410" t="s">
        <v>126</v>
      </c>
      <c r="V37" s="410"/>
      <c r="W37" s="311"/>
    </row>
    <row r="38" spans="2:23" ht="16.5" customHeight="1">
      <c r="B38" s="396"/>
      <c r="C38" s="397"/>
      <c r="D38" s="314"/>
      <c r="E38" s="294"/>
      <c r="F38" s="411"/>
      <c r="G38" s="398">
        <f t="shared" si="11"/>
        <v>2.0690999999999997</v>
      </c>
      <c r="H38" s="399"/>
      <c r="I38" s="399"/>
      <c r="J38" s="400">
        <f t="shared" si="0"/>
      </c>
      <c r="K38" s="401">
        <f t="shared" si="1"/>
      </c>
      <c r="L38" s="402"/>
      <c r="M38" s="403">
        <f t="shared" si="2"/>
      </c>
      <c r="N38" s="404">
        <f t="shared" si="3"/>
        <v>20</v>
      </c>
      <c r="O38" s="405" t="str">
        <f t="shared" si="4"/>
        <v>--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>
        <f t="shared" si="8"/>
      </c>
      <c r="T38" s="410">
        <f t="shared" si="9"/>
      </c>
      <c r="U38" s="410" t="s">
        <v>126</v>
      </c>
      <c r="V38" s="410"/>
      <c r="W38" s="311"/>
    </row>
    <row r="39" spans="2:23" ht="16.5" customHeight="1">
      <c r="B39" s="396"/>
      <c r="C39" s="397"/>
      <c r="D39" s="314"/>
      <c r="E39" s="294"/>
      <c r="F39" s="411"/>
      <c r="G39" s="398">
        <f t="shared" si="11"/>
        <v>2.0690999999999997</v>
      </c>
      <c r="H39" s="399"/>
      <c r="I39" s="399"/>
      <c r="J39" s="400">
        <f t="shared" si="0"/>
      </c>
      <c r="K39" s="401">
        <f t="shared" si="1"/>
      </c>
      <c r="L39" s="402"/>
      <c r="M39" s="403">
        <f t="shared" si="2"/>
      </c>
      <c r="N39" s="404">
        <f t="shared" si="3"/>
        <v>20</v>
      </c>
      <c r="O39" s="405" t="str">
        <f t="shared" si="4"/>
        <v>--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>
        <f t="shared" si="8"/>
      </c>
      <c r="T39" s="410">
        <f t="shared" si="9"/>
      </c>
      <c r="U39" s="410" t="s">
        <v>126</v>
      </c>
      <c r="V39" s="410"/>
      <c r="W39" s="311"/>
    </row>
    <row r="40" spans="2:23" ht="16.5" customHeight="1">
      <c r="B40" s="396"/>
      <c r="C40" s="397"/>
      <c r="D40" s="314"/>
      <c r="E40" s="294"/>
      <c r="F40" s="411"/>
      <c r="G40" s="398">
        <f t="shared" si="11"/>
        <v>2.0690999999999997</v>
      </c>
      <c r="H40" s="399"/>
      <c r="I40" s="399"/>
      <c r="J40" s="400">
        <f t="shared" si="0"/>
      </c>
      <c r="K40" s="401">
        <f t="shared" si="1"/>
      </c>
      <c r="L40" s="402"/>
      <c r="M40" s="403">
        <f t="shared" si="2"/>
      </c>
      <c r="N40" s="404">
        <f t="shared" si="3"/>
        <v>20</v>
      </c>
      <c r="O40" s="405" t="str">
        <f t="shared" si="4"/>
        <v>--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>
        <f t="shared" si="8"/>
      </c>
      <c r="T40" s="410">
        <f t="shared" si="9"/>
      </c>
      <c r="U40" s="410" t="s">
        <v>126</v>
      </c>
      <c r="V40" s="410"/>
      <c r="W40" s="311"/>
    </row>
    <row r="41" spans="2:23" ht="16.5" customHeight="1">
      <c r="B41" s="396"/>
      <c r="C41" s="397"/>
      <c r="D41" s="314"/>
      <c r="E41" s="294"/>
      <c r="F41" s="411"/>
      <c r="G41" s="398">
        <f t="shared" si="11"/>
        <v>2.0690999999999997</v>
      </c>
      <c r="H41" s="399"/>
      <c r="I41" s="399"/>
      <c r="J41" s="400">
        <f t="shared" si="0"/>
      </c>
      <c r="K41" s="401">
        <f t="shared" si="1"/>
      </c>
      <c r="L41" s="402"/>
      <c r="M41" s="403">
        <f t="shared" si="2"/>
      </c>
      <c r="N41" s="404">
        <f t="shared" si="3"/>
        <v>20</v>
      </c>
      <c r="O41" s="405" t="str">
        <f t="shared" si="4"/>
        <v>--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>
        <f t="shared" si="8"/>
      </c>
      <c r="T41" s="410">
        <f t="shared" si="9"/>
      </c>
      <c r="U41" s="410" t="s">
        <v>126</v>
      </c>
      <c r="V41" s="410"/>
      <c r="W41" s="311"/>
    </row>
    <row r="42" spans="2:23" ht="16.5" customHeight="1" thickBot="1">
      <c r="B42" s="396"/>
      <c r="C42" s="412"/>
      <c r="D42" s="413"/>
      <c r="E42" s="414"/>
      <c r="F42" s="414"/>
      <c r="G42" s="415"/>
      <c r="H42" s="414"/>
      <c r="I42" s="416"/>
      <c r="J42" s="417"/>
      <c r="K42" s="417"/>
      <c r="L42" s="416"/>
      <c r="M42" s="418"/>
      <c r="N42" s="419"/>
      <c r="O42" s="420"/>
      <c r="P42" s="421"/>
      <c r="Q42" s="422"/>
      <c r="R42" s="423"/>
      <c r="S42" s="424"/>
      <c r="T42" s="437"/>
      <c r="U42" s="437"/>
      <c r="V42" s="437"/>
      <c r="W42" s="311"/>
    </row>
    <row r="43" spans="2:23" ht="16.5" customHeight="1" thickBot="1" thickTop="1">
      <c r="B43" s="239"/>
      <c r="C43" s="208" t="s">
        <v>120</v>
      </c>
      <c r="D43" s="209" t="s">
        <v>110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426"/>
      <c r="P43" s="427"/>
      <c r="Q43" s="427"/>
      <c r="R43" s="427"/>
      <c r="S43" s="428"/>
      <c r="T43" s="334">
        <f>ROUND(SUM(T20:T42),2)</f>
        <v>1218.6</v>
      </c>
      <c r="U43" s="334">
        <f>ROUND(SUM(U20:U42),2)</f>
        <v>945.18</v>
      </c>
      <c r="V43" s="334">
        <f>ROUND(SUM(V20:V42),2)</f>
        <v>273.42</v>
      </c>
      <c r="W43" s="311"/>
    </row>
    <row r="44" spans="2:23" s="335" customFormat="1" ht="9.75" thickTop="1">
      <c r="B44" s="336"/>
      <c r="C44" s="219"/>
      <c r="D44" s="220" t="s">
        <v>111</v>
      </c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430"/>
      <c r="P44" s="430"/>
      <c r="Q44" s="430"/>
      <c r="R44" s="430"/>
      <c r="S44" s="430"/>
      <c r="T44" s="338"/>
      <c r="U44" s="338"/>
      <c r="V44" s="338"/>
      <c r="W44" s="339"/>
    </row>
    <row r="45" spans="2:23" ht="16.5" customHeight="1" thickBot="1"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431"/>
    </row>
    <row r="46" ht="13.5" thickTop="1"/>
    <row r="16382" ht="12.75">
      <c r="D16382" s="432"/>
    </row>
  </sheetData>
  <mergeCells count="1"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111">
    <pageSetUpPr fitToPage="1"/>
  </sheetPr>
  <dimension ref="A1:AA16383"/>
  <sheetViews>
    <sheetView zoomScale="75" zoomScaleNormal="75" workbookViewId="0" topLeftCell="B8">
      <selection activeCell="G25" sqref="G25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239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2.787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267" t="s">
        <v>226</v>
      </c>
      <c r="V19" s="267" t="s">
        <v>127</v>
      </c>
      <c r="W19" s="374"/>
    </row>
    <row r="20" spans="2:23" s="149" customFormat="1" ht="16.5" customHeight="1" thickTop="1">
      <c r="B20" s="375"/>
      <c r="C20" s="376"/>
      <c r="D20" s="279" t="s">
        <v>248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(2)'!T43</f>
        <v>1218.6</v>
      </c>
      <c r="U20" s="148">
        <f>+'SA (2)'!U43</f>
        <v>945.18</v>
      </c>
      <c r="V20" s="148">
        <f>+'SA (2)'!V43</f>
        <v>273.42</v>
      </c>
      <c r="W20" s="166"/>
    </row>
    <row r="21" spans="2:23" s="149" customFormat="1" ht="16.5" customHeight="1" thickBot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</row>
    <row r="22" spans="2:27" s="78" customFormat="1" ht="16.5" customHeight="1" thickBot="1" thickTop="1">
      <c r="B22" s="130"/>
      <c r="C22" s="605" t="s">
        <v>222</v>
      </c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8"/>
      <c r="W22" s="187"/>
      <c r="X22" s="8"/>
      <c r="Y22" s="8"/>
      <c r="Z22" s="8"/>
      <c r="AA22" s="8"/>
    </row>
    <row r="23" spans="2:23" ht="16.5" customHeight="1" thickTop="1">
      <c r="B23" s="396"/>
      <c r="C23" s="397">
        <v>29</v>
      </c>
      <c r="D23" s="585" t="s">
        <v>198</v>
      </c>
      <c r="E23" s="294" t="s">
        <v>199</v>
      </c>
      <c r="F23" s="294">
        <v>132</v>
      </c>
      <c r="G23" s="398">
        <f>IF(OR(F23=132,F23=66),$E$14,IF(F23=33,$E$15,$E$16))*$F$17</f>
        <v>2.75913</v>
      </c>
      <c r="H23" s="399">
        <v>36048.43958333333</v>
      </c>
      <c r="I23" s="399">
        <v>36048.57777777778</v>
      </c>
      <c r="J23" s="400">
        <f aca="true" t="shared" si="0" ref="J23:J42">IF(H23="","",(I23-H23)*24)</f>
        <v>3.3166666666511446</v>
      </c>
      <c r="K23" s="401">
        <f aca="true" t="shared" si="1" ref="K23:K42">IF(I23="","",ROUND((I23-H23)*24*60,0))</f>
        <v>199</v>
      </c>
      <c r="L23" s="402" t="s">
        <v>121</v>
      </c>
      <c r="M23" s="403" t="str">
        <f aca="true" t="shared" si="2" ref="M23:M42">IF(L23="","",IF(L23="P","--","NO"))</f>
        <v>--</v>
      </c>
      <c r="N23" s="404">
        <f aca="true" t="shared" si="3" ref="N23:N42">IF(OR(F23=132,F23=66),$F$14,IF(F23=33,$F$15,$F$16))</f>
        <v>50</v>
      </c>
      <c r="O23" s="586">
        <f aca="true" t="shared" si="4" ref="O23:O42">IF(L23="P",G23*N23*0.1*ROUND(K23/60,2),"--")</f>
        <v>45.80155800000001</v>
      </c>
      <c r="P23" s="587" t="str">
        <f aca="true" t="shared" si="5" ref="P23:P42">IF(M23="NO",IF(L23="F",G23*N23,"--"),"--")</f>
        <v>--</v>
      </c>
      <c r="Q23" s="588" t="str">
        <f aca="true" t="shared" si="6" ref="Q23:Q42">IF(L23="F",G23*N23*ROUND(K23/60,2),"--")</f>
        <v>--</v>
      </c>
      <c r="R23" s="408" t="str">
        <f aca="true" t="shared" si="7" ref="R23:R42">IF(L23="RF",G23*N23*ROUND(K23/60,2),"--")</f>
        <v>--</v>
      </c>
      <c r="S23" s="409" t="str">
        <f aca="true" t="shared" si="8" ref="S23:S42">IF(D23="","","SI")</f>
        <v>SI</v>
      </c>
      <c r="T23" s="410">
        <f aca="true" t="shared" si="9" ref="T23:T42">IF(D23="","",IF(F23="500/220",0,IF(S23="SI",SUM(O23:R23),2*SUM(O23:R23))))</f>
        <v>45.80155800000001</v>
      </c>
      <c r="U23" s="410">
        <v>35.524</v>
      </c>
      <c r="V23" s="410">
        <f>+T23-U23</f>
        <v>10.277558000000006</v>
      </c>
      <c r="W23" s="311"/>
    </row>
    <row r="24" spans="2:23" ht="16.5" customHeight="1">
      <c r="B24" s="396"/>
      <c r="C24" s="397">
        <v>30</v>
      </c>
      <c r="D24" s="314" t="s">
        <v>41</v>
      </c>
      <c r="E24" s="294" t="s">
        <v>176</v>
      </c>
      <c r="F24" s="294">
        <v>13.2</v>
      </c>
      <c r="G24" s="398">
        <f aca="true" t="shared" si="10" ref="G24:G42">IF(OR(F24=132,F24=66),$E$14,IF(F24=33,$E$15,$E$16))*$F$17</f>
        <v>2.0690999999999997</v>
      </c>
      <c r="H24" s="399">
        <v>36051.21111111111</v>
      </c>
      <c r="I24" s="399">
        <v>36051.44236111111</v>
      </c>
      <c r="J24" s="400">
        <f t="shared" si="0"/>
        <v>5.550000000104774</v>
      </c>
      <c r="K24" s="401">
        <f t="shared" si="1"/>
        <v>333</v>
      </c>
      <c r="L24" s="402" t="s">
        <v>122</v>
      </c>
      <c r="M24" s="403" t="str">
        <f t="shared" si="2"/>
        <v>NO</v>
      </c>
      <c r="N24" s="404">
        <f t="shared" si="3"/>
        <v>20</v>
      </c>
      <c r="O24" s="405" t="str">
        <f t="shared" si="4"/>
        <v>--</v>
      </c>
      <c r="P24" s="406">
        <f t="shared" si="5"/>
        <v>41.38199999999999</v>
      </c>
      <c r="Q24" s="407">
        <f t="shared" si="6"/>
        <v>229.67009999999993</v>
      </c>
      <c r="R24" s="408" t="str">
        <f t="shared" si="7"/>
        <v>--</v>
      </c>
      <c r="S24" s="409" t="str">
        <f t="shared" si="8"/>
        <v>SI</v>
      </c>
      <c r="T24" s="410">
        <f t="shared" si="9"/>
        <v>271.05209999999994</v>
      </c>
      <c r="U24" s="410">
        <v>210.255</v>
      </c>
      <c r="V24" s="410">
        <f aca="true" t="shared" si="11" ref="V24:V42">+T24-U24</f>
        <v>60.79709999999994</v>
      </c>
      <c r="W24" s="311"/>
    </row>
    <row r="25" spans="2:23" ht="16.5" customHeight="1">
      <c r="B25" s="396"/>
      <c r="C25" s="397">
        <v>31</v>
      </c>
      <c r="D25" s="314" t="s">
        <v>38</v>
      </c>
      <c r="E25" s="294" t="s">
        <v>52</v>
      </c>
      <c r="F25" s="294">
        <v>13.2</v>
      </c>
      <c r="G25" s="398">
        <f t="shared" si="10"/>
        <v>2.0690999999999997</v>
      </c>
      <c r="H25" s="399">
        <v>36052.43680555555</v>
      </c>
      <c r="I25" s="399">
        <v>36052.48402777778</v>
      </c>
      <c r="J25" s="400">
        <f t="shared" si="0"/>
        <v>1.133333333360497</v>
      </c>
      <c r="K25" s="401">
        <f t="shared" si="1"/>
        <v>68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4.6761659999999985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4.6761659999999985</v>
      </c>
      <c r="U25" s="410">
        <v>3.6273</v>
      </c>
      <c r="V25" s="410">
        <f t="shared" si="11"/>
        <v>1.0488659999999985</v>
      </c>
      <c r="W25" s="311"/>
    </row>
    <row r="26" spans="2:23" ht="16.5" customHeight="1">
      <c r="B26" s="363"/>
      <c r="C26" s="397">
        <v>32</v>
      </c>
      <c r="D26" s="314" t="s">
        <v>38</v>
      </c>
      <c r="E26" s="294" t="s">
        <v>56</v>
      </c>
      <c r="F26" s="294">
        <v>13.2</v>
      </c>
      <c r="G26" s="398">
        <f t="shared" si="10"/>
        <v>2.0690999999999997</v>
      </c>
      <c r="H26" s="399">
        <v>36052.48611111111</v>
      </c>
      <c r="I26" s="399">
        <v>36052.5875</v>
      </c>
      <c r="J26" s="400">
        <f t="shared" si="0"/>
        <v>2.433333333407063</v>
      </c>
      <c r="K26" s="401">
        <f t="shared" si="1"/>
        <v>146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10.055826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10.055826</v>
      </c>
      <c r="U26" s="410">
        <v>7.800300000000002</v>
      </c>
      <c r="V26" s="410">
        <f t="shared" si="11"/>
        <v>2.255525999999998</v>
      </c>
      <c r="W26" s="311"/>
    </row>
    <row r="27" spans="2:23" ht="16.5" customHeight="1">
      <c r="B27" s="396"/>
      <c r="C27" s="397">
        <v>33</v>
      </c>
      <c r="D27" s="314" t="s">
        <v>38</v>
      </c>
      <c r="E27" s="294" t="s">
        <v>157</v>
      </c>
      <c r="F27" s="294">
        <v>13.2</v>
      </c>
      <c r="G27" s="398">
        <f t="shared" si="10"/>
        <v>2.0690999999999997</v>
      </c>
      <c r="H27" s="399">
        <v>36053.44930555556</v>
      </c>
      <c r="I27" s="399">
        <v>36053.48333333333</v>
      </c>
      <c r="J27" s="400">
        <f t="shared" si="0"/>
        <v>0.8166666665347293</v>
      </c>
      <c r="K27" s="401">
        <f t="shared" si="1"/>
        <v>49</v>
      </c>
      <c r="L27" s="402" t="s">
        <v>121</v>
      </c>
      <c r="M27" s="403" t="str">
        <f t="shared" si="2"/>
        <v>--</v>
      </c>
      <c r="N27" s="404">
        <f t="shared" si="3"/>
        <v>20</v>
      </c>
      <c r="O27" s="405">
        <f t="shared" si="4"/>
        <v>3.3933239999999993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3.3933239999999993</v>
      </c>
      <c r="U27" s="410">
        <v>2.6322</v>
      </c>
      <c r="V27" s="410">
        <f t="shared" si="11"/>
        <v>0.7611239999999992</v>
      </c>
      <c r="W27" s="311"/>
    </row>
    <row r="28" spans="2:23" ht="16.5" customHeight="1">
      <c r="B28" s="396"/>
      <c r="C28" s="397">
        <v>34</v>
      </c>
      <c r="D28" s="314" t="s">
        <v>38</v>
      </c>
      <c r="E28" s="294" t="s">
        <v>54</v>
      </c>
      <c r="F28" s="294">
        <v>13.2</v>
      </c>
      <c r="G28" s="398">
        <f t="shared" si="10"/>
        <v>2.0690999999999997</v>
      </c>
      <c r="H28" s="399">
        <v>36053.49513888889</v>
      </c>
      <c r="I28" s="399">
        <v>36053.53472222222</v>
      </c>
      <c r="J28" s="400">
        <f t="shared" si="0"/>
        <v>0.9499999999534339</v>
      </c>
      <c r="K28" s="401">
        <f t="shared" si="1"/>
        <v>57</v>
      </c>
      <c r="L28" s="402" t="s">
        <v>121</v>
      </c>
      <c r="M28" s="403" t="str">
        <f t="shared" si="2"/>
        <v>--</v>
      </c>
      <c r="N28" s="404">
        <f t="shared" si="3"/>
        <v>20</v>
      </c>
      <c r="O28" s="405">
        <f t="shared" si="4"/>
        <v>3.9312899999999993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3.9312899999999993</v>
      </c>
      <c r="U28" s="410">
        <v>3.0495</v>
      </c>
      <c r="V28" s="410">
        <f t="shared" si="11"/>
        <v>0.8817899999999992</v>
      </c>
      <c r="W28" s="311"/>
    </row>
    <row r="29" spans="2:23" ht="16.5" customHeight="1">
      <c r="B29" s="396"/>
      <c r="C29" s="397">
        <v>35</v>
      </c>
      <c r="D29" s="314" t="s">
        <v>33</v>
      </c>
      <c r="E29" s="294" t="s">
        <v>200</v>
      </c>
      <c r="F29" s="294">
        <v>13.2</v>
      </c>
      <c r="G29" s="398">
        <f t="shared" si="10"/>
        <v>2.0690999999999997</v>
      </c>
      <c r="H29" s="399">
        <v>36055.38888888889</v>
      </c>
      <c r="I29" s="399">
        <v>36055.47986111111</v>
      </c>
      <c r="J29" s="400">
        <f t="shared" si="0"/>
        <v>2.1833333332906477</v>
      </c>
      <c r="K29" s="401">
        <f t="shared" si="1"/>
        <v>131</v>
      </c>
      <c r="L29" s="402" t="s">
        <v>121</v>
      </c>
      <c r="M29" s="403" t="str">
        <f t="shared" si="2"/>
        <v>--</v>
      </c>
      <c r="N29" s="404">
        <f t="shared" si="3"/>
        <v>20</v>
      </c>
      <c r="O29" s="405">
        <f t="shared" si="4"/>
        <v>9.021276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9.021276</v>
      </c>
      <c r="U29" s="410">
        <v>6.997800000000002</v>
      </c>
      <c r="V29" s="410">
        <f t="shared" si="11"/>
        <v>2.0234759999999987</v>
      </c>
      <c r="W29" s="311"/>
    </row>
    <row r="30" spans="2:23" ht="16.5" customHeight="1">
      <c r="B30" s="396"/>
      <c r="C30" s="397">
        <v>36</v>
      </c>
      <c r="D30" s="314" t="s">
        <v>135</v>
      </c>
      <c r="E30" s="294" t="s">
        <v>32</v>
      </c>
      <c r="F30" s="294">
        <v>13.2</v>
      </c>
      <c r="G30" s="398">
        <f t="shared" si="10"/>
        <v>2.0690999999999997</v>
      </c>
      <c r="H30" s="399">
        <v>36058.32638888889</v>
      </c>
      <c r="I30" s="399">
        <v>36058.47777777778</v>
      </c>
      <c r="J30" s="400">
        <f t="shared" si="0"/>
        <v>3.6333333333022892</v>
      </c>
      <c r="K30" s="401">
        <f t="shared" si="1"/>
        <v>218</v>
      </c>
      <c r="L30" s="402" t="s">
        <v>121</v>
      </c>
      <c r="M30" s="403" t="str">
        <f t="shared" si="2"/>
        <v>--</v>
      </c>
      <c r="N30" s="404">
        <f t="shared" si="3"/>
        <v>20</v>
      </c>
      <c r="O30" s="405">
        <f t="shared" si="4"/>
        <v>15.021665999999998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15.021665999999998</v>
      </c>
      <c r="U30" s="410">
        <v>11.6523</v>
      </c>
      <c r="V30" s="410">
        <f t="shared" si="11"/>
        <v>3.3693659999999976</v>
      </c>
      <c r="W30" s="311"/>
    </row>
    <row r="31" spans="2:23" ht="16.5" customHeight="1">
      <c r="B31" s="396"/>
      <c r="C31" s="397">
        <v>37</v>
      </c>
      <c r="D31" s="314" t="s">
        <v>135</v>
      </c>
      <c r="E31" s="294" t="s">
        <v>201</v>
      </c>
      <c r="F31" s="411">
        <v>13.2</v>
      </c>
      <c r="G31" s="398">
        <f t="shared" si="10"/>
        <v>2.0690999999999997</v>
      </c>
      <c r="H31" s="399">
        <v>36058.33125</v>
      </c>
      <c r="I31" s="399">
        <v>36058.524305555555</v>
      </c>
      <c r="J31" s="400">
        <f t="shared" si="0"/>
        <v>4.633333333244082</v>
      </c>
      <c r="K31" s="401">
        <f t="shared" si="1"/>
        <v>278</v>
      </c>
      <c r="L31" s="402" t="s">
        <v>121</v>
      </c>
      <c r="M31" s="403" t="str">
        <f t="shared" si="2"/>
        <v>--</v>
      </c>
      <c r="N31" s="404">
        <f t="shared" si="3"/>
        <v>20</v>
      </c>
      <c r="O31" s="405">
        <f t="shared" si="4"/>
        <v>19.159865999999997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19.159865999999997</v>
      </c>
      <c r="U31" s="410">
        <v>14.862300000000001</v>
      </c>
      <c r="V31" s="410">
        <f t="shared" si="11"/>
        <v>4.297565999999996</v>
      </c>
      <c r="W31" s="311"/>
    </row>
    <row r="32" spans="2:23" ht="16.5" customHeight="1">
      <c r="B32" s="396"/>
      <c r="C32" s="397">
        <v>38</v>
      </c>
      <c r="D32" s="314" t="s">
        <v>33</v>
      </c>
      <c r="E32" s="294" t="s">
        <v>202</v>
      </c>
      <c r="F32" s="411">
        <v>13.2</v>
      </c>
      <c r="G32" s="398">
        <f t="shared" si="10"/>
        <v>2.0690999999999997</v>
      </c>
      <c r="H32" s="399">
        <v>36058.33472222222</v>
      </c>
      <c r="I32" s="399">
        <v>36058.48819444444</v>
      </c>
      <c r="J32" s="400">
        <f t="shared" si="0"/>
        <v>3.6833333332906477</v>
      </c>
      <c r="K32" s="401">
        <f t="shared" si="1"/>
        <v>221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15.228575999999999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15.228575999999999</v>
      </c>
      <c r="U32" s="410">
        <v>11.812800000000003</v>
      </c>
      <c r="V32" s="410">
        <f t="shared" si="11"/>
        <v>3.4157759999999957</v>
      </c>
      <c r="W32" s="311"/>
    </row>
    <row r="33" spans="2:23" ht="16.5" customHeight="1">
      <c r="B33" s="396"/>
      <c r="C33" s="397">
        <v>39</v>
      </c>
      <c r="D33" s="314" t="s">
        <v>135</v>
      </c>
      <c r="E33" s="294" t="s">
        <v>203</v>
      </c>
      <c r="F33" s="411">
        <v>13.2</v>
      </c>
      <c r="G33" s="398">
        <f t="shared" si="10"/>
        <v>2.0690999999999997</v>
      </c>
      <c r="H33" s="399">
        <v>36058.532638888886</v>
      </c>
      <c r="I33" s="399">
        <v>36058.60555555556</v>
      </c>
      <c r="J33" s="400">
        <f t="shared" si="0"/>
        <v>1.7500000001164153</v>
      </c>
      <c r="K33" s="401">
        <f t="shared" si="1"/>
        <v>105</v>
      </c>
      <c r="L33" s="402" t="s">
        <v>121</v>
      </c>
      <c r="M33" s="403" t="str">
        <f t="shared" si="2"/>
        <v>--</v>
      </c>
      <c r="N33" s="404">
        <f t="shared" si="3"/>
        <v>20</v>
      </c>
      <c r="O33" s="405">
        <f t="shared" si="4"/>
        <v>7.2418499999999995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7.2418499999999995</v>
      </c>
      <c r="U33" s="410">
        <v>5.6175</v>
      </c>
      <c r="V33" s="410">
        <f t="shared" si="11"/>
        <v>1.6243499999999997</v>
      </c>
      <c r="W33" s="311"/>
    </row>
    <row r="34" spans="2:23" ht="16.5" customHeight="1">
      <c r="B34" s="396"/>
      <c r="C34" s="397">
        <v>40</v>
      </c>
      <c r="D34" s="314" t="s">
        <v>139</v>
      </c>
      <c r="E34" s="294" t="s">
        <v>204</v>
      </c>
      <c r="F34" s="411">
        <v>132</v>
      </c>
      <c r="G34" s="398">
        <f t="shared" si="10"/>
        <v>2.75913</v>
      </c>
      <c r="H34" s="399">
        <v>36059.43472222222</v>
      </c>
      <c r="I34" s="399">
        <v>36059.625</v>
      </c>
      <c r="J34" s="400">
        <f t="shared" si="0"/>
        <v>4.566666666709352</v>
      </c>
      <c r="K34" s="401">
        <f t="shared" si="1"/>
        <v>274</v>
      </c>
      <c r="L34" s="402" t="s">
        <v>121</v>
      </c>
      <c r="M34" s="403" t="str">
        <f t="shared" si="2"/>
        <v>--</v>
      </c>
      <c r="N34" s="404">
        <f t="shared" si="3"/>
        <v>50</v>
      </c>
      <c r="O34" s="405">
        <f t="shared" si="4"/>
        <v>63.046120500000015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63.046120500000015</v>
      </c>
      <c r="U34" s="410">
        <v>48.89900000000001</v>
      </c>
      <c r="V34" s="410">
        <f t="shared" si="11"/>
        <v>14.147120500000007</v>
      </c>
      <c r="W34" s="311"/>
    </row>
    <row r="35" spans="2:23" ht="16.5" customHeight="1">
      <c r="B35" s="396"/>
      <c r="C35" s="397">
        <v>41</v>
      </c>
      <c r="D35" s="314" t="s">
        <v>135</v>
      </c>
      <c r="E35" s="294" t="s">
        <v>177</v>
      </c>
      <c r="F35" s="411">
        <v>13.2</v>
      </c>
      <c r="G35" s="398">
        <f t="shared" si="10"/>
        <v>2.0690999999999997</v>
      </c>
      <c r="H35" s="399">
        <v>36060.35555555556</v>
      </c>
      <c r="I35" s="399">
        <v>36060.53194444445</v>
      </c>
      <c r="J35" s="400">
        <f t="shared" si="0"/>
        <v>4.233333333337214</v>
      </c>
      <c r="K35" s="401">
        <f t="shared" si="1"/>
        <v>254</v>
      </c>
      <c r="L35" s="402" t="s">
        <v>121</v>
      </c>
      <c r="M35" s="403" t="str">
        <f t="shared" si="2"/>
        <v>--</v>
      </c>
      <c r="N35" s="404">
        <f t="shared" si="3"/>
        <v>20</v>
      </c>
      <c r="O35" s="405">
        <f t="shared" si="4"/>
        <v>17.504586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17.504586</v>
      </c>
      <c r="U35" s="410">
        <v>13.578300000000002</v>
      </c>
      <c r="V35" s="410">
        <f t="shared" si="11"/>
        <v>3.9262859999999975</v>
      </c>
      <c r="W35" s="311"/>
    </row>
    <row r="36" spans="2:23" ht="16.5" customHeight="1">
      <c r="B36" s="396"/>
      <c r="C36" s="397">
        <v>42</v>
      </c>
      <c r="D36" s="314" t="s">
        <v>139</v>
      </c>
      <c r="E36" s="294" t="s">
        <v>205</v>
      </c>
      <c r="F36" s="411">
        <v>132</v>
      </c>
      <c r="G36" s="398">
        <f t="shared" si="10"/>
        <v>2.75913</v>
      </c>
      <c r="H36" s="399">
        <v>36060.45277777778</v>
      </c>
      <c r="I36" s="399">
        <v>36060.60208333333</v>
      </c>
      <c r="J36" s="400">
        <f t="shared" si="0"/>
        <v>3.583333333313931</v>
      </c>
      <c r="K36" s="401">
        <f t="shared" si="1"/>
        <v>215</v>
      </c>
      <c r="L36" s="402" t="s">
        <v>121</v>
      </c>
      <c r="M36" s="403" t="str">
        <f t="shared" si="2"/>
        <v>--</v>
      </c>
      <c r="N36" s="404">
        <f t="shared" si="3"/>
        <v>50</v>
      </c>
      <c r="O36" s="405">
        <f t="shared" si="4"/>
        <v>49.38842700000001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49.38842700000001</v>
      </c>
      <c r="U36" s="410">
        <v>38.306000000000004</v>
      </c>
      <c r="V36" s="410">
        <f t="shared" si="11"/>
        <v>11.082427000000003</v>
      </c>
      <c r="W36" s="311"/>
    </row>
    <row r="37" spans="2:23" ht="16.5" customHeight="1">
      <c r="B37" s="396"/>
      <c r="C37" s="397">
        <v>43</v>
      </c>
      <c r="D37" s="314" t="s">
        <v>206</v>
      </c>
      <c r="E37" s="294" t="s">
        <v>167</v>
      </c>
      <c r="F37" s="411">
        <v>13.2</v>
      </c>
      <c r="G37" s="398">
        <f t="shared" si="10"/>
        <v>2.0690999999999997</v>
      </c>
      <c r="H37" s="399">
        <v>36061.33472222222</v>
      </c>
      <c r="I37" s="399">
        <v>36061.44236111111</v>
      </c>
      <c r="J37" s="400">
        <f t="shared" si="0"/>
        <v>2.5833333333721384</v>
      </c>
      <c r="K37" s="401">
        <f t="shared" si="1"/>
        <v>155</v>
      </c>
      <c r="L37" s="402" t="s">
        <v>121</v>
      </c>
      <c r="M37" s="403" t="str">
        <f t="shared" si="2"/>
        <v>--</v>
      </c>
      <c r="N37" s="404">
        <f t="shared" si="3"/>
        <v>20</v>
      </c>
      <c r="O37" s="405">
        <f t="shared" si="4"/>
        <v>10.676556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10.676556</v>
      </c>
      <c r="U37" s="410">
        <v>8.2818</v>
      </c>
      <c r="V37" s="410">
        <f t="shared" si="11"/>
        <v>2.394755999999999</v>
      </c>
      <c r="W37" s="311"/>
    </row>
    <row r="38" spans="2:23" ht="16.5" customHeight="1">
      <c r="B38" s="396"/>
      <c r="C38" s="397">
        <v>44</v>
      </c>
      <c r="D38" s="314" t="s">
        <v>206</v>
      </c>
      <c r="E38" s="294" t="s">
        <v>207</v>
      </c>
      <c r="F38" s="411">
        <v>13.2</v>
      </c>
      <c r="G38" s="398">
        <f t="shared" si="10"/>
        <v>2.0690999999999997</v>
      </c>
      <c r="H38" s="399">
        <v>36062.334027777775</v>
      </c>
      <c r="I38" s="399">
        <v>36062.43541666667</v>
      </c>
      <c r="J38" s="400">
        <f t="shared" si="0"/>
        <v>2.433333333407063</v>
      </c>
      <c r="K38" s="401">
        <f t="shared" si="1"/>
        <v>146</v>
      </c>
      <c r="L38" s="402" t="s">
        <v>121</v>
      </c>
      <c r="M38" s="403" t="str">
        <f t="shared" si="2"/>
        <v>--</v>
      </c>
      <c r="N38" s="404">
        <f t="shared" si="3"/>
        <v>20</v>
      </c>
      <c r="O38" s="405">
        <f t="shared" si="4"/>
        <v>10.055826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10.055826</v>
      </c>
      <c r="U38" s="410">
        <v>7.800300000000002</v>
      </c>
      <c r="V38" s="410">
        <f t="shared" si="11"/>
        <v>2.255525999999998</v>
      </c>
      <c r="W38" s="311"/>
    </row>
    <row r="39" spans="2:23" ht="16.5" customHeight="1">
      <c r="B39" s="396"/>
      <c r="C39" s="397">
        <v>45</v>
      </c>
      <c r="D39" s="314" t="s">
        <v>208</v>
      </c>
      <c r="E39" s="294" t="s">
        <v>209</v>
      </c>
      <c r="F39" s="411">
        <v>33</v>
      </c>
      <c r="G39" s="398">
        <f t="shared" si="10"/>
        <v>2.0690999999999997</v>
      </c>
      <c r="H39" s="399">
        <v>36063.847916666666</v>
      </c>
      <c r="I39" s="399">
        <v>36063.854166666664</v>
      </c>
      <c r="J39" s="400">
        <f t="shared" si="0"/>
        <v>0.1499999999650754</v>
      </c>
      <c r="K39" s="401">
        <f t="shared" si="1"/>
        <v>9</v>
      </c>
      <c r="L39" s="402" t="s">
        <v>122</v>
      </c>
      <c r="M39" s="403" t="str">
        <f t="shared" si="2"/>
        <v>NO</v>
      </c>
      <c r="N39" s="404">
        <f t="shared" si="3"/>
        <v>25</v>
      </c>
      <c r="O39" s="405" t="str">
        <f t="shared" si="4"/>
        <v>--</v>
      </c>
      <c r="P39" s="406">
        <f t="shared" si="5"/>
        <v>51.72749999999999</v>
      </c>
      <c r="Q39" s="407">
        <f t="shared" si="6"/>
        <v>7.759124999999998</v>
      </c>
      <c r="R39" s="408" t="str">
        <f t="shared" si="7"/>
        <v>--</v>
      </c>
      <c r="S39" s="409" t="str">
        <f t="shared" si="8"/>
        <v>SI</v>
      </c>
      <c r="T39" s="410">
        <f t="shared" si="9"/>
        <v>59.48662499999999</v>
      </c>
      <c r="U39" s="410">
        <v>46.14375</v>
      </c>
      <c r="V39" s="410">
        <f t="shared" si="11"/>
        <v>13.342874999999992</v>
      </c>
      <c r="W39" s="311"/>
    </row>
    <row r="40" spans="2:23" ht="16.5" customHeight="1">
      <c r="B40" s="396"/>
      <c r="C40" s="397">
        <v>46</v>
      </c>
      <c r="D40" s="314" t="s">
        <v>41</v>
      </c>
      <c r="E40" s="294" t="s">
        <v>177</v>
      </c>
      <c r="F40" s="411">
        <v>13.2</v>
      </c>
      <c r="G40" s="398">
        <f t="shared" si="10"/>
        <v>2.0690999999999997</v>
      </c>
      <c r="H40" s="399">
        <v>36066.447222222225</v>
      </c>
      <c r="I40" s="399">
        <v>36066.475</v>
      </c>
      <c r="J40" s="400">
        <f t="shared" si="0"/>
        <v>0.6666666665696539</v>
      </c>
      <c r="K40" s="401">
        <f t="shared" si="1"/>
        <v>40</v>
      </c>
      <c r="L40" s="402" t="s">
        <v>121</v>
      </c>
      <c r="M40" s="403" t="str">
        <f t="shared" si="2"/>
        <v>--</v>
      </c>
      <c r="N40" s="404">
        <f t="shared" si="3"/>
        <v>20</v>
      </c>
      <c r="O40" s="405">
        <f t="shared" si="4"/>
        <v>2.772594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2.772594</v>
      </c>
      <c r="U40" s="410">
        <v>2.1507000000000005</v>
      </c>
      <c r="V40" s="410">
        <f t="shared" si="11"/>
        <v>0.6218939999999993</v>
      </c>
      <c r="W40" s="311"/>
    </row>
    <row r="41" spans="2:23" ht="16.5" customHeight="1">
      <c r="B41" s="396"/>
      <c r="C41" s="397">
        <v>47</v>
      </c>
      <c r="D41" s="314" t="s">
        <v>25</v>
      </c>
      <c r="E41" s="294" t="s">
        <v>39</v>
      </c>
      <c r="F41" s="411">
        <v>33</v>
      </c>
      <c r="G41" s="398">
        <f t="shared" si="10"/>
        <v>2.0690999999999997</v>
      </c>
      <c r="H41" s="399">
        <v>36068.458333333336</v>
      </c>
      <c r="I41" s="399">
        <v>36068.541666666664</v>
      </c>
      <c r="J41" s="400">
        <f t="shared" si="0"/>
        <v>1.9999999998835847</v>
      </c>
      <c r="K41" s="401">
        <f t="shared" si="1"/>
        <v>120</v>
      </c>
      <c r="L41" s="402" t="s">
        <v>121</v>
      </c>
      <c r="M41" s="403" t="str">
        <f t="shared" si="2"/>
        <v>--</v>
      </c>
      <c r="N41" s="404">
        <f t="shared" si="3"/>
        <v>25</v>
      </c>
      <c r="O41" s="405">
        <f t="shared" si="4"/>
        <v>10.3455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 t="str">
        <f t="shared" si="8"/>
        <v>SI</v>
      </c>
      <c r="T41" s="410">
        <f t="shared" si="9"/>
        <v>10.3455</v>
      </c>
      <c r="U41" s="410">
        <v>8.025</v>
      </c>
      <c r="V41" s="410">
        <f t="shared" si="11"/>
        <v>2.320499999999999</v>
      </c>
      <c r="W41" s="311"/>
    </row>
    <row r="42" spans="2:23" ht="16.5" customHeight="1">
      <c r="B42" s="396"/>
      <c r="C42" s="397">
        <v>48</v>
      </c>
      <c r="D42" s="314" t="s">
        <v>25</v>
      </c>
      <c r="E42" s="294" t="s">
        <v>40</v>
      </c>
      <c r="F42" s="411">
        <v>33</v>
      </c>
      <c r="G42" s="398">
        <f t="shared" si="10"/>
        <v>2.0690999999999997</v>
      </c>
      <c r="H42" s="399">
        <v>36068.544444444444</v>
      </c>
      <c r="I42" s="399">
        <v>36068.61319444444</v>
      </c>
      <c r="J42" s="400">
        <f t="shared" si="0"/>
        <v>1.6499999999650754</v>
      </c>
      <c r="K42" s="401">
        <f t="shared" si="1"/>
        <v>99</v>
      </c>
      <c r="L42" s="402" t="s">
        <v>121</v>
      </c>
      <c r="M42" s="403" t="str">
        <f t="shared" si="2"/>
        <v>--</v>
      </c>
      <c r="N42" s="404">
        <f t="shared" si="3"/>
        <v>25</v>
      </c>
      <c r="O42" s="405">
        <f t="shared" si="4"/>
        <v>8.5350375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 t="str">
        <f t="shared" si="8"/>
        <v>SI</v>
      </c>
      <c r="T42" s="410">
        <f t="shared" si="9"/>
        <v>8.5350375</v>
      </c>
      <c r="U42" s="410">
        <v>6.620625</v>
      </c>
      <c r="V42" s="410">
        <f t="shared" si="11"/>
        <v>1.9144124999999992</v>
      </c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37"/>
      <c r="U43" s="437"/>
      <c r="V43" s="437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334">
        <f>ROUND(SUM(T20:T43),2)</f>
        <v>1854.99</v>
      </c>
      <c r="U44" s="334">
        <f>ROUND(SUM(U20:U43),2)</f>
        <v>1438.82</v>
      </c>
      <c r="V44" s="334">
        <f>ROUND(SUM(V20:V43),2)</f>
        <v>416.18</v>
      </c>
      <c r="W44" s="311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3">
    <pageSetUpPr fitToPage="1"/>
  </sheetPr>
  <dimension ref="A1:AC58"/>
  <sheetViews>
    <sheetView zoomScale="75" zoomScaleNormal="75" workbookViewId="0" topLeftCell="A11">
      <selection activeCell="A28" sqref="A28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239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59.92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264" t="s">
        <v>226</v>
      </c>
      <c r="AB17" s="115" t="s">
        <v>127</v>
      </c>
      <c r="AC17" s="129"/>
    </row>
    <row r="18" spans="2:29" s="466" customFormat="1" ht="16.5" customHeight="1" hidden="1" thickTop="1">
      <c r="B18" s="446"/>
      <c r="C18" s="447"/>
      <c r="D18" s="448"/>
      <c r="E18" s="449"/>
      <c r="F18" s="450"/>
      <c r="G18" s="451"/>
      <c r="H18" s="449"/>
      <c r="I18" s="448"/>
      <c r="J18" s="449"/>
      <c r="K18" s="448"/>
      <c r="L18" s="449"/>
      <c r="M18" s="452"/>
      <c r="N18" s="449"/>
      <c r="O18" s="453"/>
      <c r="P18" s="454"/>
      <c r="Q18" s="455"/>
      <c r="R18" s="456"/>
      <c r="S18" s="457"/>
      <c r="T18" s="458"/>
      <c r="U18" s="459"/>
      <c r="V18" s="460"/>
      <c r="W18" s="461"/>
      <c r="X18" s="462"/>
      <c r="Y18" s="449"/>
      <c r="Z18" s="463"/>
      <c r="AA18" s="464"/>
      <c r="AB18" s="463"/>
      <c r="AC18" s="465"/>
    </row>
    <row r="19" spans="2:29" s="149" customFormat="1" ht="16.5" customHeight="1" thickBot="1" thickTop="1">
      <c r="B19" s="130"/>
      <c r="C19" s="518"/>
      <c r="D19" s="519"/>
      <c r="E19" s="518"/>
      <c r="F19" s="518"/>
      <c r="G19" s="520"/>
      <c r="H19" s="518"/>
      <c r="I19" s="521"/>
      <c r="J19" s="188"/>
      <c r="K19" s="521"/>
      <c r="L19" s="518"/>
      <c r="M19" s="519"/>
      <c r="N19" s="188"/>
      <c r="O19" s="522"/>
      <c r="P19" s="523"/>
      <c r="Q19" s="524"/>
      <c r="R19" s="525"/>
      <c r="S19" s="526"/>
      <c r="T19" s="527"/>
      <c r="U19" s="528"/>
      <c r="V19" s="529"/>
      <c r="W19" s="530"/>
      <c r="X19" s="531"/>
      <c r="Y19" s="188"/>
      <c r="Z19" s="532"/>
      <c r="AA19" s="533"/>
      <c r="AB19" s="532"/>
      <c r="AC19" s="166"/>
    </row>
    <row r="20" spans="2:29" ht="16.5" customHeight="1" thickBot="1" thickTop="1">
      <c r="B20" s="130"/>
      <c r="C20" s="605" t="s">
        <v>227</v>
      </c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7"/>
      <c r="AC20" s="187"/>
    </row>
    <row r="21" spans="2:29" ht="16.5" customHeight="1" thickTop="1">
      <c r="B21" s="130"/>
      <c r="C21" s="534">
        <v>1</v>
      </c>
      <c r="D21" s="534" t="s">
        <v>8</v>
      </c>
      <c r="E21" s="535">
        <v>132</v>
      </c>
      <c r="F21" s="536">
        <v>74.7</v>
      </c>
      <c r="G21" s="537">
        <f>F21*$E$14/100*$E$15</f>
        <v>44.3126376</v>
      </c>
      <c r="H21" s="538">
        <v>36011.175</v>
      </c>
      <c r="I21" s="538">
        <v>36011.23333333333</v>
      </c>
      <c r="J21" s="539">
        <f aca="true" t="shared" si="0" ref="J21:J40">IF(H21="","",(I21-H21)*24)</f>
        <v>1.39999999984866</v>
      </c>
      <c r="K21" s="540">
        <f aca="true" t="shared" si="1" ref="K21:K40">IF(I21="","",ROUND((I21-H21)*24*60,0))</f>
        <v>84</v>
      </c>
      <c r="L21" s="541" t="s">
        <v>122</v>
      </c>
      <c r="M21" s="541" t="str">
        <f aca="true" t="shared" si="2" ref="M21:M26">IF(D21="","","--")</f>
        <v>--</v>
      </c>
      <c r="N21" s="542" t="str">
        <f aca="true" t="shared" si="3" ref="N21:N29">IF(D21="","",IF(OR(L21="P",L21="RP"),"--","NO"))</f>
        <v>NO</v>
      </c>
      <c r="O21" s="543" t="str">
        <f aca="true" t="shared" si="4" ref="O21:O40">IF(L21="P",ROUND(K21/60,2)*G21*$J$14*0.01,"--")</f>
        <v>--</v>
      </c>
      <c r="P21" s="544" t="str">
        <f aca="true" t="shared" si="5" ref="P21:P40">IF(L21="RP",ROUND(K21/60,2)*G21*$J$14*0.01*M21/100,"--")</f>
        <v>--</v>
      </c>
      <c r="Q21" s="545">
        <f aca="true" t="shared" si="6" ref="Q21:Q40">IF(N21="SI","--",IF(L21="F",ROUND(G21*$J$14,2),"--"))</f>
        <v>1329.38</v>
      </c>
      <c r="R21" s="546">
        <f aca="true" t="shared" si="7" ref="R21:R40">IF(L21="F",IF(K21&lt;10,"--",IF(K21&gt;180,ROUND(G21*$J$14*3,2),G21*$J$14*ROUND(K21/60,2))),"--")</f>
        <v>1861.1307792</v>
      </c>
      <c r="S21" s="547" t="str">
        <f aca="true" t="shared" si="8" ref="S21:S40">IF(AND(L21="F",K21&gt;180),G21*$J$14*0.1*(ROUND(K21/60,2)-3),"--")</f>
        <v>--</v>
      </c>
      <c r="T21" s="548" t="str">
        <f aca="true" t="shared" si="9" ref="T21:T40">IF(N21="SI","--",IF(L21="R",ROUND(G21*$J$14*M21/100,2),"--"))</f>
        <v>--</v>
      </c>
      <c r="U21" s="549" t="str">
        <f aca="true" t="shared" si="10" ref="U21:U40">IF(L21="R",IF(K21&lt;10,"--",IF(K21&gt;180,ROUND(G21*$J$14*3*M21/100,2),G21*$J$14*M21/100*ROUND(K21/60,2))),"--")</f>
        <v>--</v>
      </c>
      <c r="V21" s="550" t="str">
        <f aca="true" t="shared" si="11" ref="V21:V40">IF(AND(L21="R",K21&gt;180),G21*$J$14*M21/100*0.1*(ROUND(K21/60,2)-3),"--")</f>
        <v>--</v>
      </c>
      <c r="W21" s="551" t="str">
        <f aca="true" t="shared" si="12" ref="W21:W40">IF(L21="RF",G21*$J$14*0.1*ROUND(K21/60,2),"--")</f>
        <v>--</v>
      </c>
      <c r="X21" s="552" t="str">
        <f aca="true" t="shared" si="13" ref="X21:X40">IF(L21="RR",G21*$J$14*0.1*M21/100*ROUND(K21/60,2),"--")</f>
        <v>--</v>
      </c>
      <c r="Y21" s="553" t="str">
        <f aca="true" t="shared" si="14" ref="Y21:Y40">IF(D21="","","SI")</f>
        <v>SI</v>
      </c>
      <c r="Z21" s="554">
        <f aca="true" t="shared" si="15" ref="Z21:Z40">IF(D21="","",IF(Y21="SI",SUM(O21:X21),2*SUM(O21:X21)))</f>
        <v>3190.5107792</v>
      </c>
      <c r="AA21" s="555">
        <v>2474.977358</v>
      </c>
      <c r="AB21" s="554">
        <f>+Z21-AA21</f>
        <v>715.5334211999998</v>
      </c>
      <c r="AC21" s="187"/>
    </row>
    <row r="22" spans="2:29" ht="16.5" customHeight="1">
      <c r="B22" s="130"/>
      <c r="C22" s="154">
        <v>2</v>
      </c>
      <c r="D22" s="154" t="s">
        <v>7</v>
      </c>
      <c r="E22" s="167">
        <v>132</v>
      </c>
      <c r="F22" s="168">
        <v>30</v>
      </c>
      <c r="G22" s="537">
        <f aca="true" t="shared" si="16" ref="G22:G40">F22*$E$14/100*$E$15</f>
        <v>17.79624</v>
      </c>
      <c r="H22" s="170">
        <v>36011.175</v>
      </c>
      <c r="I22" s="170">
        <v>36011.291666666664</v>
      </c>
      <c r="J22" s="171">
        <f t="shared" si="0"/>
        <v>2.799999999871943</v>
      </c>
      <c r="K22" s="172">
        <f t="shared" si="1"/>
        <v>168</v>
      </c>
      <c r="L22" s="173" t="s">
        <v>122</v>
      </c>
      <c r="M22" s="173" t="str">
        <f t="shared" si="2"/>
        <v>--</v>
      </c>
      <c r="N22" s="174" t="str">
        <f t="shared" si="3"/>
        <v>NO</v>
      </c>
      <c r="O22" s="175" t="str">
        <f t="shared" si="4"/>
        <v>--</v>
      </c>
      <c r="P22" s="176" t="str">
        <f t="shared" si="5"/>
        <v>--</v>
      </c>
      <c r="Q22" s="177">
        <f t="shared" si="6"/>
        <v>533.89</v>
      </c>
      <c r="R22" s="178">
        <f t="shared" si="7"/>
        <v>1494.8841599999998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2028.77416</v>
      </c>
      <c r="AA22" s="467">
        <v>1573.7783999999997</v>
      </c>
      <c r="AB22" s="186">
        <f aca="true" t="shared" si="17" ref="AB22:AB40">+Z22-AA22</f>
        <v>454.99576000000025</v>
      </c>
      <c r="AC22" s="187"/>
    </row>
    <row r="23" spans="2:29" ht="16.5" customHeight="1">
      <c r="B23" s="130"/>
      <c r="C23" s="154">
        <v>3</v>
      </c>
      <c r="D23" s="154" t="s">
        <v>9</v>
      </c>
      <c r="E23" s="167">
        <v>132</v>
      </c>
      <c r="F23" s="168">
        <v>25.5</v>
      </c>
      <c r="G23" s="537">
        <f t="shared" si="16"/>
        <v>15.126804</v>
      </c>
      <c r="H23" s="170">
        <v>36011.175</v>
      </c>
      <c r="I23" s="170">
        <v>36011.2875</v>
      </c>
      <c r="J23" s="171">
        <f t="shared" si="0"/>
        <v>2.699999999895226</v>
      </c>
      <c r="K23" s="172">
        <f t="shared" si="1"/>
        <v>162</v>
      </c>
      <c r="L23" s="173" t="s">
        <v>122</v>
      </c>
      <c r="M23" s="173" t="str">
        <f t="shared" si="2"/>
        <v>--</v>
      </c>
      <c r="N23" s="174" t="str">
        <f t="shared" si="3"/>
        <v>NO</v>
      </c>
      <c r="O23" s="175" t="str">
        <f t="shared" si="4"/>
        <v>--</v>
      </c>
      <c r="P23" s="176" t="str">
        <f t="shared" si="5"/>
        <v>--</v>
      </c>
      <c r="Q23" s="177">
        <f t="shared" si="6"/>
        <v>453.8</v>
      </c>
      <c r="R23" s="178">
        <f t="shared" si="7"/>
        <v>1225.271124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1679.071124</v>
      </c>
      <c r="AA23" s="467">
        <v>1302.5111350000002</v>
      </c>
      <c r="AB23" s="186">
        <f t="shared" si="17"/>
        <v>376.55998899999986</v>
      </c>
      <c r="AC23" s="187"/>
    </row>
    <row r="24" spans="2:29" ht="16.5" customHeight="1">
      <c r="B24" s="130"/>
      <c r="C24" s="154">
        <v>4</v>
      </c>
      <c r="D24" s="154" t="s">
        <v>11</v>
      </c>
      <c r="E24" s="167">
        <v>132</v>
      </c>
      <c r="F24" s="168">
        <v>80.8</v>
      </c>
      <c r="G24" s="537">
        <f t="shared" si="16"/>
        <v>47.9312064</v>
      </c>
      <c r="H24" s="170">
        <v>36011.175</v>
      </c>
      <c r="I24" s="170">
        <v>36011.270833333336</v>
      </c>
      <c r="J24" s="171">
        <f t="shared" si="0"/>
        <v>2.2999999999883585</v>
      </c>
      <c r="K24" s="172">
        <f t="shared" si="1"/>
        <v>138</v>
      </c>
      <c r="L24" s="173" t="s">
        <v>122</v>
      </c>
      <c r="M24" s="173" t="str">
        <f t="shared" si="2"/>
        <v>--</v>
      </c>
      <c r="N24" s="174" t="str">
        <f t="shared" si="3"/>
        <v>NO</v>
      </c>
      <c r="O24" s="175" t="str">
        <f t="shared" si="4"/>
        <v>--</v>
      </c>
      <c r="P24" s="176" t="str">
        <f t="shared" si="5"/>
        <v>--</v>
      </c>
      <c r="Q24" s="177">
        <f t="shared" si="6"/>
        <v>1437.94</v>
      </c>
      <c r="R24" s="178">
        <f t="shared" si="7"/>
        <v>3307.2532416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4745.1932416</v>
      </c>
      <c r="AA24" s="467">
        <v>3680.9897840000003</v>
      </c>
      <c r="AB24" s="186">
        <f t="shared" si="17"/>
        <v>1064.2034575999996</v>
      </c>
      <c r="AC24" s="187"/>
    </row>
    <row r="25" spans="2:29" ht="16.5" customHeight="1">
      <c r="B25" s="130"/>
      <c r="C25" s="154">
        <v>6</v>
      </c>
      <c r="D25" s="154" t="s">
        <v>131</v>
      </c>
      <c r="E25" s="167">
        <v>132</v>
      </c>
      <c r="F25" s="168">
        <v>89</v>
      </c>
      <c r="G25" s="537">
        <f t="shared" si="16"/>
        <v>52.795512</v>
      </c>
      <c r="H25" s="170">
        <v>36011.175</v>
      </c>
      <c r="I25" s="170">
        <v>36011.28958333333</v>
      </c>
      <c r="J25" s="171">
        <f t="shared" si="0"/>
        <v>2.7499999998835847</v>
      </c>
      <c r="K25" s="172">
        <f t="shared" si="1"/>
        <v>165</v>
      </c>
      <c r="L25" s="173" t="s">
        <v>122</v>
      </c>
      <c r="M25" s="173" t="str">
        <f t="shared" si="2"/>
        <v>--</v>
      </c>
      <c r="N25" s="174" t="str">
        <f t="shared" si="3"/>
        <v>NO</v>
      </c>
      <c r="O25" s="175" t="str">
        <f t="shared" si="4"/>
        <v>--</v>
      </c>
      <c r="P25" s="176" t="str">
        <f t="shared" si="5"/>
        <v>--</v>
      </c>
      <c r="Q25" s="177">
        <f t="shared" si="6"/>
        <v>1583.87</v>
      </c>
      <c r="R25" s="178">
        <f t="shared" si="7"/>
        <v>4355.62974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5939.49974</v>
      </c>
      <c r="AA25" s="467">
        <v>4607.448225</v>
      </c>
      <c r="AB25" s="186">
        <f t="shared" si="17"/>
        <v>1332.051515</v>
      </c>
      <c r="AC25" s="187"/>
    </row>
    <row r="26" spans="2:29" ht="16.5" customHeight="1">
      <c r="B26" s="130"/>
      <c r="C26" s="154">
        <v>8</v>
      </c>
      <c r="D26" s="154" t="s">
        <v>9</v>
      </c>
      <c r="E26" s="167">
        <v>132</v>
      </c>
      <c r="F26" s="168">
        <v>25.5</v>
      </c>
      <c r="G26" s="537">
        <f t="shared" si="16"/>
        <v>15.126804</v>
      </c>
      <c r="H26" s="170">
        <v>36011.58125</v>
      </c>
      <c r="I26" s="170">
        <v>36011.76527777778</v>
      </c>
      <c r="J26" s="171">
        <f t="shared" si="0"/>
        <v>4.416666666569654</v>
      </c>
      <c r="K26" s="172">
        <f t="shared" si="1"/>
        <v>265</v>
      </c>
      <c r="L26" s="173" t="s">
        <v>122</v>
      </c>
      <c r="M26" s="173" t="str">
        <f t="shared" si="2"/>
        <v>--</v>
      </c>
      <c r="N26" s="174" t="s">
        <v>129</v>
      </c>
      <c r="O26" s="175" t="str">
        <f t="shared" si="4"/>
        <v>--</v>
      </c>
      <c r="P26" s="176" t="str">
        <f t="shared" si="5"/>
        <v>--</v>
      </c>
      <c r="Q26" s="177" t="str">
        <f t="shared" si="6"/>
        <v>--</v>
      </c>
      <c r="R26" s="178">
        <f t="shared" si="7"/>
        <v>1361.41</v>
      </c>
      <c r="S26" s="179">
        <f t="shared" si="8"/>
        <v>64.44018504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1425.85018504</v>
      </c>
      <c r="AA26" s="467">
        <v>1106.0782671</v>
      </c>
      <c r="AB26" s="186">
        <f t="shared" si="17"/>
        <v>319.7719179400001</v>
      </c>
      <c r="AC26" s="187"/>
    </row>
    <row r="27" spans="2:29" ht="16.5" customHeight="1">
      <c r="B27" s="130"/>
      <c r="C27" s="154">
        <v>9</v>
      </c>
      <c r="D27" s="188" t="s">
        <v>7</v>
      </c>
      <c r="E27" s="167">
        <v>132</v>
      </c>
      <c r="F27" s="168">
        <v>30</v>
      </c>
      <c r="G27" s="537">
        <f t="shared" si="16"/>
        <v>17.79624</v>
      </c>
      <c r="H27" s="170">
        <v>36011.59166666667</v>
      </c>
      <c r="I27" s="170">
        <v>36011.70625</v>
      </c>
      <c r="J27" s="171">
        <f t="shared" si="0"/>
        <v>2.7500000000582077</v>
      </c>
      <c r="K27" s="172">
        <f t="shared" si="1"/>
        <v>165</v>
      </c>
      <c r="L27" s="173" t="s">
        <v>122</v>
      </c>
      <c r="M27" s="173" t="str">
        <f aca="true" t="shared" si="18" ref="M27:M39">IF(D27="","","--")</f>
        <v>--</v>
      </c>
      <c r="N27" s="174" t="s">
        <v>129</v>
      </c>
      <c r="O27" s="175" t="str">
        <f t="shared" si="4"/>
        <v>--</v>
      </c>
      <c r="P27" s="176" t="str">
        <f t="shared" si="5"/>
        <v>--</v>
      </c>
      <c r="Q27" s="177" t="str">
        <f t="shared" si="6"/>
        <v>--</v>
      </c>
      <c r="R27" s="178">
        <f t="shared" si="7"/>
        <v>1468.1898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1468.1898</v>
      </c>
      <c r="AA27" s="467">
        <v>1138.92075</v>
      </c>
      <c r="AB27" s="186">
        <f t="shared" si="17"/>
        <v>329.2690500000001</v>
      </c>
      <c r="AC27" s="187"/>
    </row>
    <row r="28" spans="2:29" ht="16.5" customHeight="1">
      <c r="B28" s="130"/>
      <c r="C28" s="154">
        <v>10</v>
      </c>
      <c r="D28" s="188" t="s">
        <v>4</v>
      </c>
      <c r="E28" s="167">
        <v>132</v>
      </c>
      <c r="F28" s="168">
        <v>3.5</v>
      </c>
      <c r="G28" s="537">
        <f t="shared" si="16"/>
        <v>2.076228</v>
      </c>
      <c r="H28" s="170">
        <v>36012.36736111111</v>
      </c>
      <c r="I28" s="170">
        <v>36012.59930555556</v>
      </c>
      <c r="J28" s="171">
        <f t="shared" si="0"/>
        <v>5.566666666825768</v>
      </c>
      <c r="K28" s="172">
        <f t="shared" si="1"/>
        <v>334</v>
      </c>
      <c r="L28" s="173" t="s">
        <v>121</v>
      </c>
      <c r="M28" s="173" t="str">
        <f t="shared" si="18"/>
        <v>--</v>
      </c>
      <c r="N28" s="174" t="str">
        <f t="shared" si="3"/>
        <v>--</v>
      </c>
      <c r="O28" s="175">
        <f t="shared" si="4"/>
        <v>3.4693769880000005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3.4693769880000005</v>
      </c>
      <c r="AA28" s="467">
        <v>2.691304245000001</v>
      </c>
      <c r="AB28" s="186">
        <f t="shared" si="17"/>
        <v>0.7780727429999996</v>
      </c>
      <c r="AC28" s="187"/>
    </row>
    <row r="29" spans="2:29" ht="16.5" customHeight="1">
      <c r="B29" s="130"/>
      <c r="C29" s="154">
        <v>11</v>
      </c>
      <c r="D29" s="188" t="s">
        <v>4</v>
      </c>
      <c r="E29" s="167">
        <v>132</v>
      </c>
      <c r="F29" s="168">
        <v>3.5</v>
      </c>
      <c r="G29" s="537">
        <f t="shared" si="16"/>
        <v>2.076228</v>
      </c>
      <c r="H29" s="170">
        <v>36013.35833333333</v>
      </c>
      <c r="I29" s="170">
        <v>36013.592361111114</v>
      </c>
      <c r="J29" s="171">
        <f t="shared" si="0"/>
        <v>5.616666666814126</v>
      </c>
      <c r="K29" s="172">
        <f t="shared" si="1"/>
        <v>337</v>
      </c>
      <c r="L29" s="173" t="s">
        <v>121</v>
      </c>
      <c r="M29" s="173" t="str">
        <f t="shared" si="18"/>
        <v>--</v>
      </c>
      <c r="N29" s="174" t="str">
        <f t="shared" si="3"/>
        <v>--</v>
      </c>
      <c r="O29" s="175">
        <f t="shared" si="4"/>
        <v>3.5005204080000003</v>
      </c>
      <c r="P29" s="176" t="str">
        <f t="shared" si="5"/>
        <v>--</v>
      </c>
      <c r="Q29" s="177" t="str">
        <f t="shared" si="6"/>
        <v>--</v>
      </c>
      <c r="R29" s="178" t="str">
        <f t="shared" si="7"/>
        <v>--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3.5005204080000003</v>
      </c>
      <c r="AA29" s="467">
        <v>2.7154631700000005</v>
      </c>
      <c r="AB29" s="186">
        <f t="shared" si="17"/>
        <v>0.7850572379999998</v>
      </c>
      <c r="AC29" s="187"/>
    </row>
    <row r="30" spans="2:29" ht="16.5" customHeight="1">
      <c r="B30" s="130"/>
      <c r="C30" s="154">
        <v>12</v>
      </c>
      <c r="D30" s="188" t="s">
        <v>4</v>
      </c>
      <c r="E30" s="167">
        <v>132</v>
      </c>
      <c r="F30" s="168">
        <v>3.5</v>
      </c>
      <c r="G30" s="537">
        <f t="shared" si="16"/>
        <v>2.076228</v>
      </c>
      <c r="H30" s="170">
        <v>36014.35972222222</v>
      </c>
      <c r="I30" s="170">
        <v>36014.58888888889</v>
      </c>
      <c r="J30" s="171">
        <f t="shared" si="0"/>
        <v>5.499999999941792</v>
      </c>
      <c r="K30" s="172">
        <f t="shared" si="1"/>
        <v>330</v>
      </c>
      <c r="L30" s="173" t="s">
        <v>121</v>
      </c>
      <c r="M30" s="173" t="str">
        <f t="shared" si="18"/>
        <v>--</v>
      </c>
      <c r="N30" s="174" t="str">
        <f aca="true" t="shared" si="19" ref="N30:N39">IF(D30="","",IF(OR(L30="P",L30="RP"),"--","NO"))</f>
        <v>--</v>
      </c>
      <c r="O30" s="175">
        <f t="shared" si="4"/>
        <v>3.4257762000000005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3.4257762000000005</v>
      </c>
      <c r="AA30" s="467">
        <v>2.6574817500000005</v>
      </c>
      <c r="AB30" s="186">
        <f t="shared" si="17"/>
        <v>0.76829445</v>
      </c>
      <c r="AC30" s="187"/>
    </row>
    <row r="31" spans="2:29" ht="16.5" customHeight="1">
      <c r="B31" s="130"/>
      <c r="C31" s="154">
        <v>13</v>
      </c>
      <c r="D31" s="188" t="s">
        <v>133</v>
      </c>
      <c r="E31" s="167">
        <v>132</v>
      </c>
      <c r="F31" s="168">
        <v>10</v>
      </c>
      <c r="G31" s="537">
        <f t="shared" si="16"/>
        <v>5.932080000000001</v>
      </c>
      <c r="H31" s="170">
        <v>36014.37777777778</v>
      </c>
      <c r="I31" s="170">
        <v>36014.54791666667</v>
      </c>
      <c r="J31" s="171">
        <f t="shared" si="0"/>
        <v>4.083333333372138</v>
      </c>
      <c r="K31" s="172">
        <f t="shared" si="1"/>
        <v>245</v>
      </c>
      <c r="L31" s="173" t="s">
        <v>121</v>
      </c>
      <c r="M31" s="173" t="str">
        <f t="shared" si="18"/>
        <v>--</v>
      </c>
      <c r="N31" s="174" t="str">
        <f t="shared" si="19"/>
        <v>--</v>
      </c>
      <c r="O31" s="175">
        <f t="shared" si="4"/>
        <v>7.260865920000001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7.260865920000001</v>
      </c>
      <c r="AA31" s="467">
        <v>5.6324808</v>
      </c>
      <c r="AB31" s="186">
        <f t="shared" si="17"/>
        <v>1.6283851200000017</v>
      </c>
      <c r="AC31" s="187"/>
    </row>
    <row r="32" spans="2:29" ht="16.5" customHeight="1">
      <c r="B32" s="130"/>
      <c r="C32" s="154">
        <v>14</v>
      </c>
      <c r="D32" s="188" t="s">
        <v>173</v>
      </c>
      <c r="E32" s="167">
        <v>132</v>
      </c>
      <c r="F32" s="168">
        <v>58.9</v>
      </c>
      <c r="G32" s="537">
        <f t="shared" si="16"/>
        <v>34.939951199999996</v>
      </c>
      <c r="H32" s="170">
        <v>36015.370833333334</v>
      </c>
      <c r="I32" s="170">
        <v>36015.44861111111</v>
      </c>
      <c r="J32" s="171">
        <f t="shared" si="0"/>
        <v>1.866666666639503</v>
      </c>
      <c r="K32" s="172">
        <f t="shared" si="1"/>
        <v>112</v>
      </c>
      <c r="L32" s="173" t="s">
        <v>121</v>
      </c>
      <c r="M32" s="173" t="str">
        <f t="shared" si="18"/>
        <v>--</v>
      </c>
      <c r="N32" s="174" t="str">
        <f t="shared" si="19"/>
        <v>--</v>
      </c>
      <c r="O32" s="175">
        <f t="shared" si="4"/>
        <v>19.6013126232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19.6013126232</v>
      </c>
      <c r="AA32" s="467">
        <v>15.205351293000001</v>
      </c>
      <c r="AB32" s="186">
        <f t="shared" si="17"/>
        <v>4.395961330199997</v>
      </c>
      <c r="AC32" s="187"/>
    </row>
    <row r="33" spans="2:29" ht="16.5" customHeight="1">
      <c r="B33" s="130"/>
      <c r="C33" s="154">
        <v>15</v>
      </c>
      <c r="D33" s="188" t="s">
        <v>173</v>
      </c>
      <c r="E33" s="167">
        <v>132</v>
      </c>
      <c r="F33" s="168">
        <v>58.9</v>
      </c>
      <c r="G33" s="537">
        <f t="shared" si="16"/>
        <v>34.939951199999996</v>
      </c>
      <c r="H33" s="170">
        <v>36016.54236111111</v>
      </c>
      <c r="I33" s="170">
        <v>36016.59722222222</v>
      </c>
      <c r="J33" s="171">
        <f t="shared" si="0"/>
        <v>1.316666666592937</v>
      </c>
      <c r="K33" s="172">
        <f t="shared" si="1"/>
        <v>79</v>
      </c>
      <c r="L33" s="173" t="s">
        <v>121</v>
      </c>
      <c r="M33" s="173" t="str">
        <f t="shared" si="18"/>
        <v>--</v>
      </c>
      <c r="N33" s="174" t="str">
        <f t="shared" si="19"/>
        <v>--</v>
      </c>
      <c r="O33" s="175">
        <f t="shared" si="4"/>
        <v>13.836220675199998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 t="str">
        <f t="shared" si="14"/>
        <v>SI</v>
      </c>
      <c r="Z33" s="186">
        <f t="shared" si="15"/>
        <v>13.836220675199998</v>
      </c>
      <c r="AA33" s="467">
        <v>10.733189148</v>
      </c>
      <c r="AB33" s="186">
        <f t="shared" si="17"/>
        <v>3.103031527199999</v>
      </c>
      <c r="AC33" s="187"/>
    </row>
    <row r="34" spans="2:29" ht="16.5" customHeight="1">
      <c r="B34" s="130"/>
      <c r="C34" s="154">
        <v>16</v>
      </c>
      <c r="D34" s="188" t="s">
        <v>152</v>
      </c>
      <c r="E34" s="167">
        <v>132</v>
      </c>
      <c r="F34" s="168">
        <v>24.9</v>
      </c>
      <c r="G34" s="537">
        <f t="shared" si="16"/>
        <v>14.7708792</v>
      </c>
      <c r="H34" s="170">
        <v>36019.37569444445</v>
      </c>
      <c r="I34" s="170">
        <v>36019.509722222225</v>
      </c>
      <c r="J34" s="171">
        <f t="shared" si="0"/>
        <v>3.2166666666744277</v>
      </c>
      <c r="K34" s="172">
        <f t="shared" si="1"/>
        <v>193</v>
      </c>
      <c r="L34" s="173" t="s">
        <v>121</v>
      </c>
      <c r="M34" s="173" t="str">
        <f t="shared" si="18"/>
        <v>--</v>
      </c>
      <c r="N34" s="174" t="str">
        <f t="shared" si="19"/>
        <v>--</v>
      </c>
      <c r="O34" s="175">
        <f t="shared" si="4"/>
        <v>14.2686693072</v>
      </c>
      <c r="P34" s="176" t="str">
        <f t="shared" si="5"/>
        <v>--</v>
      </c>
      <c r="Q34" s="177" t="str">
        <f t="shared" si="6"/>
        <v>--</v>
      </c>
      <c r="R34" s="178" t="str">
        <f t="shared" si="7"/>
        <v>--</v>
      </c>
      <c r="S34" s="179" t="str">
        <f t="shared" si="8"/>
        <v>--</v>
      </c>
      <c r="T34" s="180" t="str">
        <f t="shared" si="9"/>
        <v>--</v>
      </c>
      <c r="U34" s="181" t="str">
        <f t="shared" si="10"/>
        <v>--</v>
      </c>
      <c r="V34" s="182" t="str">
        <f t="shared" si="11"/>
        <v>--</v>
      </c>
      <c r="W34" s="183" t="str">
        <f t="shared" si="12"/>
        <v>--</v>
      </c>
      <c r="X34" s="184" t="str">
        <f t="shared" si="13"/>
        <v>--</v>
      </c>
      <c r="Y34" s="185" t="str">
        <f t="shared" si="14"/>
        <v>SI</v>
      </c>
      <c r="Z34" s="186">
        <f t="shared" si="15"/>
        <v>14.2686693072</v>
      </c>
      <c r="AA34" s="467">
        <v>11.068653078</v>
      </c>
      <c r="AB34" s="186">
        <f t="shared" si="17"/>
        <v>3.200016229199999</v>
      </c>
      <c r="AC34" s="187"/>
    </row>
    <row r="35" spans="2:29" ht="16.5" customHeight="1">
      <c r="B35" s="130"/>
      <c r="C35" s="154">
        <v>17</v>
      </c>
      <c r="D35" s="188" t="s">
        <v>9</v>
      </c>
      <c r="E35" s="167">
        <v>132</v>
      </c>
      <c r="F35" s="168">
        <v>25.5</v>
      </c>
      <c r="G35" s="537">
        <f t="shared" si="16"/>
        <v>15.126804</v>
      </c>
      <c r="H35" s="170">
        <v>36019.50555555556</v>
      </c>
      <c r="I35" s="170">
        <v>36019.535416666666</v>
      </c>
      <c r="J35" s="171">
        <f t="shared" si="0"/>
        <v>0.7166666665580124</v>
      </c>
      <c r="K35" s="172">
        <f t="shared" si="1"/>
        <v>43</v>
      </c>
      <c r="L35" s="173" t="s">
        <v>121</v>
      </c>
      <c r="M35" s="173" t="str">
        <f t="shared" si="18"/>
        <v>--</v>
      </c>
      <c r="N35" s="174" t="str">
        <f t="shared" si="19"/>
        <v>--</v>
      </c>
      <c r="O35" s="175">
        <f t="shared" si="4"/>
        <v>3.267389664</v>
      </c>
      <c r="P35" s="176" t="str">
        <f t="shared" si="5"/>
        <v>--</v>
      </c>
      <c r="Q35" s="177" t="str">
        <f t="shared" si="6"/>
        <v>--</v>
      </c>
      <c r="R35" s="178" t="str">
        <f t="shared" si="7"/>
        <v>--</v>
      </c>
      <c r="S35" s="179" t="str">
        <f t="shared" si="8"/>
        <v>--</v>
      </c>
      <c r="T35" s="180" t="str">
        <f t="shared" si="9"/>
        <v>--</v>
      </c>
      <c r="U35" s="181" t="str">
        <f t="shared" si="10"/>
        <v>--</v>
      </c>
      <c r="V35" s="182" t="str">
        <f t="shared" si="11"/>
        <v>--</v>
      </c>
      <c r="W35" s="183" t="str">
        <f t="shared" si="12"/>
        <v>--</v>
      </c>
      <c r="X35" s="184" t="str">
        <f t="shared" si="13"/>
        <v>--</v>
      </c>
      <c r="Y35" s="185" t="str">
        <f t="shared" si="14"/>
        <v>SI</v>
      </c>
      <c r="Z35" s="186">
        <f t="shared" si="15"/>
        <v>3.267389664</v>
      </c>
      <c r="AA35" s="467">
        <v>2.5346163600000007</v>
      </c>
      <c r="AB35" s="186">
        <f t="shared" si="17"/>
        <v>0.7327733039999993</v>
      </c>
      <c r="AC35" s="187"/>
    </row>
    <row r="36" spans="2:29" ht="16.5" customHeight="1">
      <c r="B36" s="130"/>
      <c r="C36" s="154">
        <v>18</v>
      </c>
      <c r="D36" s="188" t="s">
        <v>152</v>
      </c>
      <c r="E36" s="167">
        <v>132</v>
      </c>
      <c r="F36" s="168">
        <v>24.9</v>
      </c>
      <c r="G36" s="537">
        <f t="shared" si="16"/>
        <v>14.7708792</v>
      </c>
      <c r="H36" s="170">
        <v>36020.595138888886</v>
      </c>
      <c r="I36" s="170">
        <v>36020.720138888886</v>
      </c>
      <c r="J36" s="171">
        <f t="shared" si="0"/>
        <v>3</v>
      </c>
      <c r="K36" s="172">
        <f t="shared" si="1"/>
        <v>180</v>
      </c>
      <c r="L36" s="173" t="s">
        <v>121</v>
      </c>
      <c r="M36" s="173" t="str">
        <f t="shared" si="18"/>
        <v>--</v>
      </c>
      <c r="N36" s="174" t="str">
        <f t="shared" si="19"/>
        <v>--</v>
      </c>
      <c r="O36" s="175">
        <f t="shared" si="4"/>
        <v>13.29379128</v>
      </c>
      <c r="P36" s="176" t="str">
        <f t="shared" si="5"/>
        <v>--</v>
      </c>
      <c r="Q36" s="177" t="str">
        <f t="shared" si="6"/>
        <v>--</v>
      </c>
      <c r="R36" s="178" t="str">
        <f t="shared" si="7"/>
        <v>--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 t="str">
        <f t="shared" si="14"/>
        <v>SI</v>
      </c>
      <c r="Z36" s="186">
        <f t="shared" si="15"/>
        <v>13.29379128</v>
      </c>
      <c r="AA36" s="467">
        <v>10.312409700000002</v>
      </c>
      <c r="AB36" s="186">
        <f t="shared" si="17"/>
        <v>2.981381579999999</v>
      </c>
      <c r="AC36" s="187"/>
    </row>
    <row r="37" spans="2:29" ht="16.5" customHeight="1">
      <c r="B37" s="130"/>
      <c r="C37" s="154">
        <v>19</v>
      </c>
      <c r="D37" s="154" t="s">
        <v>175</v>
      </c>
      <c r="E37" s="167">
        <v>132</v>
      </c>
      <c r="F37" s="168">
        <v>9</v>
      </c>
      <c r="G37" s="537">
        <f t="shared" si="16"/>
        <v>5.338871999999999</v>
      </c>
      <c r="H37" s="170">
        <v>36022.248611111114</v>
      </c>
      <c r="I37" s="170">
        <v>36022.279861111114</v>
      </c>
      <c r="J37" s="171">
        <f t="shared" si="0"/>
        <v>0.75</v>
      </c>
      <c r="K37" s="172">
        <f t="shared" si="1"/>
        <v>45</v>
      </c>
      <c r="L37" s="173" t="s">
        <v>122</v>
      </c>
      <c r="M37" s="173" t="str">
        <f t="shared" si="18"/>
        <v>--</v>
      </c>
      <c r="N37" s="174" t="str">
        <f t="shared" si="19"/>
        <v>NO</v>
      </c>
      <c r="O37" s="175" t="str">
        <f t="shared" si="4"/>
        <v>--</v>
      </c>
      <c r="P37" s="176" t="str">
        <f t="shared" si="5"/>
        <v>--</v>
      </c>
      <c r="Q37" s="177">
        <f t="shared" si="6"/>
        <v>160.17</v>
      </c>
      <c r="R37" s="178">
        <f t="shared" si="7"/>
        <v>120.12462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 t="str">
        <f t="shared" si="14"/>
        <v>SI</v>
      </c>
      <c r="Z37" s="186">
        <f t="shared" si="15"/>
        <v>280.29462</v>
      </c>
      <c r="AA37" s="467">
        <v>217.434425</v>
      </c>
      <c r="AB37" s="186">
        <f t="shared" si="17"/>
        <v>62.860195000000004</v>
      </c>
      <c r="AC37" s="187"/>
    </row>
    <row r="38" spans="2:29" ht="16.5" customHeight="1">
      <c r="B38" s="130"/>
      <c r="C38" s="154">
        <v>20</v>
      </c>
      <c r="D38" s="154" t="s">
        <v>7</v>
      </c>
      <c r="E38" s="167">
        <v>132</v>
      </c>
      <c r="F38" s="168">
        <v>30</v>
      </c>
      <c r="G38" s="537">
        <f t="shared" si="16"/>
        <v>17.79624</v>
      </c>
      <c r="H38" s="170">
        <v>36022.248611111114</v>
      </c>
      <c r="I38" s="170">
        <v>36022.26111111111</v>
      </c>
      <c r="J38" s="171">
        <f t="shared" si="0"/>
        <v>0.2999999999301508</v>
      </c>
      <c r="K38" s="172">
        <f t="shared" si="1"/>
        <v>18</v>
      </c>
      <c r="L38" s="173" t="s">
        <v>122</v>
      </c>
      <c r="M38" s="173" t="str">
        <f t="shared" si="18"/>
        <v>--</v>
      </c>
      <c r="N38" s="174" t="str">
        <f t="shared" si="19"/>
        <v>NO</v>
      </c>
      <c r="O38" s="175" t="str">
        <f t="shared" si="4"/>
        <v>--</v>
      </c>
      <c r="P38" s="176" t="str">
        <f t="shared" si="5"/>
        <v>--</v>
      </c>
      <c r="Q38" s="177">
        <f t="shared" si="6"/>
        <v>533.89</v>
      </c>
      <c r="R38" s="178">
        <f t="shared" si="7"/>
        <v>160.16616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 t="str">
        <f t="shared" si="14"/>
        <v>SI</v>
      </c>
      <c r="Z38" s="186">
        <f t="shared" si="15"/>
        <v>694.05616</v>
      </c>
      <c r="AA38" s="467">
        <v>538.3959</v>
      </c>
      <c r="AB38" s="186">
        <f t="shared" si="17"/>
        <v>155.66026</v>
      </c>
      <c r="AC38" s="187"/>
    </row>
    <row r="39" spans="2:29" ht="16.5" customHeight="1">
      <c r="B39" s="130"/>
      <c r="C39" s="154">
        <v>21</v>
      </c>
      <c r="D39" s="154" t="s">
        <v>183</v>
      </c>
      <c r="E39" s="167">
        <v>132</v>
      </c>
      <c r="F39" s="168">
        <v>91.2</v>
      </c>
      <c r="G39" s="537">
        <f t="shared" si="16"/>
        <v>54.1005696</v>
      </c>
      <c r="H39" s="170">
        <v>36022.248611111114</v>
      </c>
      <c r="I39" s="170">
        <v>36022.256944444445</v>
      </c>
      <c r="J39" s="171">
        <f t="shared" si="0"/>
        <v>0.19999999995343387</v>
      </c>
      <c r="K39" s="172">
        <f t="shared" si="1"/>
        <v>12</v>
      </c>
      <c r="L39" s="173" t="s">
        <v>122</v>
      </c>
      <c r="M39" s="173" t="str">
        <f t="shared" si="18"/>
        <v>--</v>
      </c>
      <c r="N39" s="174" t="str">
        <f t="shared" si="19"/>
        <v>NO</v>
      </c>
      <c r="O39" s="175" t="str">
        <f t="shared" si="4"/>
        <v>--</v>
      </c>
      <c r="P39" s="176" t="str">
        <f t="shared" si="5"/>
        <v>--</v>
      </c>
      <c r="Q39" s="177">
        <f t="shared" si="6"/>
        <v>1623.02</v>
      </c>
      <c r="R39" s="178">
        <f t="shared" si="7"/>
        <v>324.60341760000006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 t="str">
        <f t="shared" si="14"/>
        <v>SI</v>
      </c>
      <c r="Z39" s="186">
        <f t="shared" si="15"/>
        <v>1947.6234176</v>
      </c>
      <c r="AA39" s="467">
        <v>1510.835024</v>
      </c>
      <c r="AB39" s="186">
        <f t="shared" si="17"/>
        <v>436.78839360000006</v>
      </c>
      <c r="AC39" s="187"/>
    </row>
    <row r="40" spans="2:29" ht="16.5" customHeight="1">
      <c r="B40" s="130"/>
      <c r="C40" s="154">
        <v>22</v>
      </c>
      <c r="D40" s="154" t="s">
        <v>4</v>
      </c>
      <c r="E40" s="167">
        <v>132</v>
      </c>
      <c r="F40" s="168">
        <v>3.5</v>
      </c>
      <c r="G40" s="537">
        <f t="shared" si="16"/>
        <v>2.076228</v>
      </c>
      <c r="H40" s="170">
        <v>36026.38263888889</v>
      </c>
      <c r="I40" s="170">
        <v>36026.586805555555</v>
      </c>
      <c r="J40" s="171">
        <f t="shared" si="0"/>
        <v>4.899999999906868</v>
      </c>
      <c r="K40" s="172">
        <f t="shared" si="1"/>
        <v>294</v>
      </c>
      <c r="L40" s="173" t="s">
        <v>121</v>
      </c>
      <c r="M40" s="173" t="str">
        <f>IF(D40="","","--")</f>
        <v>--</v>
      </c>
      <c r="N40" s="174" t="str">
        <f>IF(D40="","",IF(OR(L40="P",L40="RP"),"--","NO"))</f>
        <v>--</v>
      </c>
      <c r="O40" s="175">
        <f t="shared" si="4"/>
        <v>3.0520551600000005</v>
      </c>
      <c r="P40" s="176" t="str">
        <f t="shared" si="5"/>
        <v>--</v>
      </c>
      <c r="Q40" s="177" t="str">
        <f t="shared" si="6"/>
        <v>--</v>
      </c>
      <c r="R40" s="178" t="str">
        <f t="shared" si="7"/>
        <v>--</v>
      </c>
      <c r="S40" s="179" t="str">
        <f t="shared" si="8"/>
        <v>--</v>
      </c>
      <c r="T40" s="180" t="str">
        <f t="shared" si="9"/>
        <v>--</v>
      </c>
      <c r="U40" s="181" t="str">
        <f t="shared" si="10"/>
        <v>--</v>
      </c>
      <c r="V40" s="182" t="str">
        <f t="shared" si="11"/>
        <v>--</v>
      </c>
      <c r="W40" s="183" t="str">
        <f t="shared" si="12"/>
        <v>--</v>
      </c>
      <c r="X40" s="184" t="str">
        <f t="shared" si="13"/>
        <v>--</v>
      </c>
      <c r="Y40" s="185" t="str">
        <f t="shared" si="14"/>
        <v>SI</v>
      </c>
      <c r="Z40" s="186">
        <f t="shared" si="15"/>
        <v>3.0520551600000005</v>
      </c>
      <c r="AA40" s="467">
        <v>2.367574650000001</v>
      </c>
      <c r="AB40" s="186">
        <f t="shared" si="17"/>
        <v>0.6844805099999998</v>
      </c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207"/>
      <c r="AA41" s="468"/>
      <c r="AB41" s="207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23484.04</v>
      </c>
      <c r="AA42" s="442">
        <f>ROUND(SUM(AA18:AA41),2)</f>
        <v>18217.29</v>
      </c>
      <c r="AB42" s="442">
        <f>ROUND(SUM(AB18:AB41),2)</f>
        <v>5266.75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46" ht="12.75">
      <c r="AB46" s="469"/>
    </row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20:AB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121">
    <pageSetUpPr fitToPage="1"/>
  </sheetPr>
  <dimension ref="A1:AA16383"/>
  <sheetViews>
    <sheetView zoomScale="75" zoomScaleNormal="75" workbookViewId="0" topLeftCell="D8">
      <selection activeCell="G27" sqref="G27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239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2.787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267" t="s">
        <v>226</v>
      </c>
      <c r="V19" s="267" t="s">
        <v>127</v>
      </c>
      <c r="W19" s="374"/>
    </row>
    <row r="20" spans="2:23" s="149" customFormat="1" ht="16.5" customHeight="1" thickTop="1">
      <c r="B20" s="375"/>
      <c r="C20" s="376"/>
      <c r="D20" s="279" t="s">
        <v>249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(3)'!T44</f>
        <v>1854.99</v>
      </c>
      <c r="U20" s="148">
        <f>+'SA (3)'!U44</f>
        <v>1438.82</v>
      </c>
      <c r="V20" s="148">
        <f>+'SA (3)'!V44</f>
        <v>416.18</v>
      </c>
      <c r="W20" s="166"/>
    </row>
    <row r="21" spans="2:23" s="149" customFormat="1" ht="16.5" customHeight="1" thickBot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</row>
    <row r="22" spans="2:27" s="78" customFormat="1" ht="16.5" customHeight="1" thickBot="1" thickTop="1">
      <c r="B22" s="130"/>
      <c r="C22" s="605" t="s">
        <v>223</v>
      </c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8"/>
      <c r="W22" s="187"/>
      <c r="X22" s="8"/>
      <c r="Y22" s="8"/>
      <c r="Z22" s="8"/>
      <c r="AA22" s="8"/>
    </row>
    <row r="23" spans="2:23" ht="16.5" customHeight="1" thickTop="1">
      <c r="B23" s="396"/>
      <c r="C23" s="397">
        <v>17</v>
      </c>
      <c r="D23" s="585" t="s">
        <v>43</v>
      </c>
      <c r="E23" s="294" t="s">
        <v>46</v>
      </c>
      <c r="F23" s="294">
        <v>13.2</v>
      </c>
      <c r="G23" s="398">
        <f>IF(OR(F23=132,F23=66),$E$14,IF(F23=33,$E$15,$E$16))*$F$17</f>
        <v>2.0690999999999997</v>
      </c>
      <c r="H23" s="399">
        <v>36072.308333333334</v>
      </c>
      <c r="I23" s="399">
        <v>36072.48263888889</v>
      </c>
      <c r="J23" s="400">
        <f aca="true" t="shared" si="0" ref="J23:J42">IF(H23="","",(I23-H23)*24)</f>
        <v>4.183333333348855</v>
      </c>
      <c r="K23" s="401">
        <f aca="true" t="shared" si="1" ref="K23:K42">IF(I23="","",ROUND((I23-H23)*24*60,0))</f>
        <v>251</v>
      </c>
      <c r="L23" s="402" t="s">
        <v>121</v>
      </c>
      <c r="M23" s="403" t="str">
        <f aca="true" t="shared" si="2" ref="M23:M42">IF(L23="","",IF(L23="P","--","NO"))</f>
        <v>--</v>
      </c>
      <c r="N23" s="404">
        <f aca="true" t="shared" si="3" ref="N23:N42">IF(OR(F23=132,F23=66),$F$14,IF(F23=33,$F$15,$F$16))</f>
        <v>20</v>
      </c>
      <c r="O23" s="586">
        <f aca="true" t="shared" si="4" ref="O23:O42">IF(L23="P",G23*N23*0.1*ROUND(K23/60,2),"--")</f>
        <v>17.297675999999996</v>
      </c>
      <c r="P23" s="587" t="str">
        <f aca="true" t="shared" si="5" ref="P23:P42">IF(M23="NO",IF(L23="F",G23*N23,"--"),"--")</f>
        <v>--</v>
      </c>
      <c r="Q23" s="588" t="str">
        <f aca="true" t="shared" si="6" ref="Q23:Q42">IF(L23="F",G23*N23*ROUND(K23/60,2),"--")</f>
        <v>--</v>
      </c>
      <c r="R23" s="408" t="str">
        <f aca="true" t="shared" si="7" ref="R23:R42">IF(L23="RF",G23*N23*ROUND(K23/60,2),"--")</f>
        <v>--</v>
      </c>
      <c r="S23" s="409" t="str">
        <f aca="true" t="shared" si="8" ref="S23:S42">IF(D23="","","SI")</f>
        <v>SI</v>
      </c>
      <c r="T23" s="410">
        <f aca="true" t="shared" si="9" ref="T23:T42">IF(D23="","",IF(F23="500/220",0,IF(S23="SI",SUM(O23:R23),2*SUM(O23:R23))))</f>
        <v>17.297675999999996</v>
      </c>
      <c r="U23" s="410">
        <v>13.417800000000002</v>
      </c>
      <c r="V23" s="410">
        <f>+T23-U23</f>
        <v>3.879875999999994</v>
      </c>
      <c r="W23" s="311"/>
    </row>
    <row r="24" spans="2:23" ht="16.5" customHeight="1">
      <c r="B24" s="396"/>
      <c r="C24" s="397">
        <v>18</v>
      </c>
      <c r="D24" s="314" t="s">
        <v>43</v>
      </c>
      <c r="E24" s="294" t="s">
        <v>182</v>
      </c>
      <c r="F24" s="294">
        <v>33</v>
      </c>
      <c r="G24" s="398">
        <f aca="true" t="shared" si="10" ref="G24:G42">IF(OR(F24=132,F24=66),$E$14,IF(F24=33,$E$15,$E$16))*$F$17</f>
        <v>2.0690999999999997</v>
      </c>
      <c r="H24" s="399">
        <v>36072.308333333334</v>
      </c>
      <c r="I24" s="399">
        <v>36072.48263888889</v>
      </c>
      <c r="J24" s="400">
        <f t="shared" si="0"/>
        <v>4.183333333348855</v>
      </c>
      <c r="K24" s="401">
        <f t="shared" si="1"/>
        <v>251</v>
      </c>
      <c r="L24" s="402" t="s">
        <v>121</v>
      </c>
      <c r="M24" s="403" t="str">
        <f t="shared" si="2"/>
        <v>--</v>
      </c>
      <c r="N24" s="404">
        <f t="shared" si="3"/>
        <v>25</v>
      </c>
      <c r="O24" s="405">
        <f t="shared" si="4"/>
        <v>21.622094999999998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21.622094999999998</v>
      </c>
      <c r="U24" s="410">
        <v>16.77225</v>
      </c>
      <c r="V24" s="410">
        <f aca="true" t="shared" si="11" ref="V24:V41">+T24-U24</f>
        <v>4.849844999999998</v>
      </c>
      <c r="W24" s="311"/>
    </row>
    <row r="25" spans="2:23" ht="16.5" customHeight="1">
      <c r="B25" s="396"/>
      <c r="C25" s="397">
        <v>19</v>
      </c>
      <c r="D25" s="314" t="s">
        <v>43</v>
      </c>
      <c r="E25" s="294" t="s">
        <v>210</v>
      </c>
      <c r="F25" s="294">
        <v>33</v>
      </c>
      <c r="G25" s="398">
        <f t="shared" si="10"/>
        <v>2.0690999999999997</v>
      </c>
      <c r="H25" s="399">
        <v>36072.308333333334</v>
      </c>
      <c r="I25" s="399">
        <v>36072.48263888889</v>
      </c>
      <c r="J25" s="400">
        <f t="shared" si="0"/>
        <v>4.183333333348855</v>
      </c>
      <c r="K25" s="401">
        <f t="shared" si="1"/>
        <v>251</v>
      </c>
      <c r="L25" s="402" t="s">
        <v>121</v>
      </c>
      <c r="M25" s="403" t="str">
        <f t="shared" si="2"/>
        <v>--</v>
      </c>
      <c r="N25" s="404">
        <f t="shared" si="3"/>
        <v>25</v>
      </c>
      <c r="O25" s="405">
        <f t="shared" si="4"/>
        <v>21.622094999999998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21.622094999999998</v>
      </c>
      <c r="U25" s="410">
        <v>16.77225</v>
      </c>
      <c r="V25" s="410">
        <f t="shared" si="11"/>
        <v>4.849844999999998</v>
      </c>
      <c r="W25" s="311"/>
    </row>
    <row r="26" spans="2:23" ht="16.5" customHeight="1">
      <c r="B26" s="363"/>
      <c r="C26" s="397">
        <v>20</v>
      </c>
      <c r="D26" s="314" t="s">
        <v>33</v>
      </c>
      <c r="E26" s="294" t="s">
        <v>179</v>
      </c>
      <c r="F26" s="294">
        <v>132</v>
      </c>
      <c r="G26" s="398">
        <f t="shared" si="10"/>
        <v>2.75913</v>
      </c>
      <c r="H26" s="399">
        <v>36074.40972222222</v>
      </c>
      <c r="I26" s="399">
        <v>36074.55763888889</v>
      </c>
      <c r="J26" s="400">
        <f t="shared" si="0"/>
        <v>3.550000000046566</v>
      </c>
      <c r="K26" s="401">
        <f t="shared" si="1"/>
        <v>213</v>
      </c>
      <c r="L26" s="402" t="s">
        <v>121</v>
      </c>
      <c r="M26" s="403" t="str">
        <f t="shared" si="2"/>
        <v>--</v>
      </c>
      <c r="N26" s="404">
        <f t="shared" si="3"/>
        <v>50</v>
      </c>
      <c r="O26" s="405">
        <f t="shared" si="4"/>
        <v>48.9745575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48.9745575</v>
      </c>
      <c r="U26" s="410">
        <v>37.985</v>
      </c>
      <c r="V26" s="410">
        <f t="shared" si="11"/>
        <v>10.989557500000004</v>
      </c>
      <c r="W26" s="311"/>
    </row>
    <row r="27" spans="2:23" ht="16.5" customHeight="1">
      <c r="B27" s="396"/>
      <c r="C27" s="397">
        <v>21</v>
      </c>
      <c r="D27" s="314" t="s">
        <v>25</v>
      </c>
      <c r="E27" s="294" t="s">
        <v>158</v>
      </c>
      <c r="F27" s="294">
        <v>33</v>
      </c>
      <c r="G27" s="398">
        <f t="shared" si="10"/>
        <v>2.0690999999999997</v>
      </c>
      <c r="H27" s="399">
        <v>36074.45416666667</v>
      </c>
      <c r="I27" s="399">
        <v>36074.597916666666</v>
      </c>
      <c r="J27" s="400">
        <f t="shared" si="0"/>
        <v>3.449999999895226</v>
      </c>
      <c r="K27" s="401">
        <f t="shared" si="1"/>
        <v>207</v>
      </c>
      <c r="L27" s="402" t="s">
        <v>121</v>
      </c>
      <c r="M27" s="403" t="str">
        <f t="shared" si="2"/>
        <v>--</v>
      </c>
      <c r="N27" s="404">
        <f t="shared" si="3"/>
        <v>25</v>
      </c>
      <c r="O27" s="405">
        <f t="shared" si="4"/>
        <v>17.8459875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17.8459875</v>
      </c>
      <c r="U27" s="410">
        <v>13.843125</v>
      </c>
      <c r="V27" s="410">
        <f t="shared" si="11"/>
        <v>4.002862499999999</v>
      </c>
      <c r="W27" s="311"/>
    </row>
    <row r="28" spans="2:23" ht="16.5" customHeight="1">
      <c r="B28" s="396"/>
      <c r="C28" s="397">
        <v>22</v>
      </c>
      <c r="D28" s="314" t="s">
        <v>156</v>
      </c>
      <c r="E28" s="294" t="s">
        <v>149</v>
      </c>
      <c r="F28" s="294">
        <v>33</v>
      </c>
      <c r="G28" s="398">
        <f t="shared" si="10"/>
        <v>2.0690999999999997</v>
      </c>
      <c r="H28" s="399">
        <v>36075.47777777778</v>
      </c>
      <c r="I28" s="399">
        <v>36075.535416666666</v>
      </c>
      <c r="J28" s="400">
        <f t="shared" si="0"/>
        <v>1.3833333333022892</v>
      </c>
      <c r="K28" s="401">
        <f t="shared" si="1"/>
        <v>83</v>
      </c>
      <c r="L28" s="402" t="s">
        <v>121</v>
      </c>
      <c r="M28" s="403" t="str">
        <f t="shared" si="2"/>
        <v>--</v>
      </c>
      <c r="N28" s="404">
        <f t="shared" si="3"/>
        <v>25</v>
      </c>
      <c r="O28" s="405">
        <f t="shared" si="4"/>
        <v>7.138394999999999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7.138394999999999</v>
      </c>
      <c r="U28" s="410">
        <v>5.53725</v>
      </c>
      <c r="V28" s="410">
        <f t="shared" si="11"/>
        <v>1.601144999999999</v>
      </c>
      <c r="W28" s="311"/>
    </row>
    <row r="29" spans="2:23" ht="16.5" customHeight="1">
      <c r="B29" s="396"/>
      <c r="C29" s="397">
        <v>23</v>
      </c>
      <c r="D29" s="314" t="s">
        <v>156</v>
      </c>
      <c r="E29" s="294" t="s">
        <v>136</v>
      </c>
      <c r="F29" s="294">
        <v>33</v>
      </c>
      <c r="G29" s="398">
        <f t="shared" si="10"/>
        <v>2.0690999999999997</v>
      </c>
      <c r="H29" s="399">
        <v>36075.54861111111</v>
      </c>
      <c r="I29" s="399">
        <v>36075.62013888889</v>
      </c>
      <c r="J29" s="400">
        <f t="shared" si="0"/>
        <v>1.7166666666744277</v>
      </c>
      <c r="K29" s="401">
        <f t="shared" si="1"/>
        <v>103</v>
      </c>
      <c r="L29" s="402" t="s">
        <v>121</v>
      </c>
      <c r="M29" s="403" t="str">
        <f t="shared" si="2"/>
        <v>--</v>
      </c>
      <c r="N29" s="404">
        <f t="shared" si="3"/>
        <v>25</v>
      </c>
      <c r="O29" s="405">
        <f t="shared" si="4"/>
        <v>8.897129999999999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8.897129999999999</v>
      </c>
      <c r="U29" s="410">
        <v>6.9015</v>
      </c>
      <c r="V29" s="410">
        <f t="shared" si="11"/>
        <v>1.9956299999999985</v>
      </c>
      <c r="W29" s="311"/>
    </row>
    <row r="30" spans="2:23" ht="16.5" customHeight="1">
      <c r="B30" s="396"/>
      <c r="C30" s="397">
        <v>24</v>
      </c>
      <c r="D30" s="314" t="s">
        <v>156</v>
      </c>
      <c r="E30" s="294" t="s">
        <v>211</v>
      </c>
      <c r="F30" s="294">
        <v>33</v>
      </c>
      <c r="G30" s="398">
        <f t="shared" si="10"/>
        <v>2.0690999999999997</v>
      </c>
      <c r="H30" s="399">
        <v>36075.64444444444</v>
      </c>
      <c r="I30" s="399">
        <v>36075.67152777778</v>
      </c>
      <c r="J30" s="400">
        <f t="shared" si="0"/>
        <v>0.6500000000232831</v>
      </c>
      <c r="K30" s="401">
        <f t="shared" si="1"/>
        <v>39</v>
      </c>
      <c r="L30" s="402" t="s">
        <v>121</v>
      </c>
      <c r="M30" s="403" t="str">
        <f t="shared" si="2"/>
        <v>--</v>
      </c>
      <c r="N30" s="404">
        <f t="shared" si="3"/>
        <v>25</v>
      </c>
      <c r="O30" s="405">
        <f t="shared" si="4"/>
        <v>3.3622875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3.3622875</v>
      </c>
      <c r="U30" s="410">
        <v>2.608125</v>
      </c>
      <c r="V30" s="410">
        <f t="shared" si="11"/>
        <v>0.7541625000000001</v>
      </c>
      <c r="W30" s="311"/>
    </row>
    <row r="31" spans="2:23" ht="16.5" customHeight="1">
      <c r="B31" s="396"/>
      <c r="C31" s="397">
        <v>25</v>
      </c>
      <c r="D31" s="314" t="s">
        <v>38</v>
      </c>
      <c r="E31" s="294" t="s">
        <v>49</v>
      </c>
      <c r="F31" s="411">
        <v>13.2</v>
      </c>
      <c r="G31" s="398">
        <f t="shared" si="10"/>
        <v>2.0690999999999997</v>
      </c>
      <c r="H31" s="399">
        <v>36076.447916666664</v>
      </c>
      <c r="I31" s="399">
        <v>36076.71388888889</v>
      </c>
      <c r="J31" s="400">
        <f t="shared" si="0"/>
        <v>6.383333333360497</v>
      </c>
      <c r="K31" s="401">
        <f t="shared" si="1"/>
        <v>383</v>
      </c>
      <c r="L31" s="402" t="s">
        <v>121</v>
      </c>
      <c r="M31" s="403" t="str">
        <f t="shared" si="2"/>
        <v>--</v>
      </c>
      <c r="N31" s="404">
        <f t="shared" si="3"/>
        <v>20</v>
      </c>
      <c r="O31" s="405">
        <f t="shared" si="4"/>
        <v>26.401715999999997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26.401715999999997</v>
      </c>
      <c r="U31" s="410">
        <v>20.4798</v>
      </c>
      <c r="V31" s="410">
        <f t="shared" si="11"/>
        <v>5.921915999999996</v>
      </c>
      <c r="W31" s="311"/>
    </row>
    <row r="32" spans="2:23" ht="16.5" customHeight="1">
      <c r="B32" s="396"/>
      <c r="C32" s="397">
        <v>26</v>
      </c>
      <c r="D32" s="314" t="s">
        <v>38</v>
      </c>
      <c r="E32" s="294" t="s">
        <v>55</v>
      </c>
      <c r="F32" s="411">
        <v>13.2</v>
      </c>
      <c r="G32" s="398">
        <f t="shared" si="10"/>
        <v>2.0690999999999997</v>
      </c>
      <c r="H32" s="399">
        <v>36082.447916666664</v>
      </c>
      <c r="I32" s="399">
        <v>36082.53472222222</v>
      </c>
      <c r="J32" s="400">
        <f t="shared" si="0"/>
        <v>2.083333333313931</v>
      </c>
      <c r="K32" s="401">
        <f t="shared" si="1"/>
        <v>125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8.607455999999999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8.607455999999999</v>
      </c>
      <c r="U32" s="410">
        <v>6.676800000000001</v>
      </c>
      <c r="V32" s="410">
        <f t="shared" si="11"/>
        <v>1.9306559999999982</v>
      </c>
      <c r="W32" s="311"/>
    </row>
    <row r="33" spans="2:23" ht="16.5" customHeight="1">
      <c r="B33" s="396"/>
      <c r="C33" s="397">
        <v>27</v>
      </c>
      <c r="D33" s="314" t="s">
        <v>36</v>
      </c>
      <c r="E33" s="294" t="s">
        <v>37</v>
      </c>
      <c r="F33" s="411">
        <v>66</v>
      </c>
      <c r="G33" s="398">
        <f t="shared" si="10"/>
        <v>2.75913</v>
      </c>
      <c r="H33" s="399">
        <v>36083.330555555556</v>
      </c>
      <c r="I33" s="399">
        <v>36089.82083333333</v>
      </c>
      <c r="J33" s="400">
        <f t="shared" si="0"/>
        <v>155.76666666660458</v>
      </c>
      <c r="K33" s="401">
        <f t="shared" si="1"/>
        <v>9346</v>
      </c>
      <c r="L33" s="402" t="s">
        <v>121</v>
      </c>
      <c r="M33" s="403" t="str">
        <f t="shared" si="2"/>
        <v>--</v>
      </c>
      <c r="N33" s="404">
        <f t="shared" si="3"/>
        <v>50</v>
      </c>
      <c r="O33" s="405">
        <f t="shared" si="4"/>
        <v>2148.9484005000004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2148.9484005000004</v>
      </c>
      <c r="U33" s="410">
        <v>1666.7390000000003</v>
      </c>
      <c r="V33" s="410">
        <f t="shared" si="11"/>
        <v>482.20940050000013</v>
      </c>
      <c r="W33" s="311"/>
    </row>
    <row r="34" spans="2:23" ht="16.5" customHeight="1">
      <c r="B34" s="396"/>
      <c r="C34" s="397">
        <v>28</v>
      </c>
      <c r="D34" s="314" t="s">
        <v>36</v>
      </c>
      <c r="E34" s="294" t="s">
        <v>212</v>
      </c>
      <c r="F34" s="411">
        <v>13.2</v>
      </c>
      <c r="G34" s="398">
        <f t="shared" si="10"/>
        <v>2.0690999999999997</v>
      </c>
      <c r="H34" s="399">
        <v>36083.354166666664</v>
      </c>
      <c r="I34" s="399">
        <v>36083.78611111111</v>
      </c>
      <c r="J34" s="400">
        <f t="shared" si="0"/>
        <v>10.366666666755918</v>
      </c>
      <c r="K34" s="401">
        <f t="shared" si="1"/>
        <v>622</v>
      </c>
      <c r="L34" s="402" t="s">
        <v>121</v>
      </c>
      <c r="M34" s="403" t="str">
        <f t="shared" si="2"/>
        <v>--</v>
      </c>
      <c r="N34" s="404">
        <f t="shared" si="3"/>
        <v>20</v>
      </c>
      <c r="O34" s="405">
        <f t="shared" si="4"/>
        <v>42.91313399999999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42.91313399999999</v>
      </c>
      <c r="U34" s="410">
        <v>33.2877</v>
      </c>
      <c r="V34" s="410">
        <f t="shared" si="11"/>
        <v>9.625433999999991</v>
      </c>
      <c r="W34" s="311"/>
    </row>
    <row r="35" spans="2:23" ht="16.5" customHeight="1">
      <c r="B35" s="396"/>
      <c r="C35" s="397">
        <v>29</v>
      </c>
      <c r="D35" s="314" t="s">
        <v>33</v>
      </c>
      <c r="E35" s="294" t="s">
        <v>180</v>
      </c>
      <c r="F35" s="411">
        <v>132</v>
      </c>
      <c r="G35" s="398">
        <f t="shared" si="10"/>
        <v>2.75913</v>
      </c>
      <c r="H35" s="399">
        <v>36083.42013888889</v>
      </c>
      <c r="I35" s="399">
        <v>36083.55763888889</v>
      </c>
      <c r="J35" s="400">
        <f t="shared" si="0"/>
        <v>3.299999999930151</v>
      </c>
      <c r="K35" s="401">
        <f t="shared" si="1"/>
        <v>198</v>
      </c>
      <c r="L35" s="402" t="s">
        <v>121</v>
      </c>
      <c r="M35" s="403" t="str">
        <f t="shared" si="2"/>
        <v>--</v>
      </c>
      <c r="N35" s="404">
        <f t="shared" si="3"/>
        <v>50</v>
      </c>
      <c r="O35" s="405">
        <f t="shared" si="4"/>
        <v>45.525645000000004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45.525645000000004</v>
      </c>
      <c r="U35" s="410">
        <v>35.31</v>
      </c>
      <c r="V35" s="410">
        <f t="shared" si="11"/>
        <v>10.215645000000002</v>
      </c>
      <c r="W35" s="311"/>
    </row>
    <row r="36" spans="2:23" ht="16.5" customHeight="1">
      <c r="B36" s="396"/>
      <c r="C36" s="397">
        <v>30</v>
      </c>
      <c r="D36" s="314" t="s">
        <v>44</v>
      </c>
      <c r="E36" s="294" t="s">
        <v>45</v>
      </c>
      <c r="F36" s="411">
        <v>132</v>
      </c>
      <c r="G36" s="398">
        <f t="shared" si="10"/>
        <v>2.75913</v>
      </c>
      <c r="H36" s="399">
        <v>36093.33472222222</v>
      </c>
      <c r="I36" s="399">
        <v>36093.44027777778</v>
      </c>
      <c r="J36" s="400">
        <f t="shared" si="0"/>
        <v>2.53333333338378</v>
      </c>
      <c r="K36" s="401">
        <f t="shared" si="1"/>
        <v>152</v>
      </c>
      <c r="L36" s="402" t="s">
        <v>121</v>
      </c>
      <c r="M36" s="403" t="str">
        <f t="shared" si="2"/>
        <v>--</v>
      </c>
      <c r="N36" s="404">
        <f t="shared" si="3"/>
        <v>50</v>
      </c>
      <c r="O36" s="405">
        <f t="shared" si="4"/>
        <v>34.902994500000005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34.902994500000005</v>
      </c>
      <c r="U36" s="410">
        <v>27.071</v>
      </c>
      <c r="V36" s="410">
        <f t="shared" si="11"/>
        <v>7.831994500000004</v>
      </c>
      <c r="W36" s="311"/>
    </row>
    <row r="37" spans="2:23" ht="16.5" customHeight="1">
      <c r="B37" s="396"/>
      <c r="C37" s="397">
        <v>31</v>
      </c>
      <c r="D37" s="314" t="s">
        <v>38</v>
      </c>
      <c r="E37" s="294" t="s">
        <v>50</v>
      </c>
      <c r="F37" s="411">
        <v>13.2</v>
      </c>
      <c r="G37" s="398">
        <f t="shared" si="10"/>
        <v>2.0690999999999997</v>
      </c>
      <c r="H37" s="399">
        <v>36095.47083333333</v>
      </c>
      <c r="I37" s="399">
        <v>36095.525</v>
      </c>
      <c r="J37" s="400">
        <f t="shared" si="0"/>
        <v>1.3000000000465661</v>
      </c>
      <c r="K37" s="401">
        <f t="shared" si="1"/>
        <v>78</v>
      </c>
      <c r="L37" s="402" t="s">
        <v>121</v>
      </c>
      <c r="M37" s="403" t="str">
        <f t="shared" si="2"/>
        <v>--</v>
      </c>
      <c r="N37" s="404">
        <f t="shared" si="3"/>
        <v>20</v>
      </c>
      <c r="O37" s="405">
        <f t="shared" si="4"/>
        <v>5.379659999999999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5.379659999999999</v>
      </c>
      <c r="U37" s="410">
        <v>4.173000000000001</v>
      </c>
      <c r="V37" s="410">
        <f t="shared" si="11"/>
        <v>1.2066599999999985</v>
      </c>
      <c r="W37" s="311"/>
    </row>
    <row r="38" spans="2:23" ht="16.5" customHeight="1">
      <c r="B38" s="396"/>
      <c r="C38" s="397">
        <v>32</v>
      </c>
      <c r="D38" s="314" t="s">
        <v>189</v>
      </c>
      <c r="E38" s="294" t="s">
        <v>155</v>
      </c>
      <c r="F38" s="411">
        <v>13.2</v>
      </c>
      <c r="G38" s="398">
        <f t="shared" si="10"/>
        <v>2.0690999999999997</v>
      </c>
      <c r="H38" s="399">
        <v>36097.375</v>
      </c>
      <c r="I38" s="399">
        <v>36097.549305555556</v>
      </c>
      <c r="J38" s="400">
        <f t="shared" si="0"/>
        <v>4.183333333348855</v>
      </c>
      <c r="K38" s="401">
        <f t="shared" si="1"/>
        <v>251</v>
      </c>
      <c r="L38" s="402" t="s">
        <v>121</v>
      </c>
      <c r="M38" s="403" t="str">
        <f t="shared" si="2"/>
        <v>--</v>
      </c>
      <c r="N38" s="404">
        <f t="shared" si="3"/>
        <v>20</v>
      </c>
      <c r="O38" s="405">
        <f t="shared" si="4"/>
        <v>17.297675999999996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17.297675999999996</v>
      </c>
      <c r="U38" s="410">
        <v>13.417800000000002</v>
      </c>
      <c r="V38" s="410">
        <f t="shared" si="11"/>
        <v>3.879875999999994</v>
      </c>
      <c r="W38" s="311"/>
    </row>
    <row r="39" spans="2:23" ht="16.5" customHeight="1">
      <c r="B39" s="396"/>
      <c r="C39" s="397">
        <v>33</v>
      </c>
      <c r="D39" s="314" t="s">
        <v>189</v>
      </c>
      <c r="E39" s="294" t="s">
        <v>192</v>
      </c>
      <c r="F39" s="411">
        <v>13.2</v>
      </c>
      <c r="G39" s="398">
        <f t="shared" si="10"/>
        <v>2.0690999999999997</v>
      </c>
      <c r="H39" s="399">
        <v>36097.375</v>
      </c>
      <c r="I39" s="399">
        <v>36097.549305555556</v>
      </c>
      <c r="J39" s="400">
        <f t="shared" si="0"/>
        <v>4.183333333348855</v>
      </c>
      <c r="K39" s="401">
        <f t="shared" si="1"/>
        <v>251</v>
      </c>
      <c r="L39" s="402" t="s">
        <v>121</v>
      </c>
      <c r="M39" s="403" t="str">
        <f t="shared" si="2"/>
        <v>--</v>
      </c>
      <c r="N39" s="404">
        <f t="shared" si="3"/>
        <v>20</v>
      </c>
      <c r="O39" s="405">
        <f t="shared" si="4"/>
        <v>17.297675999999996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 t="str">
        <f t="shared" si="8"/>
        <v>SI</v>
      </c>
      <c r="T39" s="410">
        <f t="shared" si="9"/>
        <v>17.297675999999996</v>
      </c>
      <c r="U39" s="410">
        <v>13.417800000000002</v>
      </c>
      <c r="V39" s="410">
        <f t="shared" si="11"/>
        <v>3.879875999999994</v>
      </c>
      <c r="W39" s="311"/>
    </row>
    <row r="40" spans="2:23" ht="16.5" customHeight="1">
      <c r="B40" s="396"/>
      <c r="C40" s="397">
        <v>34</v>
      </c>
      <c r="D40" s="314" t="s">
        <v>189</v>
      </c>
      <c r="E40" s="294" t="s">
        <v>190</v>
      </c>
      <c r="F40" s="411">
        <v>13.2</v>
      </c>
      <c r="G40" s="398">
        <f t="shared" si="10"/>
        <v>2.0690999999999997</v>
      </c>
      <c r="H40" s="399">
        <v>36097.375</v>
      </c>
      <c r="I40" s="399">
        <v>36097.549305555556</v>
      </c>
      <c r="J40" s="400">
        <f t="shared" si="0"/>
        <v>4.183333333348855</v>
      </c>
      <c r="K40" s="401">
        <f t="shared" si="1"/>
        <v>251</v>
      </c>
      <c r="L40" s="402" t="s">
        <v>121</v>
      </c>
      <c r="M40" s="403" t="str">
        <f t="shared" si="2"/>
        <v>--</v>
      </c>
      <c r="N40" s="404">
        <f t="shared" si="3"/>
        <v>20</v>
      </c>
      <c r="O40" s="405">
        <f t="shared" si="4"/>
        <v>17.297675999999996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17.297675999999996</v>
      </c>
      <c r="U40" s="410">
        <v>13.417800000000002</v>
      </c>
      <c r="V40" s="410">
        <f t="shared" si="11"/>
        <v>3.879875999999994</v>
      </c>
      <c r="W40" s="311"/>
    </row>
    <row r="41" spans="2:23" ht="16.5" customHeight="1">
      <c r="B41" s="396"/>
      <c r="C41" s="397">
        <v>35</v>
      </c>
      <c r="D41" s="314" t="s">
        <v>189</v>
      </c>
      <c r="E41" s="294" t="s">
        <v>213</v>
      </c>
      <c r="F41" s="411">
        <v>33</v>
      </c>
      <c r="G41" s="398">
        <f t="shared" si="10"/>
        <v>2.0690999999999997</v>
      </c>
      <c r="H41" s="399">
        <v>36097.375</v>
      </c>
      <c r="I41" s="399">
        <v>36097.549305555556</v>
      </c>
      <c r="J41" s="400">
        <f t="shared" si="0"/>
        <v>4.183333333348855</v>
      </c>
      <c r="K41" s="401">
        <f t="shared" si="1"/>
        <v>251</v>
      </c>
      <c r="L41" s="402" t="s">
        <v>121</v>
      </c>
      <c r="M41" s="403" t="str">
        <f t="shared" si="2"/>
        <v>--</v>
      </c>
      <c r="N41" s="404">
        <f t="shared" si="3"/>
        <v>25</v>
      </c>
      <c r="O41" s="405">
        <f t="shared" si="4"/>
        <v>21.622094999999998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 t="str">
        <f t="shared" si="8"/>
        <v>SI</v>
      </c>
      <c r="T41" s="410">
        <f t="shared" si="9"/>
        <v>21.622094999999998</v>
      </c>
      <c r="U41" s="410">
        <v>16.77225</v>
      </c>
      <c r="V41" s="410">
        <f t="shared" si="11"/>
        <v>4.849844999999998</v>
      </c>
      <c r="W41" s="311"/>
    </row>
    <row r="42" spans="2:23" ht="16.5" customHeight="1">
      <c r="B42" s="396"/>
      <c r="C42" s="397"/>
      <c r="D42" s="314"/>
      <c r="E42" s="294"/>
      <c r="F42" s="411"/>
      <c r="G42" s="398">
        <f t="shared" si="10"/>
        <v>2.0690999999999997</v>
      </c>
      <c r="H42" s="399"/>
      <c r="I42" s="399"/>
      <c r="J42" s="400">
        <f t="shared" si="0"/>
      </c>
      <c r="K42" s="401">
        <f t="shared" si="1"/>
      </c>
      <c r="L42" s="402"/>
      <c r="M42" s="403">
        <f t="shared" si="2"/>
      </c>
      <c r="N42" s="404">
        <f t="shared" si="3"/>
        <v>20</v>
      </c>
      <c r="O42" s="405" t="str">
        <f t="shared" si="4"/>
        <v>--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>
        <f t="shared" si="8"/>
      </c>
      <c r="T42" s="410">
        <f t="shared" si="9"/>
      </c>
      <c r="U42" s="410" t="s">
        <v>126</v>
      </c>
      <c r="V42" s="410"/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37"/>
      <c r="U43" s="437"/>
      <c r="V43" s="437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334">
        <f>ROUND(SUM(T20:T43),2)</f>
        <v>4387.94</v>
      </c>
      <c r="U44" s="334">
        <f>ROUND(SUM(U20:U43),2)</f>
        <v>3403.42</v>
      </c>
      <c r="V44" s="334">
        <f>ROUND(SUM(V20:V43),2)</f>
        <v>984.53</v>
      </c>
      <c r="W44" s="311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A16383"/>
  <sheetViews>
    <sheetView zoomScale="75" zoomScaleNormal="75" workbookViewId="0" topLeftCell="D9">
      <selection activeCell="E14" sqref="E14:E16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240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2.79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2.093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2.093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267" t="s">
        <v>226</v>
      </c>
      <c r="V19" s="267" t="s">
        <v>127</v>
      </c>
      <c r="W19" s="374"/>
    </row>
    <row r="20" spans="2:23" s="149" customFormat="1" ht="16.5" customHeight="1" thickTop="1">
      <c r="B20" s="375"/>
      <c r="C20" s="376"/>
      <c r="D20" s="279" t="s">
        <v>250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439">
        <f>+'SA (4)'!T44</f>
        <v>4387.94</v>
      </c>
      <c r="U20" s="439">
        <f>+'SA (4)'!U44</f>
        <v>3403.42</v>
      </c>
      <c r="V20" s="439">
        <f>+'SA (4)'!V44</f>
        <v>984.53</v>
      </c>
      <c r="W20" s="166"/>
    </row>
    <row r="21" spans="2:23" s="149" customFormat="1" ht="16.5" customHeight="1" thickBot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</row>
    <row r="22" spans="2:27" s="78" customFormat="1" ht="16.5" customHeight="1" thickBot="1" thickTop="1">
      <c r="B22" s="130"/>
      <c r="C22" s="605" t="s">
        <v>225</v>
      </c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7"/>
      <c r="W22" s="187"/>
      <c r="X22" s="8"/>
      <c r="Y22" s="8"/>
      <c r="Z22" s="8"/>
      <c r="AA22" s="8"/>
    </row>
    <row r="23" spans="2:23" ht="16.5" customHeight="1" thickTop="1">
      <c r="B23" s="396"/>
      <c r="C23" s="397">
        <v>29</v>
      </c>
      <c r="D23" s="585" t="s">
        <v>43</v>
      </c>
      <c r="E23" s="294" t="s">
        <v>46</v>
      </c>
      <c r="F23" s="294">
        <v>13.2</v>
      </c>
      <c r="G23" s="398">
        <f>IF(OR(F23=132,F23=66),$E$14,IF(F23=33,$E$15,$E$16))*$F$17</f>
        <v>2.07207</v>
      </c>
      <c r="H23" s="399">
        <v>36100.302083333336</v>
      </c>
      <c r="I23" s="399">
        <v>36100.43958333333</v>
      </c>
      <c r="J23" s="400">
        <f aca="true" t="shared" si="0" ref="J23:J42">IF(H23="","",(I23-H23)*24)</f>
        <v>3.299999999930151</v>
      </c>
      <c r="K23" s="401">
        <f aca="true" t="shared" si="1" ref="K23:K42">IF(I23="","",ROUND((I23-H23)*24*60,0))</f>
        <v>198</v>
      </c>
      <c r="L23" s="402" t="s">
        <v>121</v>
      </c>
      <c r="M23" s="403" t="str">
        <f aca="true" t="shared" si="2" ref="M23:M42">IF(L23="","",IF(OR(L23="P",L23="RP"),"--","NO"))</f>
        <v>--</v>
      </c>
      <c r="N23" s="404">
        <f aca="true" t="shared" si="3" ref="N23:N42">IF(OR(F23=132,F23=66),$F$14,IF(F23=33,$F$15,$F$16))</f>
        <v>20</v>
      </c>
      <c r="O23" s="586">
        <f aca="true" t="shared" si="4" ref="O23:O42">IF(L23="P",G23*N23*0.1*ROUND(K23/60,2),"--")</f>
        <v>13.675661999999999</v>
      </c>
      <c r="P23" s="587" t="str">
        <f aca="true" t="shared" si="5" ref="P23:P42">IF(M23="NO",IF(L23="F",G23*N23,"--"),"--")</f>
        <v>--</v>
      </c>
      <c r="Q23" s="588" t="str">
        <f aca="true" t="shared" si="6" ref="Q23:Q42">IF(L23="F",G23*N23*ROUND(K23/60,2),"--")</f>
        <v>--</v>
      </c>
      <c r="R23" s="408" t="str">
        <f aca="true" t="shared" si="7" ref="R23:R42">IF(L23="RF",G23*N23*ROUND(K23/60,2),"--")</f>
        <v>--</v>
      </c>
      <c r="S23" s="409" t="str">
        <f aca="true" t="shared" si="8" ref="S23:S42">IF(D23="","","SI")</f>
        <v>SI</v>
      </c>
      <c r="T23" s="410">
        <f aca="true" t="shared" si="9" ref="T23:T42">IF(D23="","",IF(F23="500/220",0,IF(S23="SI",SUM(O23:R23),2*SUM(O23:R23))))</f>
        <v>13.675661999999999</v>
      </c>
      <c r="U23" s="410">
        <v>10.6722</v>
      </c>
      <c r="V23" s="410">
        <f>+T23-U23</f>
        <v>3.003461999999999</v>
      </c>
      <c r="W23" s="311"/>
    </row>
    <row r="24" spans="2:23" ht="16.5" customHeight="1">
      <c r="B24" s="396"/>
      <c r="C24" s="397">
        <v>30</v>
      </c>
      <c r="D24" s="314" t="s">
        <v>25</v>
      </c>
      <c r="E24" s="294" t="s">
        <v>39</v>
      </c>
      <c r="F24" s="294">
        <v>33</v>
      </c>
      <c r="G24" s="398">
        <f aca="true" t="shared" si="10" ref="G24:G42">IF(OR(F24=132,F24=66),$E$14,IF(F24=33,$E$15,$E$16))*$F$17</f>
        <v>2.07207</v>
      </c>
      <c r="H24" s="399">
        <v>36104.41875</v>
      </c>
      <c r="I24" s="399">
        <v>36104.53055555555</v>
      </c>
      <c r="J24" s="400">
        <f t="shared" si="0"/>
        <v>2.6833333333488554</v>
      </c>
      <c r="K24" s="401">
        <f t="shared" si="1"/>
        <v>161</v>
      </c>
      <c r="L24" s="402" t="s">
        <v>121</v>
      </c>
      <c r="M24" s="403" t="str">
        <f t="shared" si="2"/>
        <v>--</v>
      </c>
      <c r="N24" s="404">
        <f t="shared" si="3"/>
        <v>25</v>
      </c>
      <c r="O24" s="405">
        <f t="shared" si="4"/>
        <v>13.882869000000001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13.882869000000001</v>
      </c>
      <c r="U24" s="410">
        <v>10.8339</v>
      </c>
      <c r="V24" s="410">
        <f aca="true" t="shared" si="11" ref="V24:V42">+T24-U24</f>
        <v>3.0489690000000014</v>
      </c>
      <c r="W24" s="311"/>
    </row>
    <row r="25" spans="2:23" ht="16.5" customHeight="1">
      <c r="B25" s="396"/>
      <c r="C25" s="397">
        <v>31</v>
      </c>
      <c r="D25" s="314" t="s">
        <v>38</v>
      </c>
      <c r="E25" s="294" t="s">
        <v>47</v>
      </c>
      <c r="F25" s="294">
        <v>66</v>
      </c>
      <c r="G25" s="398">
        <f t="shared" si="10"/>
        <v>2.7621</v>
      </c>
      <c r="H25" s="399">
        <v>36105.425</v>
      </c>
      <c r="I25" s="399">
        <v>36105.55486111111</v>
      </c>
      <c r="J25" s="400">
        <f t="shared" si="0"/>
        <v>3.1166666665230878</v>
      </c>
      <c r="K25" s="401">
        <f t="shared" si="1"/>
        <v>187</v>
      </c>
      <c r="L25" s="402" t="s">
        <v>121</v>
      </c>
      <c r="M25" s="403" t="str">
        <f t="shared" si="2"/>
        <v>--</v>
      </c>
      <c r="N25" s="404">
        <f t="shared" si="3"/>
        <v>50</v>
      </c>
      <c r="O25" s="405">
        <f t="shared" si="4"/>
        <v>43.08876000000001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43.08876000000001</v>
      </c>
      <c r="U25" s="410">
        <v>33.6336</v>
      </c>
      <c r="V25" s="410">
        <f t="shared" si="11"/>
        <v>9.455160000000006</v>
      </c>
      <c r="W25" s="311"/>
    </row>
    <row r="26" spans="2:23" ht="16.5" customHeight="1">
      <c r="B26" s="396"/>
      <c r="C26" s="397">
        <v>32</v>
      </c>
      <c r="D26" s="314" t="s">
        <v>38</v>
      </c>
      <c r="E26" s="294" t="s">
        <v>49</v>
      </c>
      <c r="F26" s="294">
        <v>13.2</v>
      </c>
      <c r="G26" s="398">
        <f t="shared" si="10"/>
        <v>2.07207</v>
      </c>
      <c r="H26" s="399">
        <v>36107.260416666664</v>
      </c>
      <c r="I26" s="399">
        <v>36107.70277777778</v>
      </c>
      <c r="J26" s="400">
        <f t="shared" si="0"/>
        <v>10.61666666669771</v>
      </c>
      <c r="K26" s="401">
        <f t="shared" si="1"/>
        <v>637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44.0107668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44.0107668</v>
      </c>
      <c r="U26" s="410">
        <v>34.34508</v>
      </c>
      <c r="V26" s="410">
        <f t="shared" si="11"/>
        <v>9.665686799999996</v>
      </c>
      <c r="W26" s="311"/>
    </row>
    <row r="27" spans="2:23" ht="16.5" customHeight="1">
      <c r="B27" s="396"/>
      <c r="C27" s="397">
        <v>33</v>
      </c>
      <c r="D27" s="314" t="s">
        <v>38</v>
      </c>
      <c r="E27" s="294" t="s">
        <v>53</v>
      </c>
      <c r="F27" s="294">
        <v>13.2</v>
      </c>
      <c r="G27" s="398">
        <f t="shared" si="10"/>
        <v>2.07207</v>
      </c>
      <c r="H27" s="399">
        <v>36107.274305555555</v>
      </c>
      <c r="I27" s="399">
        <v>36107.709027777775</v>
      </c>
      <c r="J27" s="400">
        <f t="shared" si="0"/>
        <v>10.433333333290648</v>
      </c>
      <c r="K27" s="401">
        <f t="shared" si="1"/>
        <v>626</v>
      </c>
      <c r="L27" s="402" t="s">
        <v>121</v>
      </c>
      <c r="M27" s="403" t="str">
        <f t="shared" si="2"/>
        <v>--</v>
      </c>
      <c r="N27" s="404">
        <f t="shared" si="3"/>
        <v>20</v>
      </c>
      <c r="O27" s="405">
        <f t="shared" si="4"/>
        <v>43.2233802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43.2233802</v>
      </c>
      <c r="U27" s="410">
        <v>33.73062</v>
      </c>
      <c r="V27" s="410">
        <f t="shared" si="11"/>
        <v>9.4927602</v>
      </c>
      <c r="W27" s="311"/>
    </row>
    <row r="28" spans="2:23" ht="16.5" customHeight="1">
      <c r="B28" s="396"/>
      <c r="C28" s="397">
        <v>34</v>
      </c>
      <c r="D28" s="314" t="s">
        <v>38</v>
      </c>
      <c r="E28" s="294" t="s">
        <v>54</v>
      </c>
      <c r="F28" s="294">
        <v>13.2</v>
      </c>
      <c r="G28" s="398">
        <f t="shared" si="10"/>
        <v>2.07207</v>
      </c>
      <c r="H28" s="399">
        <v>36107.28125</v>
      </c>
      <c r="I28" s="399">
        <v>36107.697222222225</v>
      </c>
      <c r="J28" s="400">
        <f t="shared" si="0"/>
        <v>9.983333333395422</v>
      </c>
      <c r="K28" s="401">
        <f t="shared" si="1"/>
        <v>599</v>
      </c>
      <c r="L28" s="402" t="s">
        <v>121</v>
      </c>
      <c r="M28" s="403" t="str">
        <f t="shared" si="2"/>
        <v>--</v>
      </c>
      <c r="N28" s="404">
        <f t="shared" si="3"/>
        <v>20</v>
      </c>
      <c r="O28" s="405">
        <f t="shared" si="4"/>
        <v>41.3585172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41.3585172</v>
      </c>
      <c r="U28" s="410">
        <v>32.27532000000001</v>
      </c>
      <c r="V28" s="410">
        <f t="shared" si="11"/>
        <v>9.083197199999994</v>
      </c>
      <c r="W28" s="311"/>
    </row>
    <row r="29" spans="2:23" ht="16.5" customHeight="1">
      <c r="B29" s="396"/>
      <c r="C29" s="397">
        <v>35</v>
      </c>
      <c r="D29" s="314" t="s">
        <v>38</v>
      </c>
      <c r="E29" s="294" t="s">
        <v>51</v>
      </c>
      <c r="F29" s="294">
        <v>13.2</v>
      </c>
      <c r="G29" s="398">
        <f t="shared" si="10"/>
        <v>2.07207</v>
      </c>
      <c r="H29" s="399">
        <v>36107.28402777778</v>
      </c>
      <c r="I29" s="399">
        <v>36107.700694444444</v>
      </c>
      <c r="J29" s="400">
        <f t="shared" si="0"/>
        <v>9.999999999941792</v>
      </c>
      <c r="K29" s="401">
        <f t="shared" si="1"/>
        <v>600</v>
      </c>
      <c r="L29" s="402" t="s">
        <v>121</v>
      </c>
      <c r="M29" s="403" t="str">
        <f t="shared" si="2"/>
        <v>--</v>
      </c>
      <c r="N29" s="404">
        <f t="shared" si="3"/>
        <v>20</v>
      </c>
      <c r="O29" s="405">
        <f t="shared" si="4"/>
        <v>41.4414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41.4414</v>
      </c>
      <c r="U29" s="410">
        <v>32.34</v>
      </c>
      <c r="V29" s="410">
        <f t="shared" si="11"/>
        <v>9.101399999999998</v>
      </c>
      <c r="W29" s="311"/>
    </row>
    <row r="30" spans="2:23" ht="16.5" customHeight="1">
      <c r="B30" s="396"/>
      <c r="C30" s="397">
        <v>36</v>
      </c>
      <c r="D30" s="314" t="s">
        <v>38</v>
      </c>
      <c r="E30" s="294" t="s">
        <v>52</v>
      </c>
      <c r="F30" s="294">
        <v>13.2</v>
      </c>
      <c r="G30" s="398">
        <f t="shared" si="10"/>
        <v>2.07207</v>
      </c>
      <c r="H30" s="399">
        <v>36107.28888888889</v>
      </c>
      <c r="I30" s="399">
        <v>36107.714583333334</v>
      </c>
      <c r="J30" s="400">
        <f t="shared" si="0"/>
        <v>10.21666666661622</v>
      </c>
      <c r="K30" s="401">
        <f t="shared" si="1"/>
        <v>613</v>
      </c>
      <c r="L30" s="402" t="s">
        <v>121</v>
      </c>
      <c r="M30" s="403" t="str">
        <f t="shared" si="2"/>
        <v>--</v>
      </c>
      <c r="N30" s="404">
        <f t="shared" si="3"/>
        <v>20</v>
      </c>
      <c r="O30" s="405">
        <f t="shared" si="4"/>
        <v>42.3531108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42.3531108</v>
      </c>
      <c r="U30" s="410">
        <v>33.051480000000005</v>
      </c>
      <c r="V30" s="410">
        <f t="shared" si="11"/>
        <v>9.301630799999998</v>
      </c>
      <c r="W30" s="311"/>
    </row>
    <row r="31" spans="2:23" ht="16.5" customHeight="1">
      <c r="B31" s="396"/>
      <c r="C31" s="397">
        <v>37</v>
      </c>
      <c r="D31" s="314" t="s">
        <v>38</v>
      </c>
      <c r="E31" s="294" t="s">
        <v>50</v>
      </c>
      <c r="F31" s="411">
        <v>13.2</v>
      </c>
      <c r="G31" s="398">
        <f t="shared" si="10"/>
        <v>2.07207</v>
      </c>
      <c r="H31" s="399">
        <v>36107.29375</v>
      </c>
      <c r="I31" s="399">
        <v>36107.72152777778</v>
      </c>
      <c r="J31" s="400">
        <f t="shared" si="0"/>
        <v>10.266666666779201</v>
      </c>
      <c r="K31" s="401">
        <f t="shared" si="1"/>
        <v>616</v>
      </c>
      <c r="L31" s="402" t="s">
        <v>121</v>
      </c>
      <c r="M31" s="403" t="str">
        <f t="shared" si="2"/>
        <v>--</v>
      </c>
      <c r="N31" s="404">
        <f t="shared" si="3"/>
        <v>20</v>
      </c>
      <c r="O31" s="405">
        <f t="shared" si="4"/>
        <v>42.5603178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42.5603178</v>
      </c>
      <c r="U31" s="410">
        <v>33.21318</v>
      </c>
      <c r="V31" s="410">
        <f t="shared" si="11"/>
        <v>9.347137799999999</v>
      </c>
      <c r="W31" s="311"/>
    </row>
    <row r="32" spans="2:23" ht="16.5" customHeight="1">
      <c r="B32" s="396"/>
      <c r="C32" s="397">
        <v>38</v>
      </c>
      <c r="D32" s="314" t="s">
        <v>38</v>
      </c>
      <c r="E32" s="294" t="s">
        <v>48</v>
      </c>
      <c r="F32" s="411">
        <v>13.2</v>
      </c>
      <c r="G32" s="398">
        <f t="shared" si="10"/>
        <v>2.07207</v>
      </c>
      <c r="H32" s="399">
        <v>36107.29722222222</v>
      </c>
      <c r="I32" s="399">
        <v>36107.73125</v>
      </c>
      <c r="J32" s="400">
        <f t="shared" si="0"/>
        <v>10.416666666569654</v>
      </c>
      <c r="K32" s="401">
        <f t="shared" si="1"/>
        <v>625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43.181938800000005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43.181938800000005</v>
      </c>
      <c r="U32" s="410">
        <v>33.698280000000004</v>
      </c>
      <c r="V32" s="410">
        <f t="shared" si="11"/>
        <v>9.4836588</v>
      </c>
      <c r="W32" s="311"/>
    </row>
    <row r="33" spans="2:23" ht="16.5" customHeight="1">
      <c r="B33" s="396"/>
      <c r="C33" s="397">
        <v>39</v>
      </c>
      <c r="D33" s="314" t="s">
        <v>38</v>
      </c>
      <c r="E33" s="294" t="s">
        <v>47</v>
      </c>
      <c r="F33" s="411">
        <v>66</v>
      </c>
      <c r="G33" s="398">
        <f t="shared" si="10"/>
        <v>2.7621</v>
      </c>
      <c r="H33" s="399">
        <v>36107.30347222222</v>
      </c>
      <c r="I33" s="399">
        <v>36107.72638888889</v>
      </c>
      <c r="J33" s="400">
        <f t="shared" si="0"/>
        <v>10.15000000008149</v>
      </c>
      <c r="K33" s="401">
        <f t="shared" si="1"/>
        <v>609</v>
      </c>
      <c r="L33" s="402" t="s">
        <v>121</v>
      </c>
      <c r="M33" s="403" t="str">
        <f t="shared" si="2"/>
        <v>--</v>
      </c>
      <c r="N33" s="404">
        <f t="shared" si="3"/>
        <v>50</v>
      </c>
      <c r="O33" s="405">
        <f t="shared" si="4"/>
        <v>140.17657500000004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140.17657500000004</v>
      </c>
      <c r="U33" s="410">
        <v>109.41700000000002</v>
      </c>
      <c r="V33" s="410">
        <f t="shared" si="11"/>
        <v>30.759575000000027</v>
      </c>
      <c r="W33" s="311"/>
    </row>
    <row r="34" spans="2:23" ht="16.5" customHeight="1">
      <c r="B34" s="396"/>
      <c r="C34" s="397">
        <v>40</v>
      </c>
      <c r="D34" s="314" t="s">
        <v>57</v>
      </c>
      <c r="E34" s="294" t="s">
        <v>124</v>
      </c>
      <c r="F34" s="411">
        <v>33</v>
      </c>
      <c r="G34" s="398">
        <f t="shared" si="10"/>
        <v>2.07207</v>
      </c>
      <c r="H34" s="399">
        <v>36108.46597222222</v>
      </c>
      <c r="I34" s="399">
        <v>36108.57083333333</v>
      </c>
      <c r="J34" s="400">
        <f t="shared" si="0"/>
        <v>2.516666666662786</v>
      </c>
      <c r="K34" s="401">
        <f t="shared" si="1"/>
        <v>151</v>
      </c>
      <c r="L34" s="402" t="s">
        <v>121</v>
      </c>
      <c r="M34" s="403" t="str">
        <f t="shared" si="2"/>
        <v>--</v>
      </c>
      <c r="N34" s="404">
        <f t="shared" si="3"/>
        <v>25</v>
      </c>
      <c r="O34" s="405">
        <f t="shared" si="4"/>
        <v>13.054041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13.054041</v>
      </c>
      <c r="U34" s="410">
        <v>10.1871</v>
      </c>
      <c r="V34" s="410">
        <f t="shared" si="11"/>
        <v>2.8669410000000006</v>
      </c>
      <c r="W34" s="311"/>
    </row>
    <row r="35" spans="2:23" ht="16.5" customHeight="1">
      <c r="B35" s="396"/>
      <c r="C35" s="397">
        <v>41</v>
      </c>
      <c r="D35" s="314" t="s">
        <v>57</v>
      </c>
      <c r="E35" s="294" t="s">
        <v>58</v>
      </c>
      <c r="F35" s="411">
        <v>33</v>
      </c>
      <c r="G35" s="398">
        <f t="shared" si="10"/>
        <v>2.07207</v>
      </c>
      <c r="H35" s="399">
        <v>36108.46597222222</v>
      </c>
      <c r="I35" s="399">
        <v>36108.57083333333</v>
      </c>
      <c r="J35" s="400">
        <f t="shared" si="0"/>
        <v>2.516666666662786</v>
      </c>
      <c r="K35" s="401">
        <f t="shared" si="1"/>
        <v>151</v>
      </c>
      <c r="L35" s="402" t="s">
        <v>121</v>
      </c>
      <c r="M35" s="403" t="str">
        <f t="shared" si="2"/>
        <v>--</v>
      </c>
      <c r="N35" s="404">
        <f t="shared" si="3"/>
        <v>25</v>
      </c>
      <c r="O35" s="405">
        <f t="shared" si="4"/>
        <v>13.054041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13.054041</v>
      </c>
      <c r="U35" s="410">
        <v>10.1871</v>
      </c>
      <c r="V35" s="410">
        <f t="shared" si="11"/>
        <v>2.8669410000000006</v>
      </c>
      <c r="W35" s="311"/>
    </row>
    <row r="36" spans="2:23" ht="16.5" customHeight="1">
      <c r="B36" s="396"/>
      <c r="C36" s="397">
        <v>42</v>
      </c>
      <c r="D36" s="314" t="s">
        <v>33</v>
      </c>
      <c r="E36" s="294" t="s">
        <v>34</v>
      </c>
      <c r="F36" s="411">
        <v>132</v>
      </c>
      <c r="G36" s="398">
        <f t="shared" si="10"/>
        <v>2.7621</v>
      </c>
      <c r="H36" s="399">
        <v>36109.37777777778</v>
      </c>
      <c r="I36" s="399">
        <v>36109.56597222222</v>
      </c>
      <c r="J36" s="400">
        <f t="shared" si="0"/>
        <v>4.516666666546371</v>
      </c>
      <c r="K36" s="401">
        <f t="shared" si="1"/>
        <v>271</v>
      </c>
      <c r="L36" s="402" t="s">
        <v>121</v>
      </c>
      <c r="M36" s="403" t="str">
        <f t="shared" si="2"/>
        <v>--</v>
      </c>
      <c r="N36" s="404">
        <f t="shared" si="3"/>
        <v>50</v>
      </c>
      <c r="O36" s="405">
        <f t="shared" si="4"/>
        <v>62.423460000000006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62.423460000000006</v>
      </c>
      <c r="U36" s="410">
        <v>48.7256</v>
      </c>
      <c r="V36" s="410">
        <f t="shared" si="11"/>
        <v>13.697860000000006</v>
      </c>
      <c r="W36" s="311"/>
    </row>
    <row r="37" spans="2:23" ht="16.5" customHeight="1">
      <c r="B37" s="396"/>
      <c r="C37" s="397">
        <v>43</v>
      </c>
      <c r="D37" s="314" t="s">
        <v>33</v>
      </c>
      <c r="E37" s="294" t="s">
        <v>35</v>
      </c>
      <c r="F37" s="411">
        <v>132</v>
      </c>
      <c r="G37" s="398">
        <f t="shared" si="10"/>
        <v>2.7621</v>
      </c>
      <c r="H37" s="399">
        <v>36110.416666666664</v>
      </c>
      <c r="I37" s="399">
        <v>36110.5875</v>
      </c>
      <c r="J37" s="400">
        <f t="shared" si="0"/>
        <v>4.100000000093132</v>
      </c>
      <c r="K37" s="401">
        <f t="shared" si="1"/>
        <v>246</v>
      </c>
      <c r="L37" s="402" t="s">
        <v>121</v>
      </c>
      <c r="M37" s="403" t="str">
        <f t="shared" si="2"/>
        <v>--</v>
      </c>
      <c r="N37" s="404">
        <f t="shared" si="3"/>
        <v>50</v>
      </c>
      <c r="O37" s="405">
        <f t="shared" si="4"/>
        <v>56.623050000000006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56.623050000000006</v>
      </c>
      <c r="U37" s="410">
        <v>44.198</v>
      </c>
      <c r="V37" s="410">
        <f t="shared" si="11"/>
        <v>12.425050000000006</v>
      </c>
      <c r="W37" s="311"/>
    </row>
    <row r="38" spans="2:23" ht="16.5" customHeight="1">
      <c r="B38" s="396"/>
      <c r="C38" s="397">
        <v>44</v>
      </c>
      <c r="D38" s="314" t="s">
        <v>25</v>
      </c>
      <c r="E38" s="294" t="s">
        <v>40</v>
      </c>
      <c r="F38" s="411">
        <v>33</v>
      </c>
      <c r="G38" s="398">
        <f t="shared" si="10"/>
        <v>2.07207</v>
      </c>
      <c r="H38" s="399">
        <v>36111.438888888886</v>
      </c>
      <c r="I38" s="399">
        <v>36111.5875</v>
      </c>
      <c r="J38" s="400">
        <f t="shared" si="0"/>
        <v>3.56666666676756</v>
      </c>
      <c r="K38" s="401">
        <f t="shared" si="1"/>
        <v>214</v>
      </c>
      <c r="L38" s="402" t="s">
        <v>121</v>
      </c>
      <c r="M38" s="403" t="str">
        <f t="shared" si="2"/>
        <v>--</v>
      </c>
      <c r="N38" s="404">
        <f t="shared" si="3"/>
        <v>25</v>
      </c>
      <c r="O38" s="405">
        <f t="shared" si="4"/>
        <v>18.49322475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18.49322475</v>
      </c>
      <c r="U38" s="410">
        <v>14.431724999999998</v>
      </c>
      <c r="V38" s="410">
        <f t="shared" si="11"/>
        <v>4.061499750000001</v>
      </c>
      <c r="W38" s="311"/>
    </row>
    <row r="39" spans="2:23" ht="16.5" customHeight="1">
      <c r="B39" s="396"/>
      <c r="C39" s="397">
        <v>45</v>
      </c>
      <c r="D39" s="314" t="s">
        <v>36</v>
      </c>
      <c r="E39" s="294" t="s">
        <v>37</v>
      </c>
      <c r="F39" s="411">
        <v>66</v>
      </c>
      <c r="G39" s="398">
        <f t="shared" si="10"/>
        <v>2.7621</v>
      </c>
      <c r="H39" s="399">
        <v>36111.447222222225</v>
      </c>
      <c r="I39" s="399">
        <v>36111.58472222222</v>
      </c>
      <c r="J39" s="400">
        <f t="shared" si="0"/>
        <v>3.299999999930151</v>
      </c>
      <c r="K39" s="401">
        <f t="shared" si="1"/>
        <v>198</v>
      </c>
      <c r="L39" s="402" t="s">
        <v>121</v>
      </c>
      <c r="M39" s="403" t="str">
        <f t="shared" si="2"/>
        <v>--</v>
      </c>
      <c r="N39" s="404">
        <f t="shared" si="3"/>
        <v>50</v>
      </c>
      <c r="O39" s="405">
        <f t="shared" si="4"/>
        <v>45.574650000000005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 t="str">
        <f t="shared" si="8"/>
        <v>SI</v>
      </c>
      <c r="T39" s="410">
        <f t="shared" si="9"/>
        <v>45.574650000000005</v>
      </c>
      <c r="U39" s="410">
        <v>35.574000000000005</v>
      </c>
      <c r="V39" s="410">
        <f t="shared" si="11"/>
        <v>10.00065</v>
      </c>
      <c r="W39" s="311"/>
    </row>
    <row r="40" spans="2:23" ht="16.5" customHeight="1">
      <c r="B40" s="396"/>
      <c r="C40" s="397">
        <v>46</v>
      </c>
      <c r="D40" s="314" t="s">
        <v>38</v>
      </c>
      <c r="E40" s="294" t="s">
        <v>50</v>
      </c>
      <c r="F40" s="411">
        <v>13.2</v>
      </c>
      <c r="G40" s="398">
        <f t="shared" si="10"/>
        <v>2.07207</v>
      </c>
      <c r="H40" s="399">
        <v>36115.44097222222</v>
      </c>
      <c r="I40" s="399">
        <v>36115.493055555555</v>
      </c>
      <c r="J40" s="400">
        <f t="shared" si="0"/>
        <v>1.2500000000582077</v>
      </c>
      <c r="K40" s="401">
        <f t="shared" si="1"/>
        <v>75</v>
      </c>
      <c r="L40" s="402" t="s">
        <v>121</v>
      </c>
      <c r="M40" s="403" t="str">
        <f t="shared" si="2"/>
        <v>--</v>
      </c>
      <c r="N40" s="404">
        <f t="shared" si="3"/>
        <v>20</v>
      </c>
      <c r="O40" s="405">
        <f t="shared" si="4"/>
        <v>5.180175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5.180175</v>
      </c>
      <c r="U40" s="410">
        <v>4.0425</v>
      </c>
      <c r="V40" s="410">
        <f t="shared" si="11"/>
        <v>1.1376749999999998</v>
      </c>
      <c r="W40" s="311"/>
    </row>
    <row r="41" spans="2:23" ht="16.5" customHeight="1">
      <c r="B41" s="396"/>
      <c r="C41" s="397">
        <v>47</v>
      </c>
      <c r="D41" s="314" t="s">
        <v>38</v>
      </c>
      <c r="E41" s="294" t="s">
        <v>53</v>
      </c>
      <c r="F41" s="411">
        <v>13.2</v>
      </c>
      <c r="G41" s="398">
        <f t="shared" si="10"/>
        <v>2.07207</v>
      </c>
      <c r="H41" s="399">
        <v>36115.5</v>
      </c>
      <c r="I41" s="399">
        <v>36115.56736111111</v>
      </c>
      <c r="J41" s="400">
        <f t="shared" si="0"/>
        <v>1.6166666666977108</v>
      </c>
      <c r="K41" s="401">
        <f t="shared" si="1"/>
        <v>97</v>
      </c>
      <c r="L41" s="402" t="s">
        <v>121</v>
      </c>
      <c r="M41" s="403" t="str">
        <f t="shared" si="2"/>
        <v>--</v>
      </c>
      <c r="N41" s="404">
        <f t="shared" si="3"/>
        <v>20</v>
      </c>
      <c r="O41" s="405">
        <f t="shared" si="4"/>
        <v>6.713506800000001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 t="str">
        <f t="shared" si="8"/>
        <v>SI</v>
      </c>
      <c r="T41" s="410">
        <f t="shared" si="9"/>
        <v>6.713506800000001</v>
      </c>
      <c r="U41" s="410">
        <v>5.239080000000001</v>
      </c>
      <c r="V41" s="410">
        <f t="shared" si="11"/>
        <v>1.4744267999999998</v>
      </c>
      <c r="W41" s="311"/>
    </row>
    <row r="42" spans="2:23" ht="16.5" customHeight="1">
      <c r="B42" s="396"/>
      <c r="C42" s="397">
        <v>48</v>
      </c>
      <c r="D42" s="314" t="s">
        <v>41</v>
      </c>
      <c r="E42" s="294" t="s">
        <v>32</v>
      </c>
      <c r="F42" s="411">
        <v>13.2</v>
      </c>
      <c r="G42" s="398">
        <f t="shared" si="10"/>
        <v>2.07207</v>
      </c>
      <c r="H42" s="399">
        <v>36116.490277777775</v>
      </c>
      <c r="I42" s="399">
        <v>36116.552777777775</v>
      </c>
      <c r="J42" s="400">
        <f t="shared" si="0"/>
        <v>1.5</v>
      </c>
      <c r="K42" s="401">
        <f t="shared" si="1"/>
        <v>90</v>
      </c>
      <c r="L42" s="402" t="s">
        <v>121</v>
      </c>
      <c r="M42" s="403" t="str">
        <f t="shared" si="2"/>
        <v>--</v>
      </c>
      <c r="N42" s="404">
        <f t="shared" si="3"/>
        <v>20</v>
      </c>
      <c r="O42" s="405">
        <f t="shared" si="4"/>
        <v>6.21621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 t="str">
        <f t="shared" si="8"/>
        <v>SI</v>
      </c>
      <c r="T42" s="410">
        <f t="shared" si="9"/>
        <v>6.21621</v>
      </c>
      <c r="U42" s="410">
        <v>4.851000000000001</v>
      </c>
      <c r="V42" s="410">
        <f t="shared" si="11"/>
        <v>1.3652099999999994</v>
      </c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35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25"/>
      <c r="U43" s="425"/>
      <c r="V43" s="425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436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334">
        <f>ROUND(SUM(T19:T43),2)</f>
        <v>5124.23</v>
      </c>
      <c r="U44" s="334">
        <f>ROUND(SUM(U19:U43),2)</f>
        <v>3978.07</v>
      </c>
      <c r="V44" s="334">
        <f>ROUND(SUM(V19:V43),2)</f>
        <v>1146.17</v>
      </c>
      <c r="W44" s="429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A16384"/>
  <sheetViews>
    <sheetView zoomScale="75" zoomScaleNormal="75" workbookViewId="0" topLeftCell="C9">
      <selection activeCell="E14" sqref="E14:E16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240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2.79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2.093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2.093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115" t="s">
        <v>226</v>
      </c>
      <c r="V19" s="115" t="s">
        <v>127</v>
      </c>
      <c r="W19" s="374"/>
    </row>
    <row r="20" spans="2:23" s="149" customFormat="1" ht="16.5" customHeight="1" thickTop="1">
      <c r="B20" s="375"/>
      <c r="C20" s="376"/>
      <c r="D20" s="279" t="s">
        <v>251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439">
        <f>+'SA (5)'!T44</f>
        <v>5124.23</v>
      </c>
      <c r="U20" s="439">
        <f>+'SA (5)'!U44</f>
        <v>3978.07</v>
      </c>
      <c r="V20" s="439">
        <f>+'SA (5)'!V44</f>
        <v>1146.17</v>
      </c>
      <c r="W20" s="166"/>
    </row>
    <row r="21" spans="2:23" s="149" customFormat="1" ht="16.5" customHeight="1">
      <c r="B21" s="375"/>
      <c r="C21" s="385"/>
      <c r="D21" s="386"/>
      <c r="E21" s="386"/>
      <c r="F21" s="292"/>
      <c r="G21" s="387"/>
      <c r="H21" s="292"/>
      <c r="I21" s="388"/>
      <c r="J21" s="291"/>
      <c r="K21" s="389"/>
      <c r="L21" s="390"/>
      <c r="M21" s="292"/>
      <c r="N21" s="391"/>
      <c r="O21" s="392"/>
      <c r="P21" s="393"/>
      <c r="Q21" s="394"/>
      <c r="R21" s="395"/>
      <c r="S21" s="291"/>
      <c r="T21" s="438"/>
      <c r="U21" s="438"/>
      <c r="V21" s="438"/>
      <c r="W21" s="166"/>
    </row>
    <row r="22" spans="2:23" ht="16.5" customHeight="1">
      <c r="B22" s="396"/>
      <c r="C22" s="397">
        <v>49</v>
      </c>
      <c r="D22" s="314" t="s">
        <v>41</v>
      </c>
      <c r="E22" s="294" t="s">
        <v>42</v>
      </c>
      <c r="F22" s="294">
        <v>13.2</v>
      </c>
      <c r="G22" s="398">
        <f>IF(OR(F22=132,F22=66),$E$14,IF(F22=33,$E$15,$E$16))*$F$17</f>
        <v>2.07207</v>
      </c>
      <c r="H22" s="399">
        <v>36116.55347222222</v>
      </c>
      <c r="I22" s="399">
        <v>36116.58472222222</v>
      </c>
      <c r="J22" s="400">
        <f aca="true" t="shared" si="0" ref="J22:J43">IF(H22="","",(I22-H22)*24)</f>
        <v>0.75</v>
      </c>
      <c r="K22" s="401">
        <f aca="true" t="shared" si="1" ref="K22:K43">IF(I22="","",ROUND((I22-H22)*24*60,0))</f>
        <v>45</v>
      </c>
      <c r="L22" s="402" t="s">
        <v>121</v>
      </c>
      <c r="M22" s="403" t="str">
        <f aca="true" t="shared" si="2" ref="M22:M43">IF(L22="","",IF(OR(L22="P",L22="RP"),"--","NO"))</f>
        <v>--</v>
      </c>
      <c r="N22" s="404">
        <f aca="true" t="shared" si="3" ref="N22:N43">IF(OR(F22=132,F22=66),$F$14,IF(F22=33,$F$15,$F$16))</f>
        <v>20</v>
      </c>
      <c r="O22" s="405">
        <f aca="true" t="shared" si="4" ref="O22:O43">IF(L22="P",G22*N22*0.1*ROUND(K22/60,2),"--")</f>
        <v>3.108105</v>
      </c>
      <c r="P22" s="406" t="str">
        <f aca="true" t="shared" si="5" ref="P22:P43">IF(M22="NO",IF(L22="F",G22*N22,"--"),"--")</f>
        <v>--</v>
      </c>
      <c r="Q22" s="407" t="str">
        <f aca="true" t="shared" si="6" ref="Q22:Q43">IF(L22="F",G22*N22*ROUND(K22/60,2),"--")</f>
        <v>--</v>
      </c>
      <c r="R22" s="408" t="str">
        <f aca="true" t="shared" si="7" ref="R22:R43">IF(L22="RF",G22*N22*ROUND(K22/60,2),"--")</f>
        <v>--</v>
      </c>
      <c r="S22" s="409" t="str">
        <f aca="true" t="shared" si="8" ref="S22:S43">IF(D22="","","SI")</f>
        <v>SI</v>
      </c>
      <c r="T22" s="410">
        <f aca="true" t="shared" si="9" ref="T22:T43">IF(D22="","",IF(F22="500/220",0,IF(S22="SI",SUM(O22:R22),2*SUM(O22:R22))))</f>
        <v>3.108105</v>
      </c>
      <c r="U22" s="410">
        <v>2.4255000000000004</v>
      </c>
      <c r="V22" s="410">
        <f aca="true" t="shared" si="10" ref="V22:V27">+T22-U22</f>
        <v>0.6826049999999997</v>
      </c>
      <c r="W22" s="311"/>
    </row>
    <row r="23" spans="2:23" ht="16.5" customHeight="1">
      <c r="B23" s="396"/>
      <c r="C23" s="397">
        <v>50</v>
      </c>
      <c r="D23" s="314" t="s">
        <v>36</v>
      </c>
      <c r="E23" s="294" t="s">
        <v>37</v>
      </c>
      <c r="F23" s="294">
        <v>66</v>
      </c>
      <c r="G23" s="398">
        <f aca="true" t="shared" si="11" ref="G23:G28">IF(OR(F23=132,F23=66),$E$14,IF(F23=33,$E$15,$E$16))*$F$17</f>
        <v>2.7621</v>
      </c>
      <c r="H23" s="399">
        <v>36122.42986111111</v>
      </c>
      <c r="I23" s="399">
        <v>36122.55694444444</v>
      </c>
      <c r="J23" s="400">
        <f t="shared" si="0"/>
        <v>3.0499999999883585</v>
      </c>
      <c r="K23" s="401">
        <f t="shared" si="1"/>
        <v>183</v>
      </c>
      <c r="L23" s="402" t="s">
        <v>121</v>
      </c>
      <c r="M23" s="403" t="str">
        <f t="shared" si="2"/>
        <v>--</v>
      </c>
      <c r="N23" s="404">
        <f t="shared" si="3"/>
        <v>50</v>
      </c>
      <c r="O23" s="405">
        <f t="shared" si="4"/>
        <v>42.12202500000001</v>
      </c>
      <c r="P23" s="406" t="str">
        <f t="shared" si="5"/>
        <v>--</v>
      </c>
      <c r="Q23" s="407" t="str">
        <f t="shared" si="6"/>
        <v>--</v>
      </c>
      <c r="R23" s="408" t="str">
        <f t="shared" si="7"/>
        <v>--</v>
      </c>
      <c r="S23" s="409" t="str">
        <f t="shared" si="8"/>
        <v>SI</v>
      </c>
      <c r="T23" s="410">
        <f t="shared" si="9"/>
        <v>42.12202500000001</v>
      </c>
      <c r="U23" s="410">
        <v>32.879000000000005</v>
      </c>
      <c r="V23" s="410">
        <f t="shared" si="10"/>
        <v>9.243025000000003</v>
      </c>
      <c r="W23" s="311"/>
    </row>
    <row r="24" spans="2:23" ht="16.5" customHeight="1">
      <c r="B24" s="396"/>
      <c r="C24" s="397">
        <v>51</v>
      </c>
      <c r="D24" s="314" t="s">
        <v>38</v>
      </c>
      <c r="E24" s="294" t="s">
        <v>56</v>
      </c>
      <c r="F24" s="294">
        <v>13.2</v>
      </c>
      <c r="G24" s="398">
        <f t="shared" si="11"/>
        <v>2.07207</v>
      </c>
      <c r="H24" s="399">
        <v>36123.4375</v>
      </c>
      <c r="I24" s="399">
        <v>36123.49375</v>
      </c>
      <c r="J24" s="400">
        <f t="shared" si="0"/>
        <v>1.3500000000349246</v>
      </c>
      <c r="K24" s="401">
        <f t="shared" si="1"/>
        <v>81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5.594589000000001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5.594589000000001</v>
      </c>
      <c r="U24" s="410">
        <v>4.365900000000001</v>
      </c>
      <c r="V24" s="410">
        <f t="shared" si="10"/>
        <v>1.2286890000000001</v>
      </c>
      <c r="W24" s="311"/>
    </row>
    <row r="25" spans="2:23" ht="16.5" customHeight="1">
      <c r="B25" s="363"/>
      <c r="C25" s="397">
        <v>52</v>
      </c>
      <c r="D25" s="314" t="s">
        <v>38</v>
      </c>
      <c r="E25" s="294" t="s">
        <v>55</v>
      </c>
      <c r="F25" s="294">
        <v>13.2</v>
      </c>
      <c r="G25" s="398">
        <f t="shared" si="11"/>
        <v>2.07207</v>
      </c>
      <c r="H25" s="399">
        <v>36123.506944444445</v>
      </c>
      <c r="I25" s="399">
        <v>36123.54652777778</v>
      </c>
      <c r="J25" s="400">
        <f t="shared" si="0"/>
        <v>0.9499999999534339</v>
      </c>
      <c r="K25" s="401">
        <f t="shared" si="1"/>
        <v>57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3.936933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3.936933</v>
      </c>
      <c r="U25" s="410">
        <v>3.0723000000000003</v>
      </c>
      <c r="V25" s="410">
        <f t="shared" si="10"/>
        <v>0.8646329999999995</v>
      </c>
      <c r="W25" s="311"/>
    </row>
    <row r="26" spans="2:23" ht="16.5" customHeight="1">
      <c r="B26" s="396"/>
      <c r="C26" s="397">
        <v>53</v>
      </c>
      <c r="D26" s="314" t="s">
        <v>44</v>
      </c>
      <c r="E26" s="294" t="s">
        <v>45</v>
      </c>
      <c r="F26" s="294">
        <v>132</v>
      </c>
      <c r="G26" s="398">
        <f t="shared" si="11"/>
        <v>2.7621</v>
      </c>
      <c r="H26" s="399">
        <v>36128.33888888889</v>
      </c>
      <c r="I26" s="399">
        <v>36128.41875</v>
      </c>
      <c r="J26" s="400">
        <f t="shared" si="0"/>
        <v>1.9166666666278616</v>
      </c>
      <c r="K26" s="401">
        <f t="shared" si="1"/>
        <v>115</v>
      </c>
      <c r="L26" s="402" t="s">
        <v>121</v>
      </c>
      <c r="M26" s="403" t="str">
        <f t="shared" si="2"/>
        <v>--</v>
      </c>
      <c r="N26" s="404">
        <f t="shared" si="3"/>
        <v>50</v>
      </c>
      <c r="O26" s="405">
        <f t="shared" si="4"/>
        <v>26.516160000000003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26.516160000000003</v>
      </c>
      <c r="U26" s="410">
        <v>20.6976</v>
      </c>
      <c r="V26" s="410">
        <f t="shared" si="10"/>
        <v>5.8185600000000015</v>
      </c>
      <c r="W26" s="311"/>
    </row>
    <row r="27" spans="2:23" ht="16.5" customHeight="1">
      <c r="B27" s="396"/>
      <c r="C27" s="397">
        <v>54</v>
      </c>
      <c r="D27" s="314" t="s">
        <v>36</v>
      </c>
      <c r="E27" s="294" t="s">
        <v>37</v>
      </c>
      <c r="F27" s="294">
        <v>66</v>
      </c>
      <c r="G27" s="398">
        <f t="shared" si="11"/>
        <v>2.7621</v>
      </c>
      <c r="H27" s="399">
        <v>36129.42361111111</v>
      </c>
      <c r="I27" s="399">
        <v>36129.48888888889</v>
      </c>
      <c r="J27" s="400">
        <f t="shared" si="0"/>
        <v>1.5666666667093523</v>
      </c>
      <c r="K27" s="401">
        <f t="shared" si="1"/>
        <v>94</v>
      </c>
      <c r="L27" s="402" t="s">
        <v>121</v>
      </c>
      <c r="M27" s="403" t="str">
        <f t="shared" si="2"/>
        <v>--</v>
      </c>
      <c r="N27" s="404">
        <f t="shared" si="3"/>
        <v>50</v>
      </c>
      <c r="O27" s="405">
        <f t="shared" si="4"/>
        <v>21.682485000000007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21.682485000000007</v>
      </c>
      <c r="U27" s="410">
        <v>16.9246</v>
      </c>
      <c r="V27" s="410">
        <f t="shared" si="10"/>
        <v>4.757885000000005</v>
      </c>
      <c r="W27" s="311"/>
    </row>
    <row r="28" spans="2:23" ht="16.5" customHeight="1" thickBot="1">
      <c r="B28" s="396"/>
      <c r="C28" s="589"/>
      <c r="D28" s="293"/>
      <c r="E28" s="475"/>
      <c r="F28" s="475"/>
      <c r="G28" s="398">
        <f t="shared" si="11"/>
        <v>2.07207</v>
      </c>
      <c r="H28" s="590"/>
      <c r="I28" s="590"/>
      <c r="J28" s="591">
        <f t="shared" si="0"/>
      </c>
      <c r="K28" s="592">
        <f t="shared" si="1"/>
      </c>
      <c r="L28" s="593"/>
      <c r="M28" s="594">
        <f t="shared" si="2"/>
      </c>
      <c r="N28" s="595">
        <f t="shared" si="3"/>
        <v>20</v>
      </c>
      <c r="O28" s="596" t="str">
        <f t="shared" si="4"/>
        <v>--</v>
      </c>
      <c r="P28" s="597" t="str">
        <f t="shared" si="5"/>
        <v>--</v>
      </c>
      <c r="Q28" s="598" t="str">
        <f t="shared" si="6"/>
        <v>--</v>
      </c>
      <c r="R28" s="599" t="str">
        <f t="shared" si="7"/>
        <v>--</v>
      </c>
      <c r="S28" s="600">
        <f t="shared" si="8"/>
      </c>
      <c r="T28" s="601">
        <f t="shared" si="9"/>
      </c>
      <c r="U28" s="601"/>
      <c r="V28" s="601"/>
      <c r="W28" s="311"/>
    </row>
    <row r="29" spans="2:27" s="78" customFormat="1" ht="16.5" customHeight="1" thickBot="1" thickTop="1">
      <c r="B29" s="130"/>
      <c r="C29" s="605" t="s">
        <v>224</v>
      </c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7"/>
      <c r="W29" s="187"/>
      <c r="X29" s="8"/>
      <c r="Y29" s="8"/>
      <c r="Z29" s="8"/>
      <c r="AA29" s="8"/>
    </row>
    <row r="30" spans="2:23" ht="16.5" customHeight="1" thickTop="1">
      <c r="B30" s="396"/>
      <c r="C30" s="397">
        <v>27</v>
      </c>
      <c r="D30" s="585" t="s">
        <v>25</v>
      </c>
      <c r="E30" s="294" t="s">
        <v>136</v>
      </c>
      <c r="F30" s="294">
        <v>33</v>
      </c>
      <c r="G30" s="398">
        <f aca="true" t="shared" si="12" ref="G30:G40">IF(OR(F30=132,F30=66),$E$14,IF(F30=33,$E$15,$E$16))*$F$17</f>
        <v>2.07207</v>
      </c>
      <c r="H30" s="399">
        <v>36130.461805555555</v>
      </c>
      <c r="I30" s="399">
        <v>36130.561111111114</v>
      </c>
      <c r="J30" s="400">
        <f t="shared" si="0"/>
        <v>2.3833333334187046</v>
      </c>
      <c r="K30" s="401">
        <f t="shared" si="1"/>
        <v>143</v>
      </c>
      <c r="L30" s="402" t="s">
        <v>121</v>
      </c>
      <c r="M30" s="403" t="str">
        <f t="shared" si="2"/>
        <v>--</v>
      </c>
      <c r="N30" s="404">
        <f t="shared" si="3"/>
        <v>25</v>
      </c>
      <c r="O30" s="586">
        <f t="shared" si="4"/>
        <v>12.3288165</v>
      </c>
      <c r="P30" s="587" t="str">
        <f t="shared" si="5"/>
        <v>--</v>
      </c>
      <c r="Q30" s="588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12.3288165</v>
      </c>
      <c r="U30" s="410">
        <v>9.621149999999998</v>
      </c>
      <c r="V30" s="410">
        <f aca="true" t="shared" si="13" ref="V30:V39">+T30-U30</f>
        <v>2.707666500000002</v>
      </c>
      <c r="W30" s="311"/>
    </row>
    <row r="31" spans="2:23" ht="16.5" customHeight="1">
      <c r="B31" s="396"/>
      <c r="C31" s="397">
        <v>28</v>
      </c>
      <c r="D31" s="314" t="s">
        <v>57</v>
      </c>
      <c r="E31" s="294" t="s">
        <v>58</v>
      </c>
      <c r="F31" s="411">
        <v>33</v>
      </c>
      <c r="G31" s="398">
        <f t="shared" si="12"/>
        <v>2.07207</v>
      </c>
      <c r="H31" s="399">
        <v>36131.33541666667</v>
      </c>
      <c r="I31" s="399">
        <v>36131.558333333334</v>
      </c>
      <c r="J31" s="400">
        <f t="shared" si="0"/>
        <v>5.349999999976717</v>
      </c>
      <c r="K31" s="401">
        <f t="shared" si="1"/>
        <v>321</v>
      </c>
      <c r="L31" s="402" t="s">
        <v>121</v>
      </c>
      <c r="M31" s="403" t="str">
        <f t="shared" si="2"/>
        <v>--</v>
      </c>
      <c r="N31" s="404">
        <f t="shared" si="3"/>
        <v>25</v>
      </c>
      <c r="O31" s="405">
        <f t="shared" si="4"/>
        <v>27.71393625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27.71393625</v>
      </c>
      <c r="U31" s="410">
        <v>21.627374999999997</v>
      </c>
      <c r="V31" s="410">
        <f t="shared" si="13"/>
        <v>6.086561250000003</v>
      </c>
      <c r="W31" s="311"/>
    </row>
    <row r="32" spans="2:23" ht="16.5" customHeight="1">
      <c r="B32" s="396"/>
      <c r="C32" s="397">
        <v>29</v>
      </c>
      <c r="D32" s="314" t="s">
        <v>57</v>
      </c>
      <c r="E32" s="294" t="s">
        <v>137</v>
      </c>
      <c r="F32" s="411">
        <v>33</v>
      </c>
      <c r="G32" s="398">
        <f t="shared" si="12"/>
        <v>2.07207</v>
      </c>
      <c r="H32" s="399">
        <v>36131.33611111111</v>
      </c>
      <c r="I32" s="399">
        <v>36131.55694444444</v>
      </c>
      <c r="J32" s="400">
        <f t="shared" si="0"/>
        <v>5.2999999999883585</v>
      </c>
      <c r="K32" s="401">
        <f t="shared" si="1"/>
        <v>318</v>
      </c>
      <c r="L32" s="402" t="s">
        <v>121</v>
      </c>
      <c r="M32" s="403" t="str">
        <f t="shared" si="2"/>
        <v>--</v>
      </c>
      <c r="N32" s="404">
        <f t="shared" si="3"/>
        <v>25</v>
      </c>
      <c r="O32" s="405">
        <f t="shared" si="4"/>
        <v>27.4549275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27.4549275</v>
      </c>
      <c r="U32" s="410">
        <v>21.42525</v>
      </c>
      <c r="V32" s="410">
        <f t="shared" si="13"/>
        <v>6.029677500000002</v>
      </c>
      <c r="W32" s="311"/>
    </row>
    <row r="33" spans="2:23" ht="16.5" customHeight="1">
      <c r="B33" s="396"/>
      <c r="C33" s="397">
        <v>30</v>
      </c>
      <c r="D33" s="314" t="s">
        <v>57</v>
      </c>
      <c r="E33" s="294" t="s">
        <v>138</v>
      </c>
      <c r="F33" s="411">
        <v>33</v>
      </c>
      <c r="G33" s="398">
        <f t="shared" si="12"/>
        <v>2.07207</v>
      </c>
      <c r="H33" s="399">
        <v>36138.42222222222</v>
      </c>
      <c r="I33" s="399">
        <v>36138.572916666664</v>
      </c>
      <c r="J33" s="400">
        <f t="shared" si="0"/>
        <v>3.6166666665812954</v>
      </c>
      <c r="K33" s="401">
        <f t="shared" si="1"/>
        <v>217</v>
      </c>
      <c r="L33" s="402" t="s">
        <v>121</v>
      </c>
      <c r="M33" s="403" t="str">
        <f t="shared" si="2"/>
        <v>--</v>
      </c>
      <c r="N33" s="404">
        <f t="shared" si="3"/>
        <v>25</v>
      </c>
      <c r="O33" s="405">
        <f t="shared" si="4"/>
        <v>18.752233500000003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18.752233500000003</v>
      </c>
      <c r="U33" s="410">
        <v>14.633849999999999</v>
      </c>
      <c r="V33" s="410">
        <f t="shared" si="13"/>
        <v>4.118383500000004</v>
      </c>
      <c r="W33" s="311"/>
    </row>
    <row r="34" spans="2:23" ht="16.5" customHeight="1">
      <c r="B34" s="396"/>
      <c r="C34" s="397">
        <v>31</v>
      </c>
      <c r="D34" s="314" t="s">
        <v>38</v>
      </c>
      <c r="E34" s="294" t="s">
        <v>53</v>
      </c>
      <c r="F34" s="411">
        <v>13.2</v>
      </c>
      <c r="G34" s="398">
        <f t="shared" si="12"/>
        <v>2.07207</v>
      </c>
      <c r="H34" s="399">
        <v>36138.42569444444</v>
      </c>
      <c r="I34" s="399">
        <v>36138.46319444444</v>
      </c>
      <c r="J34" s="400">
        <f t="shared" si="0"/>
        <v>0.8999999999650754</v>
      </c>
      <c r="K34" s="401">
        <f t="shared" si="1"/>
        <v>54</v>
      </c>
      <c r="L34" s="402" t="s">
        <v>121</v>
      </c>
      <c r="M34" s="403" t="str">
        <f t="shared" si="2"/>
        <v>--</v>
      </c>
      <c r="N34" s="404">
        <f t="shared" si="3"/>
        <v>20</v>
      </c>
      <c r="O34" s="405">
        <f t="shared" si="4"/>
        <v>3.7297260000000003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3.7297260000000003</v>
      </c>
      <c r="U34" s="410">
        <v>2.9106000000000005</v>
      </c>
      <c r="V34" s="410">
        <f t="shared" si="13"/>
        <v>0.8191259999999998</v>
      </c>
      <c r="W34" s="311"/>
    </row>
    <row r="35" spans="2:23" ht="16.5" customHeight="1">
      <c r="B35" s="396"/>
      <c r="C35" s="397">
        <v>32</v>
      </c>
      <c r="D35" s="314" t="s">
        <v>139</v>
      </c>
      <c r="E35" s="294" t="s">
        <v>140</v>
      </c>
      <c r="F35" s="411">
        <v>132</v>
      </c>
      <c r="G35" s="398">
        <f t="shared" si="12"/>
        <v>2.7621</v>
      </c>
      <c r="H35" s="399">
        <v>36139.584027777775</v>
      </c>
      <c r="I35" s="399">
        <v>36139.78194444445</v>
      </c>
      <c r="J35" s="400">
        <f t="shared" si="0"/>
        <v>4.750000000116415</v>
      </c>
      <c r="K35" s="401">
        <f t="shared" si="1"/>
        <v>285</v>
      </c>
      <c r="L35" s="402" t="s">
        <v>121</v>
      </c>
      <c r="M35" s="403" t="str">
        <f t="shared" si="2"/>
        <v>--</v>
      </c>
      <c r="N35" s="404">
        <f t="shared" si="3"/>
        <v>50</v>
      </c>
      <c r="O35" s="405">
        <f t="shared" si="4"/>
        <v>65.59987500000001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65.59987500000001</v>
      </c>
      <c r="U35" s="410">
        <v>51.205</v>
      </c>
      <c r="V35" s="410">
        <f t="shared" si="13"/>
        <v>14.394875000000013</v>
      </c>
      <c r="W35" s="311"/>
    </row>
    <row r="36" spans="2:23" ht="16.5" customHeight="1">
      <c r="B36" s="396"/>
      <c r="C36" s="397">
        <v>33</v>
      </c>
      <c r="D36" s="314" t="s">
        <v>57</v>
      </c>
      <c r="E36" s="294" t="s">
        <v>124</v>
      </c>
      <c r="F36" s="411">
        <v>13.2</v>
      </c>
      <c r="G36" s="398">
        <f t="shared" si="12"/>
        <v>2.07207</v>
      </c>
      <c r="H36" s="399">
        <v>36144.333333333336</v>
      </c>
      <c r="I36" s="399">
        <v>36144.50902777778</v>
      </c>
      <c r="J36" s="400">
        <f t="shared" si="0"/>
        <v>4.21666666661622</v>
      </c>
      <c r="K36" s="401">
        <f t="shared" si="1"/>
        <v>253</v>
      </c>
      <c r="L36" s="402" t="s">
        <v>121</v>
      </c>
      <c r="M36" s="403" t="str">
        <f t="shared" si="2"/>
        <v>--</v>
      </c>
      <c r="N36" s="404">
        <f t="shared" si="3"/>
        <v>20</v>
      </c>
      <c r="O36" s="405">
        <f t="shared" si="4"/>
        <v>17.4882708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17.4882708</v>
      </c>
      <c r="U36" s="410">
        <v>13.647480000000002</v>
      </c>
      <c r="V36" s="410">
        <f t="shared" si="13"/>
        <v>3.840790799999997</v>
      </c>
      <c r="W36" s="311"/>
    </row>
    <row r="37" spans="2:23" ht="16.5" customHeight="1">
      <c r="B37" s="396"/>
      <c r="C37" s="397">
        <v>34</v>
      </c>
      <c r="D37" s="314" t="s">
        <v>57</v>
      </c>
      <c r="E37" s="294" t="s">
        <v>141</v>
      </c>
      <c r="F37" s="411">
        <v>33</v>
      </c>
      <c r="G37" s="398">
        <f t="shared" si="12"/>
        <v>2.07207</v>
      </c>
      <c r="H37" s="399">
        <v>36145.336805555555</v>
      </c>
      <c r="I37" s="399">
        <v>36145.625</v>
      </c>
      <c r="J37" s="400">
        <f t="shared" si="0"/>
        <v>6.916666666686069</v>
      </c>
      <c r="K37" s="401">
        <f t="shared" si="1"/>
        <v>415</v>
      </c>
      <c r="L37" s="402" t="s">
        <v>121</v>
      </c>
      <c r="M37" s="403" t="str">
        <f t="shared" si="2"/>
        <v>--</v>
      </c>
      <c r="N37" s="404">
        <f t="shared" si="3"/>
        <v>25</v>
      </c>
      <c r="O37" s="405">
        <f t="shared" si="4"/>
        <v>35.846811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35.846811</v>
      </c>
      <c r="U37" s="410">
        <v>27.974099999999996</v>
      </c>
      <c r="V37" s="410">
        <f t="shared" si="13"/>
        <v>7.872711000000006</v>
      </c>
      <c r="W37" s="311"/>
    </row>
    <row r="38" spans="2:23" ht="16.5" customHeight="1">
      <c r="B38" s="396"/>
      <c r="C38" s="397">
        <v>35</v>
      </c>
      <c r="D38" s="314" t="s">
        <v>44</v>
      </c>
      <c r="E38" s="294" t="s">
        <v>45</v>
      </c>
      <c r="F38" s="411">
        <v>132</v>
      </c>
      <c r="G38" s="398">
        <f t="shared" si="12"/>
        <v>2.7621</v>
      </c>
      <c r="H38" s="399">
        <v>36149.25</v>
      </c>
      <c r="I38" s="399">
        <v>36149.39513888889</v>
      </c>
      <c r="J38" s="400">
        <f t="shared" si="0"/>
        <v>3.483333333337214</v>
      </c>
      <c r="K38" s="401">
        <f t="shared" si="1"/>
        <v>209</v>
      </c>
      <c r="L38" s="402" t="s">
        <v>121</v>
      </c>
      <c r="M38" s="403" t="str">
        <f t="shared" si="2"/>
        <v>--</v>
      </c>
      <c r="N38" s="404">
        <f t="shared" si="3"/>
        <v>50</v>
      </c>
      <c r="O38" s="405">
        <f t="shared" si="4"/>
        <v>48.06054000000001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48.06054000000001</v>
      </c>
      <c r="U38" s="410">
        <v>37.5144</v>
      </c>
      <c r="V38" s="410">
        <f t="shared" si="13"/>
        <v>10.546140000000008</v>
      </c>
      <c r="W38" s="311"/>
    </row>
    <row r="39" spans="2:23" ht="16.5" customHeight="1">
      <c r="B39" s="396"/>
      <c r="C39" s="397">
        <v>36</v>
      </c>
      <c r="D39" s="314" t="s">
        <v>38</v>
      </c>
      <c r="E39" s="294" t="s">
        <v>52</v>
      </c>
      <c r="F39" s="411">
        <v>13.2</v>
      </c>
      <c r="G39" s="398">
        <f t="shared" si="12"/>
        <v>2.07207</v>
      </c>
      <c r="H39" s="399">
        <v>36150.43263888889</v>
      </c>
      <c r="I39" s="399">
        <v>36150.490277777775</v>
      </c>
      <c r="J39" s="400">
        <f t="shared" si="0"/>
        <v>1.3833333333022892</v>
      </c>
      <c r="K39" s="401">
        <f t="shared" si="1"/>
        <v>83</v>
      </c>
      <c r="L39" s="402" t="s">
        <v>121</v>
      </c>
      <c r="M39" s="403" t="str">
        <f t="shared" si="2"/>
        <v>--</v>
      </c>
      <c r="N39" s="404">
        <f t="shared" si="3"/>
        <v>20</v>
      </c>
      <c r="O39" s="405">
        <f t="shared" si="4"/>
        <v>5.718913199999999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 t="str">
        <f t="shared" si="8"/>
        <v>SI</v>
      </c>
      <c r="T39" s="410">
        <f t="shared" si="9"/>
        <v>5.718913199999999</v>
      </c>
      <c r="U39" s="410">
        <v>4.46292</v>
      </c>
      <c r="V39" s="410">
        <f t="shared" si="13"/>
        <v>1.255993199999999</v>
      </c>
      <c r="W39" s="311"/>
    </row>
    <row r="40" spans="2:23" ht="16.5" customHeight="1" thickBot="1">
      <c r="B40" s="396"/>
      <c r="C40" s="589"/>
      <c r="D40" s="293"/>
      <c r="E40" s="475"/>
      <c r="F40" s="602"/>
      <c r="G40" s="398">
        <f t="shared" si="12"/>
        <v>2.07207</v>
      </c>
      <c r="H40" s="590"/>
      <c r="I40" s="590"/>
      <c r="J40" s="591">
        <f t="shared" si="0"/>
      </c>
      <c r="K40" s="592">
        <f t="shared" si="1"/>
      </c>
      <c r="L40" s="593"/>
      <c r="M40" s="594">
        <f t="shared" si="2"/>
      </c>
      <c r="N40" s="595">
        <f t="shared" si="3"/>
        <v>20</v>
      </c>
      <c r="O40" s="596" t="str">
        <f t="shared" si="4"/>
        <v>--</v>
      </c>
      <c r="P40" s="597" t="str">
        <f t="shared" si="5"/>
        <v>--</v>
      </c>
      <c r="Q40" s="598" t="str">
        <f t="shared" si="6"/>
        <v>--</v>
      </c>
      <c r="R40" s="599" t="str">
        <f t="shared" si="7"/>
        <v>--</v>
      </c>
      <c r="S40" s="600">
        <f t="shared" si="8"/>
      </c>
      <c r="T40" s="601">
        <f t="shared" si="9"/>
      </c>
      <c r="U40" s="601"/>
      <c r="V40" s="601"/>
      <c r="W40" s="311"/>
    </row>
    <row r="41" spans="2:27" s="78" customFormat="1" ht="16.5" customHeight="1" thickBot="1" thickTop="1">
      <c r="B41" s="130"/>
      <c r="C41" s="605" t="s">
        <v>228</v>
      </c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7"/>
      <c r="W41" s="187"/>
      <c r="X41" s="8"/>
      <c r="Y41" s="8"/>
      <c r="Z41" s="8"/>
      <c r="AA41" s="8"/>
    </row>
    <row r="42" spans="2:23" ht="16.5" customHeight="1" thickTop="1">
      <c r="B42" s="396"/>
      <c r="C42" s="397">
        <v>23</v>
      </c>
      <c r="D42" s="585" t="s">
        <v>25</v>
      </c>
      <c r="E42" s="294" t="s">
        <v>149</v>
      </c>
      <c r="F42" s="603">
        <v>33</v>
      </c>
      <c r="G42" s="398">
        <f>IF(OR(F42=132,F42=66),$E$14,IF(F42=33,$E$15,$E$16))*$F$17</f>
        <v>2.07207</v>
      </c>
      <c r="H42" s="399">
        <v>36186.436111111114</v>
      </c>
      <c r="I42" s="399">
        <v>36186.541666666664</v>
      </c>
      <c r="J42" s="400">
        <f t="shared" si="0"/>
        <v>2.533333333209157</v>
      </c>
      <c r="K42" s="401">
        <f t="shared" si="1"/>
        <v>152</v>
      </c>
      <c r="L42" s="402" t="s">
        <v>121</v>
      </c>
      <c r="M42" s="403" t="str">
        <f t="shared" si="2"/>
        <v>--</v>
      </c>
      <c r="N42" s="404">
        <f t="shared" si="3"/>
        <v>25</v>
      </c>
      <c r="O42" s="586">
        <f t="shared" si="4"/>
        <v>13.105842749999999</v>
      </c>
      <c r="P42" s="587" t="str">
        <f t="shared" si="5"/>
        <v>--</v>
      </c>
      <c r="Q42" s="588" t="str">
        <f t="shared" si="6"/>
        <v>--</v>
      </c>
      <c r="R42" s="408" t="str">
        <f t="shared" si="7"/>
        <v>--</v>
      </c>
      <c r="S42" s="409" t="str">
        <f t="shared" si="8"/>
        <v>SI</v>
      </c>
      <c r="T42" s="410">
        <f t="shared" si="9"/>
        <v>13.105842749999999</v>
      </c>
      <c r="U42" s="410">
        <v>10.227524999999998</v>
      </c>
      <c r="V42" s="410">
        <f>+T42-U42</f>
        <v>2.878317750000001</v>
      </c>
      <c r="W42" s="311"/>
    </row>
    <row r="43" spans="2:23" ht="16.5" customHeight="1">
      <c r="B43" s="396"/>
      <c r="C43" s="397"/>
      <c r="D43" s="314"/>
      <c r="E43" s="294"/>
      <c r="F43" s="411"/>
      <c r="G43" s="398">
        <f>IF(OR(F43=132,F43=66),$E$14,IF(F43=33,$E$15,$E$16))*$F$17</f>
        <v>2.07207</v>
      </c>
      <c r="H43" s="399"/>
      <c r="I43" s="399"/>
      <c r="J43" s="400">
        <f t="shared" si="0"/>
      </c>
      <c r="K43" s="401">
        <f t="shared" si="1"/>
      </c>
      <c r="L43" s="402"/>
      <c r="M43" s="403">
        <f t="shared" si="2"/>
      </c>
      <c r="N43" s="404">
        <f t="shared" si="3"/>
        <v>20</v>
      </c>
      <c r="O43" s="405" t="str">
        <f t="shared" si="4"/>
        <v>--</v>
      </c>
      <c r="P43" s="406" t="str">
        <f t="shared" si="5"/>
        <v>--</v>
      </c>
      <c r="Q43" s="407" t="str">
        <f t="shared" si="6"/>
        <v>--</v>
      </c>
      <c r="R43" s="408" t="str">
        <f t="shared" si="7"/>
        <v>--</v>
      </c>
      <c r="S43" s="409">
        <f t="shared" si="8"/>
      </c>
      <c r="T43" s="410">
        <f t="shared" si="9"/>
      </c>
      <c r="U43" s="410"/>
      <c r="V43" s="410"/>
      <c r="W43" s="311"/>
    </row>
    <row r="44" spans="2:23" ht="16.5" customHeight="1" thickBot="1">
      <c r="B44" s="396"/>
      <c r="C44" s="412"/>
      <c r="D44" s="413"/>
      <c r="E44" s="414"/>
      <c r="F44" s="414"/>
      <c r="G44" s="415"/>
      <c r="H44" s="414"/>
      <c r="I44" s="416"/>
      <c r="J44" s="417"/>
      <c r="K44" s="417"/>
      <c r="L44" s="416"/>
      <c r="M44" s="418"/>
      <c r="N44" s="419"/>
      <c r="O44" s="420"/>
      <c r="P44" s="421"/>
      <c r="Q44" s="422"/>
      <c r="R44" s="423"/>
      <c r="S44" s="424"/>
      <c r="T44" s="437"/>
      <c r="U44" s="437"/>
      <c r="V44" s="437"/>
      <c r="W44" s="311"/>
    </row>
    <row r="45" spans="2:23" ht="16.5" customHeight="1" thickBot="1" thickTop="1">
      <c r="B45" s="239"/>
      <c r="C45" s="208" t="s">
        <v>120</v>
      </c>
      <c r="D45" s="209" t="s">
        <v>110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426"/>
      <c r="P45" s="427"/>
      <c r="Q45" s="427"/>
      <c r="R45" s="427"/>
      <c r="S45" s="428"/>
      <c r="T45" s="334">
        <f>ROUND(SUM(T20:T44),2)</f>
        <v>5502.99</v>
      </c>
      <c r="U45" s="334">
        <f>ROUND(SUM(U20:U44),2)</f>
        <v>4273.68</v>
      </c>
      <c r="V45" s="334">
        <f>ROUND(SUM(V20:V44),2)</f>
        <v>1229.32</v>
      </c>
      <c r="W45" s="311"/>
    </row>
    <row r="46" spans="2:23" s="335" customFormat="1" ht="9.75" thickTop="1">
      <c r="B46" s="336"/>
      <c r="C46" s="219"/>
      <c r="D46" s="220" t="s">
        <v>111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430"/>
      <c r="P46" s="430"/>
      <c r="Q46" s="430"/>
      <c r="R46" s="430"/>
      <c r="S46" s="430"/>
      <c r="T46" s="338"/>
      <c r="U46" s="338"/>
      <c r="V46" s="338"/>
      <c r="W46" s="339"/>
    </row>
    <row r="47" spans="2:23" ht="16.5" customHeight="1" thickBot="1">
      <c r="B47" s="340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431"/>
    </row>
    <row r="48" ht="13.5" thickTop="1"/>
    <row r="16384" ht="12.75">
      <c r="D16384" s="432"/>
    </row>
  </sheetData>
  <mergeCells count="3">
    <mergeCell ref="C29:V29"/>
    <mergeCell ref="C41:V41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AA16381"/>
  <sheetViews>
    <sheetView zoomScale="75" zoomScaleNormal="75" workbookViewId="0" topLeftCell="A8">
      <selection activeCell="E14" sqref="E14:E16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240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2.79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2.093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2.093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115" t="s">
        <v>226</v>
      </c>
      <c r="V19" s="115" t="s">
        <v>127</v>
      </c>
      <c r="W19" s="374"/>
    </row>
    <row r="20" spans="2:23" s="149" customFormat="1" ht="16.5" customHeight="1" thickTop="1">
      <c r="B20" s="375"/>
      <c r="C20" s="376"/>
      <c r="D20" s="279" t="s">
        <v>252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(6)'!T45</f>
        <v>5502.99</v>
      </c>
      <c r="U20" s="148">
        <f>+'SA (6)'!U45</f>
        <v>4273.68</v>
      </c>
      <c r="V20" s="148">
        <f>+'SA (6)'!V45</f>
        <v>1229.32</v>
      </c>
      <c r="W20" s="166"/>
    </row>
    <row r="21" spans="2:23" s="149" customFormat="1" ht="16.5" customHeight="1" thickBot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</row>
    <row r="22" spans="2:27" s="78" customFormat="1" ht="16.5" customHeight="1" thickBot="1" thickTop="1">
      <c r="B22" s="130"/>
      <c r="C22" s="605" t="s">
        <v>229</v>
      </c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7"/>
      <c r="W22" s="187"/>
      <c r="X22" s="8"/>
      <c r="Y22" s="8"/>
      <c r="Z22" s="8"/>
      <c r="AA22" s="8"/>
    </row>
    <row r="23" spans="2:23" ht="16.5" customHeight="1" thickTop="1">
      <c r="B23" s="396"/>
      <c r="C23" s="397">
        <v>13</v>
      </c>
      <c r="D23" s="585" t="s">
        <v>38</v>
      </c>
      <c r="E23" s="294" t="s">
        <v>49</v>
      </c>
      <c r="F23" s="294">
        <v>13.2</v>
      </c>
      <c r="G23" s="398">
        <f>IF(OR(F23=132,F23=66),$E$14,IF(F23=33,$E$15,$E$16))*$F$17</f>
        <v>2.07207</v>
      </c>
      <c r="H23" s="399">
        <v>36192.49097222222</v>
      </c>
      <c r="I23" s="399">
        <v>36192.56805555556</v>
      </c>
      <c r="J23" s="400">
        <f aca="true" t="shared" si="0" ref="J23:J40">IF(H23="","",(I23-H23)*24)</f>
        <v>1.8500000000931323</v>
      </c>
      <c r="K23" s="401">
        <f aca="true" t="shared" si="1" ref="K23:K40">IF(I23="","",ROUND((I23-H23)*24*60,0))</f>
        <v>111</v>
      </c>
      <c r="L23" s="402" t="s">
        <v>121</v>
      </c>
      <c r="M23" s="403" t="str">
        <f aca="true" t="shared" si="2" ref="M23:M40">IF(L23="","",IF(OR(L23="P",L23="RP"),"--","NO"))</f>
        <v>--</v>
      </c>
      <c r="N23" s="404">
        <f aca="true" t="shared" si="3" ref="N23:N40">IF(OR(F23=132,F23=66),$F$14,IF(F23=33,$F$15,$F$16))</f>
        <v>20</v>
      </c>
      <c r="O23" s="586">
        <f aca="true" t="shared" si="4" ref="O23:O40">IF(L23="P",G23*N23*0.1*ROUND(K23/60,2),"--")</f>
        <v>7.666659000000001</v>
      </c>
      <c r="P23" s="587" t="str">
        <f aca="true" t="shared" si="5" ref="P23:P40">IF(M23="NO",IF(L23="F",G23*N23,"--"),"--")</f>
        <v>--</v>
      </c>
      <c r="Q23" s="588" t="str">
        <f aca="true" t="shared" si="6" ref="Q23:Q40">IF(L23="F",G23*N23*ROUND(K23/60,2),"--")</f>
        <v>--</v>
      </c>
      <c r="R23" s="408" t="str">
        <f aca="true" t="shared" si="7" ref="R23:R40">IF(L23="RF",G23*N23*ROUND(K23/60,2),"--")</f>
        <v>--</v>
      </c>
      <c r="S23" s="409" t="str">
        <f aca="true" t="shared" si="8" ref="S23:S40">IF(D23="","","SI")</f>
        <v>SI</v>
      </c>
      <c r="T23" s="410">
        <f aca="true" t="shared" si="9" ref="T23:T40">IF(D23="","",IF(F23="500/220",0,IF(S23="SI",SUM(O23:R23),2*SUM(O23:R23))))</f>
        <v>7.666659000000001</v>
      </c>
      <c r="U23" s="410">
        <v>5.982900000000001</v>
      </c>
      <c r="V23" s="410">
        <f>+T23-U23</f>
        <v>1.6837590000000002</v>
      </c>
      <c r="W23" s="311"/>
    </row>
    <row r="24" spans="2:23" ht="16.5" customHeight="1">
      <c r="B24" s="396"/>
      <c r="C24" s="397">
        <v>14</v>
      </c>
      <c r="D24" s="314" t="s">
        <v>38</v>
      </c>
      <c r="E24" s="294" t="s">
        <v>50</v>
      </c>
      <c r="F24" s="294">
        <v>13.2</v>
      </c>
      <c r="G24" s="398">
        <f aca="true" t="shared" si="10" ref="G24:G40">IF(OR(F24=132,F24=66),$E$14,IF(F24=33,$E$15,$E$16))*$F$17</f>
        <v>2.07207</v>
      </c>
      <c r="H24" s="399">
        <v>36192.56875</v>
      </c>
      <c r="I24" s="399">
        <v>36192.61041666667</v>
      </c>
      <c r="J24" s="400">
        <f t="shared" si="0"/>
        <v>1.0000000001164153</v>
      </c>
      <c r="K24" s="401">
        <f t="shared" si="1"/>
        <v>60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4.14414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4.14414</v>
      </c>
      <c r="U24" s="410">
        <v>3.2340000000000004</v>
      </c>
      <c r="V24" s="410">
        <f aca="true" t="shared" si="11" ref="V24:V40">+T24-U24</f>
        <v>0.9101399999999997</v>
      </c>
      <c r="W24" s="311"/>
    </row>
    <row r="25" spans="2:23" ht="16.5" customHeight="1">
      <c r="B25" s="396"/>
      <c r="C25" s="397">
        <v>15</v>
      </c>
      <c r="D25" s="314" t="s">
        <v>38</v>
      </c>
      <c r="E25" s="294" t="s">
        <v>52</v>
      </c>
      <c r="F25" s="294">
        <v>13.2</v>
      </c>
      <c r="G25" s="398">
        <f t="shared" si="10"/>
        <v>2.07207</v>
      </c>
      <c r="H25" s="399">
        <v>36193.44097222222</v>
      </c>
      <c r="I25" s="399">
        <v>36193.47777777778</v>
      </c>
      <c r="J25" s="400">
        <f t="shared" si="0"/>
        <v>0.8833333334187046</v>
      </c>
      <c r="K25" s="401">
        <f t="shared" si="1"/>
        <v>53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3.6468432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3.6468432</v>
      </c>
      <c r="U25" s="410">
        <v>2.8459200000000004</v>
      </c>
      <c r="V25" s="410">
        <f t="shared" si="11"/>
        <v>0.8009231999999997</v>
      </c>
      <c r="W25" s="311"/>
    </row>
    <row r="26" spans="2:23" ht="16.5" customHeight="1">
      <c r="B26" s="363"/>
      <c r="C26" s="397">
        <v>16</v>
      </c>
      <c r="D26" s="314" t="s">
        <v>153</v>
      </c>
      <c r="E26" s="294" t="s">
        <v>154</v>
      </c>
      <c r="F26" s="294">
        <v>13.2</v>
      </c>
      <c r="G26" s="398">
        <f t="shared" si="10"/>
        <v>2.07207</v>
      </c>
      <c r="H26" s="399">
        <v>36193.458333333336</v>
      </c>
      <c r="I26" s="399">
        <v>36193.50347222222</v>
      </c>
      <c r="J26" s="400">
        <f t="shared" si="0"/>
        <v>1.0833333331975155</v>
      </c>
      <c r="K26" s="401">
        <f t="shared" si="1"/>
        <v>65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4.475671200000001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4.475671200000001</v>
      </c>
      <c r="U26" s="410">
        <v>3.4927200000000007</v>
      </c>
      <c r="V26" s="410">
        <f t="shared" si="11"/>
        <v>0.9829512</v>
      </c>
      <c r="W26" s="311"/>
    </row>
    <row r="27" spans="2:23" ht="16.5" customHeight="1">
      <c r="B27" s="396"/>
      <c r="C27" s="397">
        <v>17</v>
      </c>
      <c r="D27" s="314" t="s">
        <v>38</v>
      </c>
      <c r="E27" s="294" t="s">
        <v>56</v>
      </c>
      <c r="F27" s="294">
        <v>13.2</v>
      </c>
      <c r="G27" s="398">
        <f t="shared" si="10"/>
        <v>2.07207</v>
      </c>
      <c r="H27" s="399">
        <v>36193.48055555556</v>
      </c>
      <c r="I27" s="399">
        <v>36193.51527777778</v>
      </c>
      <c r="J27" s="400">
        <f t="shared" si="0"/>
        <v>0.8333333332557231</v>
      </c>
      <c r="K27" s="401">
        <f t="shared" si="1"/>
        <v>50</v>
      </c>
      <c r="L27" s="402" t="s">
        <v>121</v>
      </c>
      <c r="M27" s="403" t="str">
        <f t="shared" si="2"/>
        <v>--</v>
      </c>
      <c r="N27" s="404">
        <f t="shared" si="3"/>
        <v>20</v>
      </c>
      <c r="O27" s="405">
        <f t="shared" si="4"/>
        <v>3.4396362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3.4396362</v>
      </c>
      <c r="U27" s="410">
        <v>2.6842200000000003</v>
      </c>
      <c r="V27" s="410">
        <f t="shared" si="11"/>
        <v>0.7554161999999995</v>
      </c>
      <c r="W27" s="311"/>
    </row>
    <row r="28" spans="2:23" ht="16.5" customHeight="1">
      <c r="B28" s="396"/>
      <c r="C28" s="397">
        <v>18</v>
      </c>
      <c r="D28" s="314" t="s">
        <v>153</v>
      </c>
      <c r="E28" s="294" t="s">
        <v>155</v>
      </c>
      <c r="F28" s="294">
        <v>13.2</v>
      </c>
      <c r="G28" s="398">
        <f t="shared" si="10"/>
        <v>2.07207</v>
      </c>
      <c r="H28" s="399">
        <v>36193.509722222225</v>
      </c>
      <c r="I28" s="399">
        <v>36193.645833333336</v>
      </c>
      <c r="J28" s="400">
        <f t="shared" si="0"/>
        <v>3.266666666662786</v>
      </c>
      <c r="K28" s="401">
        <f t="shared" si="1"/>
        <v>196</v>
      </c>
      <c r="L28" s="402" t="s">
        <v>121</v>
      </c>
      <c r="M28" s="403" t="str">
        <f t="shared" si="2"/>
        <v>--</v>
      </c>
      <c r="N28" s="404">
        <f t="shared" si="3"/>
        <v>20</v>
      </c>
      <c r="O28" s="405">
        <f t="shared" si="4"/>
        <v>13.5513378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13.5513378</v>
      </c>
      <c r="U28" s="410">
        <v>10.575180000000001</v>
      </c>
      <c r="V28" s="410">
        <f t="shared" si="11"/>
        <v>2.9761577999999993</v>
      </c>
      <c r="W28" s="311"/>
    </row>
    <row r="29" spans="2:23" ht="16.5" customHeight="1">
      <c r="B29" s="396"/>
      <c r="C29" s="397">
        <v>19</v>
      </c>
      <c r="D29" s="314" t="s">
        <v>156</v>
      </c>
      <c r="E29" s="294" t="s">
        <v>136</v>
      </c>
      <c r="F29" s="294">
        <v>33</v>
      </c>
      <c r="G29" s="398">
        <f t="shared" si="10"/>
        <v>2.07207</v>
      </c>
      <c r="H29" s="399">
        <v>36194.535416666666</v>
      </c>
      <c r="I29" s="399">
        <v>36194.74791666667</v>
      </c>
      <c r="J29" s="400">
        <f t="shared" si="0"/>
        <v>5.100000000034925</v>
      </c>
      <c r="K29" s="401">
        <f t="shared" si="1"/>
        <v>306</v>
      </c>
      <c r="L29" s="402" t="s">
        <v>121</v>
      </c>
      <c r="M29" s="403" t="str">
        <f t="shared" si="2"/>
        <v>--</v>
      </c>
      <c r="N29" s="404">
        <f t="shared" si="3"/>
        <v>25</v>
      </c>
      <c r="O29" s="405">
        <f t="shared" si="4"/>
        <v>26.4188925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26.4188925</v>
      </c>
      <c r="U29" s="410">
        <v>20.616749999999996</v>
      </c>
      <c r="V29" s="410">
        <f t="shared" si="11"/>
        <v>5.802142500000002</v>
      </c>
      <c r="W29" s="311"/>
    </row>
    <row r="30" spans="2:23" ht="16.5" customHeight="1">
      <c r="B30" s="396"/>
      <c r="C30" s="397">
        <v>20</v>
      </c>
      <c r="D30" s="314" t="s">
        <v>25</v>
      </c>
      <c r="E30" s="294" t="s">
        <v>136</v>
      </c>
      <c r="F30" s="294">
        <v>33</v>
      </c>
      <c r="G30" s="398">
        <f t="shared" si="10"/>
        <v>2.07207</v>
      </c>
      <c r="H30" s="399">
        <v>36195.43819444445</v>
      </c>
      <c r="I30" s="399">
        <v>36195.524305555555</v>
      </c>
      <c r="J30" s="400">
        <f t="shared" si="0"/>
        <v>2.066666666592937</v>
      </c>
      <c r="K30" s="401">
        <f t="shared" si="1"/>
        <v>124</v>
      </c>
      <c r="L30" s="402" t="s">
        <v>121</v>
      </c>
      <c r="M30" s="403" t="str">
        <f t="shared" si="2"/>
        <v>--</v>
      </c>
      <c r="N30" s="404">
        <f t="shared" si="3"/>
        <v>25</v>
      </c>
      <c r="O30" s="405">
        <f t="shared" si="4"/>
        <v>10.72296225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10.72296225</v>
      </c>
      <c r="U30" s="410">
        <v>8.367974999999998</v>
      </c>
      <c r="V30" s="410">
        <f t="shared" si="11"/>
        <v>2.3549872500000024</v>
      </c>
      <c r="W30" s="311"/>
    </row>
    <row r="31" spans="2:23" ht="16.5" customHeight="1">
      <c r="B31" s="396"/>
      <c r="C31" s="397">
        <v>21</v>
      </c>
      <c r="D31" s="314" t="s">
        <v>38</v>
      </c>
      <c r="E31" s="294" t="s">
        <v>51</v>
      </c>
      <c r="F31" s="411">
        <v>13.2</v>
      </c>
      <c r="G31" s="398">
        <f t="shared" si="10"/>
        <v>2.07207</v>
      </c>
      <c r="H31" s="399">
        <v>36195.447222222225</v>
      </c>
      <c r="I31" s="399">
        <v>36195.50277777778</v>
      </c>
      <c r="J31" s="400">
        <f t="shared" si="0"/>
        <v>1.3333333333139308</v>
      </c>
      <c r="K31" s="401">
        <f t="shared" si="1"/>
        <v>80</v>
      </c>
      <c r="L31" s="402" t="s">
        <v>121</v>
      </c>
      <c r="M31" s="403" t="str">
        <f t="shared" si="2"/>
        <v>--</v>
      </c>
      <c r="N31" s="404">
        <f t="shared" si="3"/>
        <v>20</v>
      </c>
      <c r="O31" s="405">
        <f t="shared" si="4"/>
        <v>5.511706200000001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5.511706200000001</v>
      </c>
      <c r="U31" s="410">
        <v>4.301220000000001</v>
      </c>
      <c r="V31" s="410">
        <f t="shared" si="11"/>
        <v>1.2104862</v>
      </c>
      <c r="W31" s="311"/>
    </row>
    <row r="32" spans="2:23" ht="16.5" customHeight="1">
      <c r="B32" s="396"/>
      <c r="C32" s="397">
        <v>22</v>
      </c>
      <c r="D32" s="314" t="s">
        <v>38</v>
      </c>
      <c r="E32" s="294" t="s">
        <v>157</v>
      </c>
      <c r="F32" s="411">
        <v>13.2</v>
      </c>
      <c r="G32" s="398">
        <f t="shared" si="10"/>
        <v>2.07207</v>
      </c>
      <c r="H32" s="399">
        <v>36195.50486111111</v>
      </c>
      <c r="I32" s="399">
        <v>36195.54722222222</v>
      </c>
      <c r="J32" s="400">
        <f t="shared" si="0"/>
        <v>1.0166666666627862</v>
      </c>
      <c r="K32" s="401">
        <f t="shared" si="1"/>
        <v>61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4.2270228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4.2270228</v>
      </c>
      <c r="U32" s="410">
        <v>3.2986800000000005</v>
      </c>
      <c r="V32" s="410">
        <f t="shared" si="11"/>
        <v>0.9283427999999998</v>
      </c>
      <c r="W32" s="311"/>
    </row>
    <row r="33" spans="2:23" ht="16.5" customHeight="1">
      <c r="B33" s="396"/>
      <c r="C33" s="397">
        <v>23</v>
      </c>
      <c r="D33" s="314" t="s">
        <v>25</v>
      </c>
      <c r="E33" s="294" t="s">
        <v>158</v>
      </c>
      <c r="F33" s="411">
        <v>33</v>
      </c>
      <c r="G33" s="398">
        <f t="shared" si="10"/>
        <v>2.07207</v>
      </c>
      <c r="H33" s="399">
        <v>36195.53125</v>
      </c>
      <c r="I33" s="399">
        <v>36195.61597222222</v>
      </c>
      <c r="J33" s="400">
        <f t="shared" si="0"/>
        <v>2.0333333333255723</v>
      </c>
      <c r="K33" s="401">
        <f t="shared" si="1"/>
        <v>122</v>
      </c>
      <c r="L33" s="402" t="s">
        <v>121</v>
      </c>
      <c r="M33" s="403" t="str">
        <f t="shared" si="2"/>
        <v>--</v>
      </c>
      <c r="N33" s="404">
        <f t="shared" si="3"/>
        <v>25</v>
      </c>
      <c r="O33" s="405">
        <f t="shared" si="4"/>
        <v>10.51575525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10.51575525</v>
      </c>
      <c r="U33" s="410">
        <v>8.206274999999998</v>
      </c>
      <c r="V33" s="410">
        <f t="shared" si="11"/>
        <v>2.309480250000002</v>
      </c>
      <c r="W33" s="311"/>
    </row>
    <row r="34" spans="2:23" ht="16.5" customHeight="1">
      <c r="B34" s="396"/>
      <c r="C34" s="397">
        <v>24</v>
      </c>
      <c r="D34" s="314" t="s">
        <v>25</v>
      </c>
      <c r="E34" s="294" t="s">
        <v>39</v>
      </c>
      <c r="F34" s="411">
        <v>33</v>
      </c>
      <c r="G34" s="398">
        <f t="shared" si="10"/>
        <v>2.07207</v>
      </c>
      <c r="H34" s="399">
        <v>36196.43541666667</v>
      </c>
      <c r="I34" s="399">
        <v>36196.51944444444</v>
      </c>
      <c r="J34" s="400">
        <f t="shared" si="0"/>
        <v>2.0166666666045785</v>
      </c>
      <c r="K34" s="401">
        <f t="shared" si="1"/>
        <v>121</v>
      </c>
      <c r="L34" s="402" t="s">
        <v>121</v>
      </c>
      <c r="M34" s="403" t="str">
        <f t="shared" si="2"/>
        <v>--</v>
      </c>
      <c r="N34" s="404">
        <f t="shared" si="3"/>
        <v>25</v>
      </c>
      <c r="O34" s="405">
        <f t="shared" si="4"/>
        <v>10.4639535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10.4639535</v>
      </c>
      <c r="U34" s="410">
        <v>8.165849999999999</v>
      </c>
      <c r="V34" s="410">
        <f t="shared" si="11"/>
        <v>2.2981035000000016</v>
      </c>
      <c r="W34" s="311"/>
    </row>
    <row r="35" spans="2:23" ht="16.5" customHeight="1">
      <c r="B35" s="396"/>
      <c r="C35" s="397">
        <v>25</v>
      </c>
      <c r="D35" s="314" t="s">
        <v>57</v>
      </c>
      <c r="E35" s="294" t="s">
        <v>159</v>
      </c>
      <c r="F35" s="411">
        <v>13.2</v>
      </c>
      <c r="G35" s="398">
        <f t="shared" si="10"/>
        <v>2.07207</v>
      </c>
      <c r="H35" s="399">
        <v>36200.475694444445</v>
      </c>
      <c r="I35" s="399">
        <v>36200.58819444444</v>
      </c>
      <c r="J35" s="400">
        <f t="shared" si="0"/>
        <v>2.699999999895226</v>
      </c>
      <c r="K35" s="401">
        <f t="shared" si="1"/>
        <v>162</v>
      </c>
      <c r="L35" s="402" t="s">
        <v>121</v>
      </c>
      <c r="M35" s="403" t="str">
        <f t="shared" si="2"/>
        <v>--</v>
      </c>
      <c r="N35" s="404">
        <f t="shared" si="3"/>
        <v>20</v>
      </c>
      <c r="O35" s="405">
        <f t="shared" si="4"/>
        <v>11.189178000000002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 t="str">
        <f t="shared" si="8"/>
        <v>SI</v>
      </c>
      <c r="T35" s="410">
        <f t="shared" si="9"/>
        <v>11.189178000000002</v>
      </c>
      <c r="U35" s="410">
        <v>8.731800000000002</v>
      </c>
      <c r="V35" s="410">
        <f t="shared" si="11"/>
        <v>2.4573780000000003</v>
      </c>
      <c r="W35" s="311"/>
    </row>
    <row r="36" spans="2:23" ht="16.5" customHeight="1">
      <c r="B36" s="396"/>
      <c r="C36" s="397">
        <v>26</v>
      </c>
      <c r="D36" s="314" t="s">
        <v>156</v>
      </c>
      <c r="E36" s="294" t="s">
        <v>149</v>
      </c>
      <c r="F36" s="411">
        <v>33</v>
      </c>
      <c r="G36" s="398">
        <f t="shared" si="10"/>
        <v>2.07207</v>
      </c>
      <c r="H36" s="399">
        <v>36200.49930555555</v>
      </c>
      <c r="I36" s="399">
        <v>36200.6125</v>
      </c>
      <c r="J36" s="400">
        <f t="shared" si="0"/>
        <v>2.716666666790843</v>
      </c>
      <c r="K36" s="401">
        <f t="shared" si="1"/>
        <v>163</v>
      </c>
      <c r="L36" s="402" t="s">
        <v>121</v>
      </c>
      <c r="M36" s="403" t="str">
        <f t="shared" si="2"/>
        <v>--</v>
      </c>
      <c r="N36" s="404">
        <f t="shared" si="3"/>
        <v>25</v>
      </c>
      <c r="O36" s="405">
        <f t="shared" si="4"/>
        <v>14.090076000000002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14.090076000000002</v>
      </c>
      <c r="U36" s="410">
        <v>10.9956</v>
      </c>
      <c r="V36" s="410">
        <f t="shared" si="11"/>
        <v>3.094476000000002</v>
      </c>
      <c r="W36" s="311"/>
    </row>
    <row r="37" spans="2:23" ht="16.5" customHeight="1">
      <c r="B37" s="396"/>
      <c r="C37" s="397">
        <v>27</v>
      </c>
      <c r="D37" s="314" t="s">
        <v>160</v>
      </c>
      <c r="E37" s="294" t="s">
        <v>161</v>
      </c>
      <c r="F37" s="411">
        <v>33</v>
      </c>
      <c r="G37" s="398">
        <f t="shared" si="10"/>
        <v>2.07207</v>
      </c>
      <c r="H37" s="399">
        <v>36201.334027777775</v>
      </c>
      <c r="I37" s="399">
        <v>36201.58125</v>
      </c>
      <c r="J37" s="400">
        <f t="shared" si="0"/>
        <v>5.933333333465271</v>
      </c>
      <c r="K37" s="401">
        <f t="shared" si="1"/>
        <v>356</v>
      </c>
      <c r="L37" s="402" t="s">
        <v>121</v>
      </c>
      <c r="M37" s="403" t="str">
        <f t="shared" si="2"/>
        <v>--</v>
      </c>
      <c r="N37" s="404">
        <f t="shared" si="3"/>
        <v>25</v>
      </c>
      <c r="O37" s="405">
        <f t="shared" si="4"/>
        <v>30.71843775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30.71843775</v>
      </c>
      <c r="U37" s="410">
        <v>23.972024999999995</v>
      </c>
      <c r="V37" s="410">
        <f t="shared" si="11"/>
        <v>6.746412750000005</v>
      </c>
      <c r="W37" s="311"/>
    </row>
    <row r="38" spans="2:23" ht="16.5" customHeight="1">
      <c r="B38" s="396"/>
      <c r="C38" s="397">
        <v>28</v>
      </c>
      <c r="D38" s="314" t="s">
        <v>38</v>
      </c>
      <c r="E38" s="294" t="s">
        <v>52</v>
      </c>
      <c r="F38" s="411">
        <v>13.2</v>
      </c>
      <c r="G38" s="398">
        <f t="shared" si="10"/>
        <v>2.07207</v>
      </c>
      <c r="H38" s="399">
        <v>36201.54375</v>
      </c>
      <c r="I38" s="399">
        <v>36201.57361111111</v>
      </c>
      <c r="J38" s="400">
        <f t="shared" si="0"/>
        <v>0.7166666667326353</v>
      </c>
      <c r="K38" s="401">
        <f t="shared" si="1"/>
        <v>43</v>
      </c>
      <c r="L38" s="402" t="s">
        <v>122</v>
      </c>
      <c r="M38" s="403" t="s">
        <v>129</v>
      </c>
      <c r="N38" s="404">
        <f t="shared" si="3"/>
        <v>20</v>
      </c>
      <c r="O38" s="405" t="str">
        <f t="shared" si="4"/>
        <v>--</v>
      </c>
      <c r="P38" s="406" t="str">
        <f t="shared" si="5"/>
        <v>--</v>
      </c>
      <c r="Q38" s="407">
        <f t="shared" si="6"/>
        <v>29.837808</v>
      </c>
      <c r="R38" s="408" t="str">
        <f t="shared" si="7"/>
        <v>--</v>
      </c>
      <c r="S38" s="409" t="str">
        <f t="shared" si="8"/>
        <v>SI</v>
      </c>
      <c r="T38" s="410">
        <f t="shared" si="9"/>
        <v>29.837808</v>
      </c>
      <c r="U38" s="410">
        <v>23.2848</v>
      </c>
      <c r="V38" s="410">
        <f t="shared" si="11"/>
        <v>6.553007999999998</v>
      </c>
      <c r="W38" s="311"/>
    </row>
    <row r="39" spans="2:23" ht="16.5" customHeight="1">
      <c r="B39" s="396"/>
      <c r="C39" s="397">
        <v>29</v>
      </c>
      <c r="D39" s="314" t="s">
        <v>38</v>
      </c>
      <c r="E39" s="294" t="s">
        <v>56</v>
      </c>
      <c r="F39" s="411">
        <v>13.2</v>
      </c>
      <c r="G39" s="398">
        <f t="shared" si="10"/>
        <v>2.07207</v>
      </c>
      <c r="H39" s="399">
        <v>36201.575694444444</v>
      </c>
      <c r="I39" s="399">
        <v>36201.600694444445</v>
      </c>
      <c r="J39" s="400">
        <f t="shared" si="0"/>
        <v>0.6000000000349246</v>
      </c>
      <c r="K39" s="401">
        <f t="shared" si="1"/>
        <v>36</v>
      </c>
      <c r="L39" s="402" t="s">
        <v>122</v>
      </c>
      <c r="M39" s="403" t="s">
        <v>129</v>
      </c>
      <c r="N39" s="404">
        <f t="shared" si="3"/>
        <v>20</v>
      </c>
      <c r="O39" s="405" t="str">
        <f t="shared" si="4"/>
        <v>--</v>
      </c>
      <c r="P39" s="406" t="str">
        <f t="shared" si="5"/>
        <v>--</v>
      </c>
      <c r="Q39" s="407">
        <f t="shared" si="6"/>
        <v>24.86484</v>
      </c>
      <c r="R39" s="408" t="str">
        <f t="shared" si="7"/>
        <v>--</v>
      </c>
      <c r="S39" s="409" t="str">
        <f t="shared" si="8"/>
        <v>SI</v>
      </c>
      <c r="T39" s="410">
        <f t="shared" si="9"/>
        <v>24.86484</v>
      </c>
      <c r="U39" s="410">
        <v>19.404</v>
      </c>
      <c r="V39" s="410">
        <f t="shared" si="11"/>
        <v>5.460840000000001</v>
      </c>
      <c r="W39" s="311"/>
    </row>
    <row r="40" spans="2:23" ht="16.5" customHeight="1">
      <c r="B40" s="396"/>
      <c r="C40" s="397">
        <v>30</v>
      </c>
      <c r="D40" s="314" t="s">
        <v>57</v>
      </c>
      <c r="E40" s="294" t="s">
        <v>162</v>
      </c>
      <c r="F40" s="411">
        <v>132</v>
      </c>
      <c r="G40" s="398">
        <f t="shared" si="10"/>
        <v>2.7621</v>
      </c>
      <c r="H40" s="399">
        <v>36202.34861111111</v>
      </c>
      <c r="I40" s="399">
        <v>36202.57083333333</v>
      </c>
      <c r="J40" s="400">
        <f t="shared" si="0"/>
        <v>5.333333333255723</v>
      </c>
      <c r="K40" s="401">
        <f t="shared" si="1"/>
        <v>320</v>
      </c>
      <c r="L40" s="402" t="s">
        <v>121</v>
      </c>
      <c r="M40" s="403" t="str">
        <f t="shared" si="2"/>
        <v>--</v>
      </c>
      <c r="N40" s="404">
        <f t="shared" si="3"/>
        <v>50</v>
      </c>
      <c r="O40" s="405">
        <f t="shared" si="4"/>
        <v>73.60996500000002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73.60996500000002</v>
      </c>
      <c r="U40" s="410">
        <v>57.45740000000001</v>
      </c>
      <c r="V40" s="410">
        <f t="shared" si="11"/>
        <v>16.15256500000001</v>
      </c>
      <c r="W40" s="311"/>
    </row>
    <row r="41" spans="2:23" ht="16.5" customHeight="1" thickBot="1">
      <c r="B41" s="396"/>
      <c r="C41" s="412"/>
      <c r="D41" s="413"/>
      <c r="E41" s="414"/>
      <c r="F41" s="414"/>
      <c r="G41" s="415"/>
      <c r="H41" s="414"/>
      <c r="I41" s="416"/>
      <c r="J41" s="417"/>
      <c r="K41" s="417"/>
      <c r="L41" s="416"/>
      <c r="M41" s="418"/>
      <c r="N41" s="419"/>
      <c r="O41" s="420"/>
      <c r="P41" s="421"/>
      <c r="Q41" s="422"/>
      <c r="R41" s="423"/>
      <c r="S41" s="424"/>
      <c r="T41" s="425"/>
      <c r="U41" s="425"/>
      <c r="V41" s="425"/>
      <c r="W41" s="311"/>
    </row>
    <row r="42" spans="2:23" ht="16.5" customHeight="1" thickBot="1" thickTop="1">
      <c r="B42" s="239"/>
      <c r="C42" s="208" t="s">
        <v>120</v>
      </c>
      <c r="D42" s="209" t="s">
        <v>110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426"/>
      <c r="P42" s="427"/>
      <c r="Q42" s="427"/>
      <c r="R42" s="427"/>
      <c r="S42" s="428"/>
      <c r="T42" s="334">
        <f>ROUND(SUM(T20:T41),2)</f>
        <v>5792.08</v>
      </c>
      <c r="U42" s="334">
        <f>ROUND(SUM(U20:U41),2)</f>
        <v>4499.3</v>
      </c>
      <c r="V42" s="334">
        <f>ROUND(SUM(V20:V41),2)</f>
        <v>1292.8</v>
      </c>
      <c r="W42" s="429"/>
    </row>
    <row r="43" spans="2:23" s="335" customFormat="1" ht="9.75" thickTop="1">
      <c r="B43" s="336"/>
      <c r="C43" s="219"/>
      <c r="D43" s="220" t="s">
        <v>111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430"/>
      <c r="P43" s="430"/>
      <c r="Q43" s="430"/>
      <c r="R43" s="430"/>
      <c r="S43" s="430"/>
      <c r="T43" s="338"/>
      <c r="U43" s="338"/>
      <c r="V43" s="338"/>
      <c r="W43" s="339"/>
    </row>
    <row r="44" spans="2:23" ht="16.5" customHeight="1" thickBot="1">
      <c r="B44" s="340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431"/>
    </row>
    <row r="45" ht="13.5" thickTop="1"/>
    <row r="16381" ht="12.75">
      <c r="D16381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21">
    <pageSetUpPr fitToPage="1"/>
  </sheetPr>
  <dimension ref="A1:AA16383"/>
  <sheetViews>
    <sheetView zoomScale="75" zoomScaleNormal="75" workbookViewId="0" topLeftCell="C8">
      <selection activeCell="E14" sqref="E14:E16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240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2.79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2.093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2.093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115" t="s">
        <v>226</v>
      </c>
      <c r="V19" s="115" t="s">
        <v>127</v>
      </c>
      <c r="W19" s="374"/>
    </row>
    <row r="20" spans="2:23" s="149" customFormat="1" ht="16.5" customHeight="1" thickTop="1">
      <c r="B20" s="375"/>
      <c r="C20" s="376"/>
      <c r="D20" s="279" t="s">
        <v>253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(7)'!T42</f>
        <v>5792.08</v>
      </c>
      <c r="U20" s="148">
        <f>+'SA (7)'!U42</f>
        <v>4499.3</v>
      </c>
      <c r="V20" s="148">
        <f>+'SA (7)'!V42</f>
        <v>1292.8</v>
      </c>
      <c r="W20" s="166"/>
    </row>
    <row r="21" spans="2:23" s="149" customFormat="1" ht="16.5" customHeight="1">
      <c r="B21" s="375"/>
      <c r="C21" s="385"/>
      <c r="D21" s="386"/>
      <c r="E21" s="386"/>
      <c r="F21" s="292"/>
      <c r="G21" s="387"/>
      <c r="H21" s="292"/>
      <c r="I21" s="388"/>
      <c r="J21" s="291"/>
      <c r="K21" s="389"/>
      <c r="L21" s="390"/>
      <c r="M21" s="292"/>
      <c r="N21" s="391"/>
      <c r="O21" s="392"/>
      <c r="P21" s="393"/>
      <c r="Q21" s="394"/>
      <c r="R21" s="395"/>
      <c r="S21" s="291"/>
      <c r="T21" s="291"/>
      <c r="U21" s="291"/>
      <c r="V21" s="291"/>
      <c r="W21" s="166"/>
    </row>
    <row r="22" spans="2:23" ht="16.5" customHeight="1">
      <c r="B22" s="396"/>
      <c r="C22" s="397">
        <v>33</v>
      </c>
      <c r="D22" s="314" t="s">
        <v>57</v>
      </c>
      <c r="E22" s="294" t="s">
        <v>163</v>
      </c>
      <c r="F22" s="294">
        <v>13.2</v>
      </c>
      <c r="G22" s="398">
        <f>IF(OR(F22=132,F22=66),$E$14,IF(F22=33,$E$15,$E$16))*$F$17</f>
        <v>2.07207</v>
      </c>
      <c r="H22" s="399">
        <v>36202.53680555556</v>
      </c>
      <c r="I22" s="399">
        <v>36202.57638888889</v>
      </c>
      <c r="J22" s="400">
        <f aca="true" t="shared" si="0" ref="J22:J42">IF(H22="","",(I22-H22)*24)</f>
        <v>0.9499999999534339</v>
      </c>
      <c r="K22" s="401">
        <f aca="true" t="shared" si="1" ref="K22:K42">IF(I22="","",ROUND((I22-H22)*24*60,0))</f>
        <v>57</v>
      </c>
      <c r="L22" s="402" t="s">
        <v>121</v>
      </c>
      <c r="M22" s="403" t="str">
        <f aca="true" t="shared" si="2" ref="M22:M42">IF(L22="","",IF(OR(L22="P",L22="RP"),"--","NO"))</f>
        <v>--</v>
      </c>
      <c r="N22" s="404">
        <f aca="true" t="shared" si="3" ref="N22:N42">IF(OR(F22=132,F22=66),$F$14,IF(F22=33,$F$15,$F$16))</f>
        <v>20</v>
      </c>
      <c r="O22" s="405">
        <f aca="true" t="shared" si="4" ref="O22:O42">IF(L22="P",G22*N22*0.1*ROUND(K22/60,2),"--")</f>
        <v>3.936933</v>
      </c>
      <c r="P22" s="406" t="str">
        <f aca="true" t="shared" si="5" ref="P22:P42">IF(M22="NO",IF(L22="F",G22*N22,"--"),"--")</f>
        <v>--</v>
      </c>
      <c r="Q22" s="407" t="str">
        <f aca="true" t="shared" si="6" ref="Q22:Q42">IF(L22="F",G22*N22*ROUND(K22/60,2),"--")</f>
        <v>--</v>
      </c>
      <c r="R22" s="408" t="str">
        <f aca="true" t="shared" si="7" ref="R22:R42">IF(L22="RF",G22*N22*ROUND(K22/60,2),"--")</f>
        <v>--</v>
      </c>
      <c r="S22" s="409" t="str">
        <f aca="true" t="shared" si="8" ref="S22:S42">IF(D22="","","SI")</f>
        <v>SI</v>
      </c>
      <c r="T22" s="410">
        <f aca="true" t="shared" si="9" ref="T22:T42">IF(D22="","",IF(F22="500/220",0,IF(S22="SI",SUM(O22:R22),2*SUM(O22:R22))))</f>
        <v>3.936933</v>
      </c>
      <c r="U22" s="410">
        <v>3.0723000000000003</v>
      </c>
      <c r="V22" s="410">
        <f>+T22-U22</f>
        <v>0.8646329999999995</v>
      </c>
      <c r="W22" s="311"/>
    </row>
    <row r="23" spans="2:23" ht="16.5" customHeight="1">
      <c r="B23" s="396"/>
      <c r="C23" s="397">
        <v>34</v>
      </c>
      <c r="D23" s="314" t="s">
        <v>57</v>
      </c>
      <c r="E23" s="294" t="s">
        <v>164</v>
      </c>
      <c r="F23" s="294">
        <v>13.2</v>
      </c>
      <c r="G23" s="398">
        <f aca="true" t="shared" si="10" ref="G23:G34">IF(OR(F23=132,F23=66),$E$14,IF(F23=33,$E$15,$E$16))*$F$17</f>
        <v>2.07207</v>
      </c>
      <c r="H23" s="399">
        <v>36214.479166666664</v>
      </c>
      <c r="I23" s="399">
        <v>36214.584027777775</v>
      </c>
      <c r="J23" s="400">
        <f t="shared" si="0"/>
        <v>2.516666666662786</v>
      </c>
      <c r="K23" s="401">
        <f t="shared" si="1"/>
        <v>151</v>
      </c>
      <c r="L23" s="402" t="s">
        <v>121</v>
      </c>
      <c r="M23" s="403" t="str">
        <f t="shared" si="2"/>
        <v>--</v>
      </c>
      <c r="N23" s="404">
        <f t="shared" si="3"/>
        <v>20</v>
      </c>
      <c r="O23" s="405">
        <f t="shared" si="4"/>
        <v>10.4432328</v>
      </c>
      <c r="P23" s="406" t="str">
        <f t="shared" si="5"/>
        <v>--</v>
      </c>
      <c r="Q23" s="407" t="str">
        <f t="shared" si="6"/>
        <v>--</v>
      </c>
      <c r="R23" s="408" t="str">
        <f t="shared" si="7"/>
        <v>--</v>
      </c>
      <c r="S23" s="409" t="str">
        <f t="shared" si="8"/>
        <v>SI</v>
      </c>
      <c r="T23" s="410">
        <f t="shared" si="9"/>
        <v>10.4432328</v>
      </c>
      <c r="U23" s="410">
        <v>8.149680000000002</v>
      </c>
      <c r="V23" s="410">
        <f aca="true" t="shared" si="11" ref="V23:V33">+T23-U23</f>
        <v>2.2935527999999987</v>
      </c>
      <c r="W23" s="311"/>
    </row>
    <row r="24" spans="2:23" ht="16.5" customHeight="1">
      <c r="B24" s="396"/>
      <c r="C24" s="397">
        <v>35</v>
      </c>
      <c r="D24" s="314" t="s">
        <v>160</v>
      </c>
      <c r="E24" s="294" t="s">
        <v>165</v>
      </c>
      <c r="F24" s="294">
        <v>13.2</v>
      </c>
      <c r="G24" s="398">
        <f t="shared" si="10"/>
        <v>2.07207</v>
      </c>
      <c r="H24" s="399">
        <v>36214.603472222225</v>
      </c>
      <c r="I24" s="399">
        <v>36214.71666666667</v>
      </c>
      <c r="J24" s="400">
        <f t="shared" si="0"/>
        <v>2.71666666661622</v>
      </c>
      <c r="K24" s="401">
        <f t="shared" si="1"/>
        <v>163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11.272060800000002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11.272060800000002</v>
      </c>
      <c r="U24" s="410">
        <v>8.796480000000003</v>
      </c>
      <c r="V24" s="410">
        <f t="shared" si="11"/>
        <v>2.4755807999999995</v>
      </c>
      <c r="W24" s="311"/>
    </row>
    <row r="25" spans="2:23" ht="16.5" customHeight="1">
      <c r="B25" s="363"/>
      <c r="C25" s="397">
        <v>36</v>
      </c>
      <c r="D25" s="314" t="s">
        <v>57</v>
      </c>
      <c r="E25" s="294" t="s">
        <v>164</v>
      </c>
      <c r="F25" s="294">
        <v>13.2</v>
      </c>
      <c r="G25" s="398">
        <f t="shared" si="10"/>
        <v>2.07207</v>
      </c>
      <c r="H25" s="399">
        <v>36214.705555555556</v>
      </c>
      <c r="I25" s="399">
        <v>36214.71666666667</v>
      </c>
      <c r="J25" s="400">
        <f t="shared" si="0"/>
        <v>0.26666666666278616</v>
      </c>
      <c r="K25" s="401">
        <f t="shared" si="1"/>
        <v>16</v>
      </c>
      <c r="L25" s="402" t="s">
        <v>122</v>
      </c>
      <c r="M25" s="403" t="str">
        <f t="shared" si="2"/>
        <v>NO</v>
      </c>
      <c r="N25" s="404">
        <f t="shared" si="3"/>
        <v>20</v>
      </c>
      <c r="O25" s="405" t="str">
        <f t="shared" si="4"/>
        <v>--</v>
      </c>
      <c r="P25" s="406">
        <f t="shared" si="5"/>
        <v>41.4414</v>
      </c>
      <c r="Q25" s="407">
        <f t="shared" si="6"/>
        <v>11.189178000000002</v>
      </c>
      <c r="R25" s="408" t="str">
        <f t="shared" si="7"/>
        <v>--</v>
      </c>
      <c r="S25" s="409" t="str">
        <f t="shared" si="8"/>
        <v>SI</v>
      </c>
      <c r="T25" s="410">
        <f t="shared" si="9"/>
        <v>52.630578</v>
      </c>
      <c r="U25" s="410">
        <v>41.0718</v>
      </c>
      <c r="V25" s="410">
        <f t="shared" si="11"/>
        <v>11.558777999999997</v>
      </c>
      <c r="W25" s="311"/>
    </row>
    <row r="26" spans="2:23" ht="16.5" customHeight="1">
      <c r="B26" s="396"/>
      <c r="C26" s="397">
        <v>37</v>
      </c>
      <c r="D26" s="314" t="s">
        <v>41</v>
      </c>
      <c r="E26" s="294" t="s">
        <v>166</v>
      </c>
      <c r="F26" s="294">
        <v>13.2</v>
      </c>
      <c r="G26" s="398">
        <f t="shared" si="10"/>
        <v>2.07207</v>
      </c>
      <c r="H26" s="399">
        <v>36215.04513888889</v>
      </c>
      <c r="I26" s="399">
        <v>36215.07152777778</v>
      </c>
      <c r="J26" s="400">
        <f t="shared" si="0"/>
        <v>0.6333333333022892</v>
      </c>
      <c r="K26" s="401">
        <f t="shared" si="1"/>
        <v>38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2.6108082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2.6108082</v>
      </c>
      <c r="U26" s="410">
        <v>2.0374200000000005</v>
      </c>
      <c r="V26" s="410">
        <f t="shared" si="11"/>
        <v>0.5733881999999997</v>
      </c>
      <c r="W26" s="311"/>
    </row>
    <row r="27" spans="2:23" ht="16.5" customHeight="1">
      <c r="B27" s="396"/>
      <c r="C27" s="397">
        <v>38</v>
      </c>
      <c r="D27" s="314" t="s">
        <v>41</v>
      </c>
      <c r="E27" s="294" t="s">
        <v>32</v>
      </c>
      <c r="F27" s="294">
        <v>13.2</v>
      </c>
      <c r="G27" s="398">
        <f t="shared" si="10"/>
        <v>2.07207</v>
      </c>
      <c r="H27" s="399">
        <v>36215.07430555556</v>
      </c>
      <c r="I27" s="399">
        <v>36215.10208333333</v>
      </c>
      <c r="J27" s="400">
        <f t="shared" si="0"/>
        <v>0.6666666665696539</v>
      </c>
      <c r="K27" s="401">
        <f t="shared" si="1"/>
        <v>40</v>
      </c>
      <c r="L27" s="402" t="s">
        <v>121</v>
      </c>
      <c r="M27" s="403" t="str">
        <f t="shared" si="2"/>
        <v>--</v>
      </c>
      <c r="N27" s="404">
        <f t="shared" si="3"/>
        <v>20</v>
      </c>
      <c r="O27" s="405">
        <f t="shared" si="4"/>
        <v>2.7765738000000004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2.7765738000000004</v>
      </c>
      <c r="U27" s="410">
        <v>2.1667800000000006</v>
      </c>
      <c r="V27" s="410">
        <f t="shared" si="11"/>
        <v>0.6097937999999998</v>
      </c>
      <c r="W27" s="311"/>
    </row>
    <row r="28" spans="2:23" ht="16.5" customHeight="1">
      <c r="B28" s="396"/>
      <c r="C28" s="397">
        <v>39</v>
      </c>
      <c r="D28" s="314" t="s">
        <v>41</v>
      </c>
      <c r="E28" s="294" t="s">
        <v>167</v>
      </c>
      <c r="F28" s="294">
        <v>13.2</v>
      </c>
      <c r="G28" s="398">
        <f t="shared" si="10"/>
        <v>2.07207</v>
      </c>
      <c r="H28" s="399">
        <v>36215.10486111111</v>
      </c>
      <c r="I28" s="399">
        <v>36215.14861111111</v>
      </c>
      <c r="J28" s="400">
        <f t="shared" si="0"/>
        <v>1.0499999999301508</v>
      </c>
      <c r="K28" s="401">
        <f t="shared" si="1"/>
        <v>63</v>
      </c>
      <c r="L28" s="402" t="s">
        <v>121</v>
      </c>
      <c r="M28" s="403" t="str">
        <f t="shared" si="2"/>
        <v>--</v>
      </c>
      <c r="N28" s="404">
        <f t="shared" si="3"/>
        <v>20</v>
      </c>
      <c r="O28" s="405">
        <f t="shared" si="4"/>
        <v>4.3513470000000005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4.3513470000000005</v>
      </c>
      <c r="U28" s="410">
        <v>3.3957000000000006</v>
      </c>
      <c r="V28" s="410">
        <f t="shared" si="11"/>
        <v>0.9556469999999999</v>
      </c>
      <c r="W28" s="311"/>
    </row>
    <row r="29" spans="2:23" ht="16.5" customHeight="1">
      <c r="B29" s="396"/>
      <c r="C29" s="397">
        <v>40</v>
      </c>
      <c r="D29" s="314" t="s">
        <v>57</v>
      </c>
      <c r="E29" s="294" t="s">
        <v>168</v>
      </c>
      <c r="F29" s="294">
        <v>13.2</v>
      </c>
      <c r="G29" s="398">
        <f t="shared" si="10"/>
        <v>2.07207</v>
      </c>
      <c r="H29" s="399">
        <v>36215.40138888889</v>
      </c>
      <c r="I29" s="399">
        <v>36215.57777777778</v>
      </c>
      <c r="J29" s="400">
        <f t="shared" si="0"/>
        <v>4.233333333337214</v>
      </c>
      <c r="K29" s="401">
        <f t="shared" si="1"/>
        <v>254</v>
      </c>
      <c r="L29" s="402" t="s">
        <v>121</v>
      </c>
      <c r="M29" s="403" t="str">
        <f t="shared" si="2"/>
        <v>--</v>
      </c>
      <c r="N29" s="404">
        <f t="shared" si="3"/>
        <v>20</v>
      </c>
      <c r="O29" s="405">
        <f t="shared" si="4"/>
        <v>17.529712200000002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 t="str">
        <f t="shared" si="8"/>
        <v>SI</v>
      </c>
      <c r="T29" s="410">
        <f t="shared" si="9"/>
        <v>17.529712200000002</v>
      </c>
      <c r="U29" s="410">
        <v>13.679820000000003</v>
      </c>
      <c r="V29" s="410">
        <f t="shared" si="11"/>
        <v>3.8498921999999993</v>
      </c>
      <c r="W29" s="311"/>
    </row>
    <row r="30" spans="2:23" ht="16.5" customHeight="1">
      <c r="B30" s="396"/>
      <c r="C30" s="397">
        <v>41</v>
      </c>
      <c r="D30" s="314" t="s">
        <v>57</v>
      </c>
      <c r="E30" s="294" t="s">
        <v>169</v>
      </c>
      <c r="F30" s="411">
        <v>13.2</v>
      </c>
      <c r="G30" s="398">
        <f t="shared" si="10"/>
        <v>2.07207</v>
      </c>
      <c r="H30" s="399">
        <v>36215.611805555556</v>
      </c>
      <c r="I30" s="399">
        <v>36215.69097222222</v>
      </c>
      <c r="J30" s="400">
        <f t="shared" si="0"/>
        <v>1.8999999999068677</v>
      </c>
      <c r="K30" s="401">
        <f t="shared" si="1"/>
        <v>114</v>
      </c>
      <c r="L30" s="402" t="s">
        <v>121</v>
      </c>
      <c r="M30" s="403" t="str">
        <f t="shared" si="2"/>
        <v>--</v>
      </c>
      <c r="N30" s="404">
        <f t="shared" si="3"/>
        <v>20</v>
      </c>
      <c r="O30" s="405">
        <f t="shared" si="4"/>
        <v>7.873866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7.873866</v>
      </c>
      <c r="U30" s="410">
        <v>6.1446000000000005</v>
      </c>
      <c r="V30" s="410">
        <f t="shared" si="11"/>
        <v>1.729265999999999</v>
      </c>
      <c r="W30" s="311"/>
    </row>
    <row r="31" spans="2:23" ht="16.5" customHeight="1">
      <c r="B31" s="396"/>
      <c r="C31" s="397">
        <v>42</v>
      </c>
      <c r="D31" s="314" t="s">
        <v>57</v>
      </c>
      <c r="E31" s="294" t="s">
        <v>170</v>
      </c>
      <c r="F31" s="411">
        <v>13.2</v>
      </c>
      <c r="G31" s="398">
        <f t="shared" si="10"/>
        <v>2.07207</v>
      </c>
      <c r="H31" s="399">
        <v>36215.70277777778</v>
      </c>
      <c r="I31" s="399">
        <v>36215.76944444444</v>
      </c>
      <c r="J31" s="400">
        <f t="shared" si="0"/>
        <v>1.599999999976717</v>
      </c>
      <c r="K31" s="401">
        <f t="shared" si="1"/>
        <v>96</v>
      </c>
      <c r="L31" s="402" t="s">
        <v>121</v>
      </c>
      <c r="M31" s="403" t="str">
        <f t="shared" si="2"/>
        <v>--</v>
      </c>
      <c r="N31" s="404">
        <f t="shared" si="3"/>
        <v>20</v>
      </c>
      <c r="O31" s="405">
        <f t="shared" si="4"/>
        <v>6.630624000000001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6.630624000000001</v>
      </c>
      <c r="U31" s="410">
        <v>5.174400000000001</v>
      </c>
      <c r="V31" s="410">
        <f t="shared" si="11"/>
        <v>1.4562239999999997</v>
      </c>
      <c r="W31" s="311"/>
    </row>
    <row r="32" spans="2:23" ht="16.5" customHeight="1">
      <c r="B32" s="396"/>
      <c r="C32" s="397">
        <v>43</v>
      </c>
      <c r="D32" s="314" t="s">
        <v>57</v>
      </c>
      <c r="E32" s="294" t="s">
        <v>171</v>
      </c>
      <c r="F32" s="411">
        <v>13.2</v>
      </c>
      <c r="G32" s="398">
        <f t="shared" si="10"/>
        <v>2.07207</v>
      </c>
      <c r="H32" s="399">
        <v>36216.35625</v>
      </c>
      <c r="I32" s="399">
        <v>36216.50486111111</v>
      </c>
      <c r="J32" s="400">
        <f t="shared" si="0"/>
        <v>3.56666666676756</v>
      </c>
      <c r="K32" s="401">
        <f t="shared" si="1"/>
        <v>214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14.7945798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14.7945798</v>
      </c>
      <c r="U32" s="410">
        <v>11.545380000000002</v>
      </c>
      <c r="V32" s="410">
        <f t="shared" si="11"/>
        <v>3.2491997999999978</v>
      </c>
      <c r="W32" s="311"/>
    </row>
    <row r="33" spans="2:23" ht="16.5" customHeight="1">
      <c r="B33" s="396"/>
      <c r="C33" s="397">
        <v>44</v>
      </c>
      <c r="D33" s="314" t="s">
        <v>57</v>
      </c>
      <c r="E33" s="294" t="s">
        <v>159</v>
      </c>
      <c r="F33" s="411">
        <v>13.2</v>
      </c>
      <c r="G33" s="398">
        <f t="shared" si="10"/>
        <v>2.07207</v>
      </c>
      <c r="H33" s="399">
        <v>36216.51736111111</v>
      </c>
      <c r="I33" s="399">
        <v>36216.645833333336</v>
      </c>
      <c r="J33" s="400">
        <f t="shared" si="0"/>
        <v>3.083333333430346</v>
      </c>
      <c r="K33" s="401">
        <f t="shared" si="1"/>
        <v>185</v>
      </c>
      <c r="L33" s="402" t="s">
        <v>121</v>
      </c>
      <c r="M33" s="403" t="str">
        <f t="shared" si="2"/>
        <v>--</v>
      </c>
      <c r="N33" s="404">
        <f t="shared" si="3"/>
        <v>20</v>
      </c>
      <c r="O33" s="405">
        <f t="shared" si="4"/>
        <v>12.763951200000001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12.763951200000001</v>
      </c>
      <c r="U33" s="410">
        <v>9.960720000000002</v>
      </c>
      <c r="V33" s="410">
        <f t="shared" si="11"/>
        <v>2.803231199999999</v>
      </c>
      <c r="W33" s="311"/>
    </row>
    <row r="34" spans="2:23" ht="16.5" customHeight="1" thickBot="1">
      <c r="B34" s="396"/>
      <c r="C34" s="589"/>
      <c r="D34" s="293"/>
      <c r="E34" s="475"/>
      <c r="F34" s="602"/>
      <c r="G34" s="398">
        <f t="shared" si="10"/>
        <v>2.07207</v>
      </c>
      <c r="H34" s="590"/>
      <c r="I34" s="590"/>
      <c r="J34" s="591">
        <f t="shared" si="0"/>
      </c>
      <c r="K34" s="592">
        <f t="shared" si="1"/>
      </c>
      <c r="L34" s="593"/>
      <c r="M34" s="594">
        <f t="shared" si="2"/>
      </c>
      <c r="N34" s="595">
        <f t="shared" si="3"/>
        <v>20</v>
      </c>
      <c r="O34" s="596" t="str">
        <f t="shared" si="4"/>
        <v>--</v>
      </c>
      <c r="P34" s="597" t="str">
        <f t="shared" si="5"/>
        <v>--</v>
      </c>
      <c r="Q34" s="598" t="str">
        <f t="shared" si="6"/>
        <v>--</v>
      </c>
      <c r="R34" s="599" t="str">
        <f t="shared" si="7"/>
        <v>--</v>
      </c>
      <c r="S34" s="600">
        <f t="shared" si="8"/>
      </c>
      <c r="T34" s="601">
        <f t="shared" si="9"/>
      </c>
      <c r="U34" s="601" t="s">
        <v>126</v>
      </c>
      <c r="V34" s="601"/>
      <c r="W34" s="311"/>
    </row>
    <row r="35" spans="2:27" s="78" customFormat="1" ht="16.5" customHeight="1" thickBot="1" thickTop="1">
      <c r="B35" s="130"/>
      <c r="C35" s="605" t="s">
        <v>230</v>
      </c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7"/>
      <c r="W35" s="187"/>
      <c r="X35" s="8"/>
      <c r="Y35" s="8"/>
      <c r="Z35" s="8"/>
      <c r="AA35" s="8"/>
    </row>
    <row r="36" spans="2:23" ht="16.5" customHeight="1" thickTop="1">
      <c r="B36" s="396"/>
      <c r="C36" s="397">
        <v>27</v>
      </c>
      <c r="D36" s="585" t="s">
        <v>25</v>
      </c>
      <c r="E36" s="294" t="s">
        <v>40</v>
      </c>
      <c r="F36" s="603">
        <v>33</v>
      </c>
      <c r="G36" s="398">
        <f aca="true" t="shared" si="12" ref="G36:G42">IF(OR(F36=132,F36=66),$E$14,IF(F36=33,$E$15,$E$16))*$F$17</f>
        <v>2.07207</v>
      </c>
      <c r="H36" s="399">
        <v>36223.44027777778</v>
      </c>
      <c r="I36" s="399">
        <v>36223.51527777778</v>
      </c>
      <c r="J36" s="400">
        <f t="shared" si="0"/>
        <v>1.7999999999301508</v>
      </c>
      <c r="K36" s="401">
        <f t="shared" si="1"/>
        <v>108</v>
      </c>
      <c r="L36" s="402" t="s">
        <v>121</v>
      </c>
      <c r="M36" s="403" t="str">
        <f t="shared" si="2"/>
        <v>--</v>
      </c>
      <c r="N36" s="404">
        <f t="shared" si="3"/>
        <v>25</v>
      </c>
      <c r="O36" s="586">
        <f t="shared" si="4"/>
        <v>9.324315</v>
      </c>
      <c r="P36" s="587" t="str">
        <f t="shared" si="5"/>
        <v>--</v>
      </c>
      <c r="Q36" s="588" t="str">
        <f t="shared" si="6"/>
        <v>--</v>
      </c>
      <c r="R36" s="408" t="str">
        <f t="shared" si="7"/>
        <v>--</v>
      </c>
      <c r="S36" s="409" t="str">
        <f t="shared" si="8"/>
        <v>SI</v>
      </c>
      <c r="T36" s="410">
        <f t="shared" si="9"/>
        <v>9.324315</v>
      </c>
      <c r="U36" s="410">
        <v>7.2764999999999995</v>
      </c>
      <c r="V36" s="410">
        <f aca="true" t="shared" si="13" ref="V36:V42">+T36-U36</f>
        <v>2.047815000000001</v>
      </c>
      <c r="W36" s="311"/>
    </row>
    <row r="37" spans="2:23" ht="16.5" customHeight="1">
      <c r="B37" s="396"/>
      <c r="C37" s="397">
        <v>28</v>
      </c>
      <c r="D37" s="314" t="s">
        <v>156</v>
      </c>
      <c r="E37" s="294" t="s">
        <v>136</v>
      </c>
      <c r="F37" s="411">
        <v>33</v>
      </c>
      <c r="G37" s="398">
        <f t="shared" si="12"/>
        <v>2.07207</v>
      </c>
      <c r="H37" s="399">
        <v>36228.59444444445</v>
      </c>
      <c r="I37" s="399">
        <v>36228.72708333333</v>
      </c>
      <c r="J37" s="400">
        <f t="shared" si="0"/>
        <v>3.18333333323244</v>
      </c>
      <c r="K37" s="401">
        <f t="shared" si="1"/>
        <v>191</v>
      </c>
      <c r="L37" s="402" t="s">
        <v>121</v>
      </c>
      <c r="M37" s="403" t="str">
        <f t="shared" si="2"/>
        <v>--</v>
      </c>
      <c r="N37" s="404">
        <f t="shared" si="3"/>
        <v>25</v>
      </c>
      <c r="O37" s="405">
        <f t="shared" si="4"/>
        <v>16.472956500000002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 t="str">
        <f t="shared" si="8"/>
        <v>SI</v>
      </c>
      <c r="T37" s="410">
        <f t="shared" si="9"/>
        <v>16.472956500000002</v>
      </c>
      <c r="U37" s="410">
        <v>12.855149999999998</v>
      </c>
      <c r="V37" s="410">
        <f t="shared" si="13"/>
        <v>3.617806500000004</v>
      </c>
      <c r="W37" s="311"/>
    </row>
    <row r="38" spans="2:23" ht="16.5" customHeight="1">
      <c r="B38" s="396"/>
      <c r="C38" s="397">
        <v>29</v>
      </c>
      <c r="D38" s="314" t="s">
        <v>25</v>
      </c>
      <c r="E38" s="294" t="s">
        <v>158</v>
      </c>
      <c r="F38" s="411">
        <v>33</v>
      </c>
      <c r="G38" s="398">
        <f t="shared" si="12"/>
        <v>2.07207</v>
      </c>
      <c r="H38" s="399">
        <v>36229.486805555556</v>
      </c>
      <c r="I38" s="399">
        <v>36229.6375</v>
      </c>
      <c r="J38" s="400">
        <f t="shared" si="0"/>
        <v>3.6166666665812954</v>
      </c>
      <c r="K38" s="401">
        <f t="shared" si="1"/>
        <v>217</v>
      </c>
      <c r="L38" s="402" t="s">
        <v>121</v>
      </c>
      <c r="M38" s="403" t="str">
        <f t="shared" si="2"/>
        <v>--</v>
      </c>
      <c r="N38" s="404">
        <f t="shared" si="3"/>
        <v>25</v>
      </c>
      <c r="O38" s="405">
        <f t="shared" si="4"/>
        <v>18.752233500000003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 t="str">
        <f t="shared" si="8"/>
        <v>SI</v>
      </c>
      <c r="T38" s="410">
        <f t="shared" si="9"/>
        <v>18.752233500000003</v>
      </c>
      <c r="U38" s="410">
        <v>14.633849999999999</v>
      </c>
      <c r="V38" s="410">
        <f t="shared" si="13"/>
        <v>4.118383500000004</v>
      </c>
      <c r="W38" s="311"/>
    </row>
    <row r="39" spans="2:23" ht="16.5" customHeight="1">
      <c r="B39" s="396"/>
      <c r="C39" s="397">
        <v>30</v>
      </c>
      <c r="D39" s="314" t="s">
        <v>38</v>
      </c>
      <c r="E39" s="294" t="s">
        <v>52</v>
      </c>
      <c r="F39" s="411">
        <v>13.2</v>
      </c>
      <c r="G39" s="398">
        <f t="shared" si="12"/>
        <v>2.07207</v>
      </c>
      <c r="H39" s="399">
        <v>36230.444444444445</v>
      </c>
      <c r="I39" s="399">
        <v>36230.489583333336</v>
      </c>
      <c r="J39" s="400">
        <f t="shared" si="0"/>
        <v>1.0833333333721384</v>
      </c>
      <c r="K39" s="401">
        <f t="shared" si="1"/>
        <v>65</v>
      </c>
      <c r="L39" s="402" t="s">
        <v>121</v>
      </c>
      <c r="M39" s="403" t="str">
        <f t="shared" si="2"/>
        <v>--</v>
      </c>
      <c r="N39" s="404">
        <f t="shared" si="3"/>
        <v>20</v>
      </c>
      <c r="O39" s="405">
        <f t="shared" si="4"/>
        <v>4.475671200000001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 t="str">
        <f t="shared" si="8"/>
        <v>SI</v>
      </c>
      <c r="T39" s="410">
        <f t="shared" si="9"/>
        <v>4.475671200000001</v>
      </c>
      <c r="U39" s="410">
        <v>3.4927200000000007</v>
      </c>
      <c r="V39" s="410">
        <f t="shared" si="13"/>
        <v>0.9829512</v>
      </c>
      <c r="W39" s="311"/>
    </row>
    <row r="40" spans="2:23" ht="16.5" customHeight="1">
      <c r="B40" s="396"/>
      <c r="C40" s="397">
        <v>31</v>
      </c>
      <c r="D40" s="314" t="s">
        <v>57</v>
      </c>
      <c r="E40" s="294" t="s">
        <v>58</v>
      </c>
      <c r="F40" s="411">
        <v>33</v>
      </c>
      <c r="G40" s="398">
        <f t="shared" si="12"/>
        <v>2.07207</v>
      </c>
      <c r="H40" s="399">
        <v>36237.59722222222</v>
      </c>
      <c r="I40" s="399">
        <v>36237.65694444445</v>
      </c>
      <c r="J40" s="400">
        <f t="shared" si="0"/>
        <v>1.4333333334652707</v>
      </c>
      <c r="K40" s="401">
        <f t="shared" si="1"/>
        <v>86</v>
      </c>
      <c r="L40" s="402" t="s">
        <v>121</v>
      </c>
      <c r="M40" s="403" t="str">
        <f t="shared" si="2"/>
        <v>--</v>
      </c>
      <c r="N40" s="404">
        <f t="shared" si="3"/>
        <v>25</v>
      </c>
      <c r="O40" s="405">
        <f t="shared" si="4"/>
        <v>7.40765025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 t="str">
        <f t="shared" si="8"/>
        <v>SI</v>
      </c>
      <c r="T40" s="410">
        <f t="shared" si="9"/>
        <v>7.40765025</v>
      </c>
      <c r="U40" s="410">
        <v>5.780774999999999</v>
      </c>
      <c r="V40" s="410">
        <f t="shared" si="13"/>
        <v>1.6268752500000003</v>
      </c>
      <c r="W40" s="311"/>
    </row>
    <row r="41" spans="2:23" ht="16.5" customHeight="1">
      <c r="B41" s="396"/>
      <c r="C41" s="397">
        <v>32</v>
      </c>
      <c r="D41" s="314" t="s">
        <v>38</v>
      </c>
      <c r="E41" s="294" t="s">
        <v>49</v>
      </c>
      <c r="F41" s="411">
        <v>13.2</v>
      </c>
      <c r="G41" s="398">
        <f t="shared" si="12"/>
        <v>2.07207</v>
      </c>
      <c r="H41" s="399">
        <v>36241.444444444445</v>
      </c>
      <c r="I41" s="399">
        <v>36241.49166666667</v>
      </c>
      <c r="J41" s="400">
        <f t="shared" si="0"/>
        <v>1.133333333360497</v>
      </c>
      <c r="K41" s="401">
        <f t="shared" si="1"/>
        <v>68</v>
      </c>
      <c r="L41" s="402" t="s">
        <v>121</v>
      </c>
      <c r="M41" s="403" t="str">
        <f t="shared" si="2"/>
        <v>--</v>
      </c>
      <c r="N41" s="404">
        <f t="shared" si="3"/>
        <v>20</v>
      </c>
      <c r="O41" s="405">
        <f t="shared" si="4"/>
        <v>4.682878199999999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 t="str">
        <f t="shared" si="8"/>
        <v>SI</v>
      </c>
      <c r="T41" s="410">
        <f t="shared" si="9"/>
        <v>4.682878199999999</v>
      </c>
      <c r="U41" s="410">
        <v>3.65442</v>
      </c>
      <c r="V41" s="410">
        <f t="shared" si="13"/>
        <v>1.0284581999999993</v>
      </c>
      <c r="W41" s="311"/>
    </row>
    <row r="42" spans="2:23" ht="16.5" customHeight="1">
      <c r="B42" s="396"/>
      <c r="C42" s="397">
        <v>33</v>
      </c>
      <c r="D42" s="314" t="s">
        <v>38</v>
      </c>
      <c r="E42" s="294" t="s">
        <v>157</v>
      </c>
      <c r="F42" s="411">
        <v>13.2</v>
      </c>
      <c r="G42" s="398">
        <f t="shared" si="12"/>
        <v>2.07207</v>
      </c>
      <c r="H42" s="399">
        <v>36241.51597222222</v>
      </c>
      <c r="I42" s="399">
        <v>36241.54791666667</v>
      </c>
      <c r="J42" s="400">
        <f t="shared" si="0"/>
        <v>0.7666666667209938</v>
      </c>
      <c r="K42" s="401">
        <f t="shared" si="1"/>
        <v>46</v>
      </c>
      <c r="L42" s="402" t="s">
        <v>121</v>
      </c>
      <c r="M42" s="403" t="str">
        <f t="shared" si="2"/>
        <v>--</v>
      </c>
      <c r="N42" s="404">
        <f t="shared" si="3"/>
        <v>20</v>
      </c>
      <c r="O42" s="405">
        <f t="shared" si="4"/>
        <v>3.1909878000000003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 t="str">
        <f t="shared" si="8"/>
        <v>SI</v>
      </c>
      <c r="T42" s="410">
        <f t="shared" si="9"/>
        <v>3.1909878000000003</v>
      </c>
      <c r="U42" s="410">
        <v>2.4901800000000005</v>
      </c>
      <c r="V42" s="410">
        <f t="shared" si="13"/>
        <v>0.7008077999999998</v>
      </c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37"/>
      <c r="U43" s="437"/>
      <c r="V43" s="437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334">
        <f>ROUND(SUM(T20:T43),2)</f>
        <v>6004</v>
      </c>
      <c r="U44" s="334">
        <f>ROUND(SUM(U20:U43),2)</f>
        <v>4664.68</v>
      </c>
      <c r="V44" s="334">
        <f>ROUND(SUM(V20:V43),2)</f>
        <v>1339.34</v>
      </c>
      <c r="W44" s="311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35:V35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912">
    <pageSetUpPr fitToPage="1"/>
  </sheetPr>
  <dimension ref="A1:AA16383"/>
  <sheetViews>
    <sheetView zoomScale="75" zoomScaleNormal="75" workbookViewId="0" topLeftCell="B9">
      <selection activeCell="E14" sqref="E14:E16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240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2.79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2.093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2.093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115" t="s">
        <v>226</v>
      </c>
      <c r="V19" s="115" t="s">
        <v>127</v>
      </c>
      <c r="W19" s="374"/>
    </row>
    <row r="20" spans="2:23" s="149" customFormat="1" ht="16.5" customHeight="1" thickTop="1">
      <c r="B20" s="375"/>
      <c r="C20" s="376"/>
      <c r="D20" s="279" t="s">
        <v>254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(8)'!T44</f>
        <v>6004</v>
      </c>
      <c r="U20" s="148">
        <f>+'SA (8)'!U44</f>
        <v>4664.68</v>
      </c>
      <c r="V20" s="148">
        <f>+'SA (8)'!V44</f>
        <v>1339.34</v>
      </c>
      <c r="W20" s="166"/>
    </row>
    <row r="21" spans="2:23" s="149" customFormat="1" ht="16.5" customHeight="1">
      <c r="B21" s="375"/>
      <c r="C21" s="385"/>
      <c r="D21" s="386"/>
      <c r="E21" s="386"/>
      <c r="F21" s="292"/>
      <c r="G21" s="387"/>
      <c r="H21" s="292"/>
      <c r="I21" s="388"/>
      <c r="J21" s="291"/>
      <c r="K21" s="389"/>
      <c r="L21" s="390"/>
      <c r="M21" s="292"/>
      <c r="N21" s="391"/>
      <c r="O21" s="392"/>
      <c r="P21" s="393"/>
      <c r="Q21" s="394"/>
      <c r="R21" s="395"/>
      <c r="S21" s="291"/>
      <c r="T21" s="291"/>
      <c r="U21" s="291"/>
      <c r="V21" s="291"/>
      <c r="W21" s="166"/>
    </row>
    <row r="22" spans="2:23" ht="16.5" customHeight="1">
      <c r="B22" s="396"/>
      <c r="C22" s="397">
        <v>34</v>
      </c>
      <c r="D22" s="314" t="s">
        <v>41</v>
      </c>
      <c r="E22" s="294" t="s">
        <v>42</v>
      </c>
      <c r="F22" s="294">
        <v>13.2</v>
      </c>
      <c r="G22" s="398">
        <f>IF(OR(F22=132,F22=66),$E$14,IF(F22=33,$E$15,$E$16))*$F$17</f>
        <v>2.07207</v>
      </c>
      <c r="H22" s="399">
        <v>36242.00555555556</v>
      </c>
      <c r="I22" s="399">
        <v>36242.07083333333</v>
      </c>
      <c r="J22" s="400">
        <f aca="true" t="shared" si="0" ref="J22:J35">IF(H22="","",(I22-H22)*24)</f>
        <v>1.5666666665347293</v>
      </c>
      <c r="K22" s="401">
        <f aca="true" t="shared" si="1" ref="K22:K35">IF(I22="","",ROUND((I22-H22)*24*60,0))</f>
        <v>94</v>
      </c>
      <c r="L22" s="402" t="s">
        <v>121</v>
      </c>
      <c r="M22" s="403" t="str">
        <f aca="true" t="shared" si="2" ref="M22:M42">IF(L22="","",IF(OR(L22="P",L22="RP"),"--","NO"))</f>
        <v>--</v>
      </c>
      <c r="N22" s="404">
        <f aca="true" t="shared" si="3" ref="N22:N35">IF(OR(F22=132,F22=66),$F$14,IF(F22=33,$F$15,$F$16))</f>
        <v>20</v>
      </c>
      <c r="O22" s="405">
        <f aca="true" t="shared" si="4" ref="O22:O35">IF(L22="P",G22*N22*0.1*ROUND(K22/60,2),"--")</f>
        <v>6.506299800000001</v>
      </c>
      <c r="P22" s="406" t="str">
        <f aca="true" t="shared" si="5" ref="P22:P35">IF(M22="NO",IF(L22="F",G22*N22,"--"),"--")</f>
        <v>--</v>
      </c>
      <c r="Q22" s="407" t="str">
        <f aca="true" t="shared" si="6" ref="Q22:Q35">IF(L22="F",G22*N22*ROUND(K22/60,2),"--")</f>
        <v>--</v>
      </c>
      <c r="R22" s="408" t="str">
        <f aca="true" t="shared" si="7" ref="R22:R35">IF(L22="RF",G22*N22*ROUND(K22/60,2),"--")</f>
        <v>--</v>
      </c>
      <c r="S22" s="409" t="str">
        <f aca="true" t="shared" si="8" ref="S22:S35">IF(D22="","","SI")</f>
        <v>SI</v>
      </c>
      <c r="T22" s="410">
        <f aca="true" t="shared" si="9" ref="T22:T35">IF(D22="","",IF(F22="500/220",0,IF(S22="SI",SUM(O22:R22),2*SUM(O22:R22))))</f>
        <v>6.506299800000001</v>
      </c>
      <c r="U22" s="410">
        <v>5.077380000000001</v>
      </c>
      <c r="V22" s="410">
        <f aca="true" t="shared" si="10" ref="V22:V27">+T22-U22</f>
        <v>1.4289198</v>
      </c>
      <c r="W22" s="311"/>
    </row>
    <row r="23" spans="2:23" ht="16.5" customHeight="1">
      <c r="B23" s="396"/>
      <c r="C23" s="397">
        <v>35</v>
      </c>
      <c r="D23" s="314" t="s">
        <v>41</v>
      </c>
      <c r="E23" s="294" t="s">
        <v>32</v>
      </c>
      <c r="F23" s="411">
        <v>13.2</v>
      </c>
      <c r="G23" s="398">
        <f aca="true" t="shared" si="11" ref="G23:G28">IF(OR(F23=132,F23=66),$E$14,IF(F23=33,$E$15,$E$16))*$F$17</f>
        <v>2.07207</v>
      </c>
      <c r="H23" s="399">
        <v>36242.07986111111</v>
      </c>
      <c r="I23" s="399">
        <v>36242.129166666666</v>
      </c>
      <c r="J23" s="400">
        <f t="shared" si="0"/>
        <v>1.1833333333488554</v>
      </c>
      <c r="K23" s="401">
        <f t="shared" si="1"/>
        <v>71</v>
      </c>
      <c r="L23" s="402" t="s">
        <v>121</v>
      </c>
      <c r="M23" s="403" t="str">
        <f t="shared" si="2"/>
        <v>--</v>
      </c>
      <c r="N23" s="404">
        <f t="shared" si="3"/>
        <v>20</v>
      </c>
      <c r="O23" s="405">
        <f t="shared" si="4"/>
        <v>4.8900852</v>
      </c>
      <c r="P23" s="406" t="str">
        <f t="shared" si="5"/>
        <v>--</v>
      </c>
      <c r="Q23" s="407" t="str">
        <f t="shared" si="6"/>
        <v>--</v>
      </c>
      <c r="R23" s="408" t="str">
        <f t="shared" si="7"/>
        <v>--</v>
      </c>
      <c r="S23" s="409" t="str">
        <f t="shared" si="8"/>
        <v>SI</v>
      </c>
      <c r="T23" s="410">
        <f t="shared" si="9"/>
        <v>4.8900852</v>
      </c>
      <c r="U23" s="410">
        <v>3.81612</v>
      </c>
      <c r="V23" s="410">
        <f t="shared" si="10"/>
        <v>1.0739651999999995</v>
      </c>
      <c r="W23" s="311"/>
    </row>
    <row r="24" spans="2:23" ht="16.5" customHeight="1">
      <c r="B24" s="396"/>
      <c r="C24" s="397">
        <v>36</v>
      </c>
      <c r="D24" s="314" t="s">
        <v>41</v>
      </c>
      <c r="E24" s="294" t="s">
        <v>166</v>
      </c>
      <c r="F24" s="411">
        <v>13.2</v>
      </c>
      <c r="G24" s="398">
        <f t="shared" si="11"/>
        <v>2.07207</v>
      </c>
      <c r="H24" s="399">
        <v>36244.05486111111</v>
      </c>
      <c r="I24" s="399">
        <v>36244.10138888889</v>
      </c>
      <c r="J24" s="400">
        <f t="shared" si="0"/>
        <v>1.116666666814126</v>
      </c>
      <c r="K24" s="401">
        <f t="shared" si="1"/>
        <v>67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4.641436800000001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4.641436800000001</v>
      </c>
      <c r="U24" s="410">
        <v>3.622080000000001</v>
      </c>
      <c r="V24" s="410">
        <f t="shared" si="10"/>
        <v>1.0193568000000002</v>
      </c>
      <c r="W24" s="311"/>
    </row>
    <row r="25" spans="2:23" ht="16.5" customHeight="1">
      <c r="B25" s="396"/>
      <c r="C25" s="397">
        <v>37</v>
      </c>
      <c r="D25" s="314" t="s">
        <v>41</v>
      </c>
      <c r="E25" s="294" t="s">
        <v>176</v>
      </c>
      <c r="F25" s="411">
        <v>13.2</v>
      </c>
      <c r="G25" s="398">
        <f t="shared" si="11"/>
        <v>2.07207</v>
      </c>
      <c r="H25" s="399">
        <v>36244.123611111114</v>
      </c>
      <c r="I25" s="399">
        <v>36244.160416666666</v>
      </c>
      <c r="J25" s="400">
        <f t="shared" si="0"/>
        <v>0.8833333332440816</v>
      </c>
      <c r="K25" s="401">
        <f t="shared" si="1"/>
        <v>53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3.6468432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3.6468432</v>
      </c>
      <c r="U25" s="410">
        <v>2.8459200000000004</v>
      </c>
      <c r="V25" s="410">
        <f t="shared" si="10"/>
        <v>0.8009231999999997</v>
      </c>
      <c r="W25" s="311"/>
    </row>
    <row r="26" spans="2:23" ht="16.5" customHeight="1">
      <c r="B26" s="396"/>
      <c r="C26" s="397">
        <v>38</v>
      </c>
      <c r="D26" s="314" t="s">
        <v>41</v>
      </c>
      <c r="E26" s="294" t="s">
        <v>177</v>
      </c>
      <c r="F26" s="411">
        <v>13.2</v>
      </c>
      <c r="G26" s="398">
        <f t="shared" si="11"/>
        <v>2.07207</v>
      </c>
      <c r="H26" s="399">
        <v>36245.14722222222</v>
      </c>
      <c r="I26" s="399">
        <v>36245.191666666666</v>
      </c>
      <c r="J26" s="400">
        <f t="shared" si="0"/>
        <v>1.0666666666511446</v>
      </c>
      <c r="K26" s="401">
        <f t="shared" si="1"/>
        <v>64</v>
      </c>
      <c r="L26" s="402" t="s">
        <v>121</v>
      </c>
      <c r="M26" s="403" t="str">
        <f t="shared" si="2"/>
        <v>--</v>
      </c>
      <c r="N26" s="404">
        <f t="shared" si="3"/>
        <v>20</v>
      </c>
      <c r="O26" s="405">
        <f t="shared" si="4"/>
        <v>4.434229800000001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4.434229800000001</v>
      </c>
      <c r="U26" s="410">
        <v>3.4603800000000007</v>
      </c>
      <c r="V26" s="410">
        <f t="shared" si="10"/>
        <v>0.9738498</v>
      </c>
      <c r="W26" s="311"/>
    </row>
    <row r="27" spans="2:23" ht="16.5" customHeight="1">
      <c r="B27" s="396"/>
      <c r="C27" s="397">
        <v>39</v>
      </c>
      <c r="D27" s="314" t="s">
        <v>41</v>
      </c>
      <c r="E27" s="294" t="s">
        <v>167</v>
      </c>
      <c r="F27" s="411">
        <v>13.2</v>
      </c>
      <c r="G27" s="398">
        <f t="shared" si="11"/>
        <v>2.07207</v>
      </c>
      <c r="H27" s="399">
        <v>36245.20208333333</v>
      </c>
      <c r="I27" s="399">
        <v>36245.25763888889</v>
      </c>
      <c r="J27" s="400">
        <f t="shared" si="0"/>
        <v>1.3333333334885538</v>
      </c>
      <c r="K27" s="401">
        <f t="shared" si="1"/>
        <v>80</v>
      </c>
      <c r="L27" s="402" t="s">
        <v>121</v>
      </c>
      <c r="M27" s="403" t="str">
        <f t="shared" si="2"/>
        <v>--</v>
      </c>
      <c r="N27" s="404">
        <f t="shared" si="3"/>
        <v>20</v>
      </c>
      <c r="O27" s="405">
        <f t="shared" si="4"/>
        <v>5.511706200000001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5.511706200000001</v>
      </c>
      <c r="U27" s="410">
        <v>4.301220000000001</v>
      </c>
      <c r="V27" s="410">
        <f t="shared" si="10"/>
        <v>1.2104862</v>
      </c>
      <c r="W27" s="311"/>
    </row>
    <row r="28" spans="2:23" ht="16.5" customHeight="1" thickBot="1">
      <c r="B28" s="396"/>
      <c r="C28" s="589"/>
      <c r="D28" s="293"/>
      <c r="E28" s="475"/>
      <c r="F28" s="602"/>
      <c r="G28" s="398">
        <f t="shared" si="11"/>
        <v>2.07207</v>
      </c>
      <c r="H28" s="590"/>
      <c r="I28" s="590"/>
      <c r="J28" s="591">
        <f t="shared" si="0"/>
      </c>
      <c r="K28" s="592">
        <f t="shared" si="1"/>
      </c>
      <c r="L28" s="593"/>
      <c r="M28" s="594">
        <f t="shared" si="2"/>
      </c>
      <c r="N28" s="595">
        <f t="shared" si="3"/>
        <v>20</v>
      </c>
      <c r="O28" s="596" t="str">
        <f t="shared" si="4"/>
        <v>--</v>
      </c>
      <c r="P28" s="597" t="str">
        <f t="shared" si="5"/>
        <v>--</v>
      </c>
      <c r="Q28" s="598" t="str">
        <f t="shared" si="6"/>
        <v>--</v>
      </c>
      <c r="R28" s="599" t="str">
        <f t="shared" si="7"/>
        <v>--</v>
      </c>
      <c r="S28" s="600">
        <f t="shared" si="8"/>
      </c>
      <c r="T28" s="601">
        <f t="shared" si="9"/>
      </c>
      <c r="U28" s="601" t="s">
        <v>126</v>
      </c>
      <c r="V28" s="601"/>
      <c r="W28" s="311"/>
    </row>
    <row r="29" spans="2:27" s="78" customFormat="1" ht="16.5" customHeight="1" thickBot="1" thickTop="1">
      <c r="B29" s="130"/>
      <c r="C29" s="605" t="s">
        <v>231</v>
      </c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7"/>
      <c r="W29" s="187"/>
      <c r="X29" s="8"/>
      <c r="Y29" s="8"/>
      <c r="Z29" s="8"/>
      <c r="AA29" s="8"/>
    </row>
    <row r="30" spans="2:23" ht="16.5" customHeight="1" thickTop="1">
      <c r="B30" s="396"/>
      <c r="C30" s="397">
        <v>12</v>
      </c>
      <c r="D30" s="585" t="s">
        <v>33</v>
      </c>
      <c r="E30" s="294" t="s">
        <v>179</v>
      </c>
      <c r="F30" s="603">
        <v>132</v>
      </c>
      <c r="G30" s="398">
        <f aca="true" t="shared" si="12" ref="G30:G42">IF(OR(F30=132,F30=66),$E$14,IF(F30=33,$E$15,$E$16))*$F$17</f>
        <v>2.7621</v>
      </c>
      <c r="H30" s="399">
        <v>36256.39097222222</v>
      </c>
      <c r="I30" s="399">
        <v>36256.59305555555</v>
      </c>
      <c r="J30" s="400">
        <f t="shared" si="0"/>
        <v>4.849999999918509</v>
      </c>
      <c r="K30" s="401">
        <f t="shared" si="1"/>
        <v>291</v>
      </c>
      <c r="L30" s="402" t="s">
        <v>121</v>
      </c>
      <c r="M30" s="403" t="str">
        <f t="shared" si="2"/>
        <v>--</v>
      </c>
      <c r="N30" s="404">
        <f t="shared" si="3"/>
        <v>50</v>
      </c>
      <c r="O30" s="586">
        <f t="shared" si="4"/>
        <v>66.98092500000001</v>
      </c>
      <c r="P30" s="587" t="str">
        <f t="shared" si="5"/>
        <v>--</v>
      </c>
      <c r="Q30" s="588" t="str">
        <f t="shared" si="6"/>
        <v>--</v>
      </c>
      <c r="R30" s="408" t="str">
        <f t="shared" si="7"/>
        <v>--</v>
      </c>
      <c r="S30" s="409" t="str">
        <f t="shared" si="8"/>
        <v>SI</v>
      </c>
      <c r="T30" s="410">
        <f t="shared" si="9"/>
        <v>66.98092500000001</v>
      </c>
      <c r="U30" s="410">
        <v>52.283</v>
      </c>
      <c r="V30" s="410">
        <f aca="true" t="shared" si="13" ref="V30:V39">+T30-U30</f>
        <v>14.697925000000012</v>
      </c>
      <c r="W30" s="311"/>
    </row>
    <row r="31" spans="2:23" ht="16.5" customHeight="1">
      <c r="B31" s="396"/>
      <c r="C31" s="397">
        <v>13</v>
      </c>
      <c r="D31" s="314" t="s">
        <v>33</v>
      </c>
      <c r="E31" s="294" t="s">
        <v>180</v>
      </c>
      <c r="F31" s="411">
        <v>132</v>
      </c>
      <c r="G31" s="398">
        <f t="shared" si="12"/>
        <v>2.7621</v>
      </c>
      <c r="H31" s="399">
        <v>36258.384722222225</v>
      </c>
      <c r="I31" s="399">
        <v>36258.540972222225</v>
      </c>
      <c r="J31" s="400">
        <f t="shared" si="0"/>
        <v>3.75</v>
      </c>
      <c r="K31" s="401">
        <f t="shared" si="1"/>
        <v>225</v>
      </c>
      <c r="L31" s="402" t="s">
        <v>121</v>
      </c>
      <c r="M31" s="403" t="str">
        <f t="shared" si="2"/>
        <v>--</v>
      </c>
      <c r="N31" s="404">
        <f t="shared" si="3"/>
        <v>50</v>
      </c>
      <c r="O31" s="405">
        <f t="shared" si="4"/>
        <v>51.789375000000014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 t="str">
        <f t="shared" si="8"/>
        <v>SI</v>
      </c>
      <c r="T31" s="410">
        <f t="shared" si="9"/>
        <v>51.789375000000014</v>
      </c>
      <c r="U31" s="410">
        <v>40.425</v>
      </c>
      <c r="V31" s="410">
        <f t="shared" si="13"/>
        <v>11.364375000000017</v>
      </c>
      <c r="W31" s="311"/>
    </row>
    <row r="32" spans="2:23" ht="16.5" customHeight="1">
      <c r="B32" s="396"/>
      <c r="C32" s="397">
        <v>14</v>
      </c>
      <c r="D32" s="314" t="s">
        <v>41</v>
      </c>
      <c r="E32" s="294" t="s">
        <v>176</v>
      </c>
      <c r="F32" s="411">
        <v>13.2</v>
      </c>
      <c r="G32" s="398">
        <f t="shared" si="12"/>
        <v>2.07207</v>
      </c>
      <c r="H32" s="399">
        <v>36265.416666666664</v>
      </c>
      <c r="I32" s="399">
        <v>36265.44097222222</v>
      </c>
      <c r="J32" s="400">
        <f t="shared" si="0"/>
        <v>0.5833333333139308</v>
      </c>
      <c r="K32" s="401">
        <f t="shared" si="1"/>
        <v>35</v>
      </c>
      <c r="L32" s="402" t="s">
        <v>121</v>
      </c>
      <c r="M32" s="403" t="str">
        <f t="shared" si="2"/>
        <v>--</v>
      </c>
      <c r="N32" s="404">
        <f t="shared" si="3"/>
        <v>20</v>
      </c>
      <c r="O32" s="405">
        <f t="shared" si="4"/>
        <v>2.4036011999999998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 t="str">
        <f t="shared" si="8"/>
        <v>SI</v>
      </c>
      <c r="T32" s="410">
        <f t="shared" si="9"/>
        <v>2.4036011999999998</v>
      </c>
      <c r="U32" s="410">
        <v>1.87572</v>
      </c>
      <c r="V32" s="410">
        <f t="shared" si="13"/>
        <v>0.5278811999999997</v>
      </c>
      <c r="W32" s="311"/>
    </row>
    <row r="33" spans="2:23" ht="16.5" customHeight="1">
      <c r="B33" s="396"/>
      <c r="C33" s="397">
        <v>15</v>
      </c>
      <c r="D33" s="314" t="s">
        <v>38</v>
      </c>
      <c r="E33" s="294" t="s">
        <v>49</v>
      </c>
      <c r="F33" s="411">
        <v>13.2</v>
      </c>
      <c r="G33" s="398">
        <f t="shared" si="12"/>
        <v>2.07207</v>
      </c>
      <c r="H33" s="399">
        <v>36269.447222222225</v>
      </c>
      <c r="I33" s="399">
        <v>36269.478472222225</v>
      </c>
      <c r="J33" s="400">
        <f t="shared" si="0"/>
        <v>0.75</v>
      </c>
      <c r="K33" s="401">
        <f t="shared" si="1"/>
        <v>45</v>
      </c>
      <c r="L33" s="402" t="s">
        <v>121</v>
      </c>
      <c r="M33" s="403" t="str">
        <f t="shared" si="2"/>
        <v>--</v>
      </c>
      <c r="N33" s="404">
        <f t="shared" si="3"/>
        <v>20</v>
      </c>
      <c r="O33" s="405">
        <f t="shared" si="4"/>
        <v>3.108105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 t="str">
        <f t="shared" si="8"/>
        <v>SI</v>
      </c>
      <c r="T33" s="410">
        <f t="shared" si="9"/>
        <v>3.108105</v>
      </c>
      <c r="U33" s="410">
        <v>2.4255000000000004</v>
      </c>
      <c r="V33" s="410">
        <f t="shared" si="13"/>
        <v>0.6826049999999997</v>
      </c>
      <c r="W33" s="311"/>
    </row>
    <row r="34" spans="2:23" ht="16.5" customHeight="1">
      <c r="B34" s="396"/>
      <c r="C34" s="397">
        <v>16</v>
      </c>
      <c r="D34" s="314" t="s">
        <v>38</v>
      </c>
      <c r="E34" s="294" t="s">
        <v>50</v>
      </c>
      <c r="F34" s="411">
        <v>13.2</v>
      </c>
      <c r="G34" s="398">
        <f t="shared" si="12"/>
        <v>2.07207</v>
      </c>
      <c r="H34" s="399">
        <v>36269.504166666666</v>
      </c>
      <c r="I34" s="399">
        <v>36269.55069444444</v>
      </c>
      <c r="J34" s="400">
        <f t="shared" si="0"/>
        <v>1.116666666639503</v>
      </c>
      <c r="K34" s="401">
        <f t="shared" si="1"/>
        <v>67</v>
      </c>
      <c r="L34" s="402" t="s">
        <v>121</v>
      </c>
      <c r="M34" s="403" t="str">
        <f t="shared" si="2"/>
        <v>--</v>
      </c>
      <c r="N34" s="404">
        <f t="shared" si="3"/>
        <v>20</v>
      </c>
      <c r="O34" s="405">
        <f t="shared" si="4"/>
        <v>4.641436800000001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 t="str">
        <f t="shared" si="8"/>
        <v>SI</v>
      </c>
      <c r="T34" s="410">
        <f t="shared" si="9"/>
        <v>4.641436800000001</v>
      </c>
      <c r="U34" s="410">
        <v>3.622080000000001</v>
      </c>
      <c r="V34" s="410">
        <f t="shared" si="13"/>
        <v>1.0193568000000002</v>
      </c>
      <c r="W34" s="311"/>
    </row>
    <row r="35" spans="2:23" ht="16.5" customHeight="1">
      <c r="B35" s="396"/>
      <c r="C35" s="397">
        <v>17</v>
      </c>
      <c r="D35" s="314" t="s">
        <v>31</v>
      </c>
      <c r="E35" s="294" t="s">
        <v>181</v>
      </c>
      <c r="F35" s="411">
        <v>13.2</v>
      </c>
      <c r="G35" s="398">
        <f t="shared" si="12"/>
        <v>2.07207</v>
      </c>
      <c r="H35" s="399">
        <v>36270.90555555555</v>
      </c>
      <c r="I35" s="399">
        <v>36270.955555555556</v>
      </c>
      <c r="J35" s="400">
        <f t="shared" si="0"/>
        <v>1.2000000000698492</v>
      </c>
      <c r="K35" s="401">
        <f t="shared" si="1"/>
        <v>72</v>
      </c>
      <c r="L35" s="402" t="s">
        <v>122</v>
      </c>
      <c r="M35" s="403" t="str">
        <f t="shared" si="2"/>
        <v>NO</v>
      </c>
      <c r="N35" s="404">
        <f t="shared" si="3"/>
        <v>20</v>
      </c>
      <c r="O35" s="405" t="str">
        <f t="shared" si="4"/>
        <v>--</v>
      </c>
      <c r="P35" s="406">
        <f t="shared" si="5"/>
        <v>41.4414</v>
      </c>
      <c r="Q35" s="407">
        <f t="shared" si="6"/>
        <v>49.72968</v>
      </c>
      <c r="R35" s="408" t="str">
        <f t="shared" si="7"/>
        <v>--</v>
      </c>
      <c r="S35" s="409" t="str">
        <f t="shared" si="8"/>
        <v>SI</v>
      </c>
      <c r="T35" s="410">
        <f t="shared" si="9"/>
        <v>91.17108</v>
      </c>
      <c r="U35" s="410">
        <v>71.148</v>
      </c>
      <c r="V35" s="410">
        <f t="shared" si="13"/>
        <v>20.023080000000007</v>
      </c>
      <c r="W35" s="311"/>
    </row>
    <row r="36" spans="2:23" ht="16.5" customHeight="1">
      <c r="B36" s="396"/>
      <c r="C36" s="397">
        <v>18</v>
      </c>
      <c r="D36" s="314" t="s">
        <v>135</v>
      </c>
      <c r="E36" s="294" t="s">
        <v>32</v>
      </c>
      <c r="F36" s="411">
        <v>13.2</v>
      </c>
      <c r="G36" s="398">
        <f t="shared" si="12"/>
        <v>2.07207</v>
      </c>
      <c r="H36" s="399">
        <v>36271.354166666664</v>
      </c>
      <c r="I36" s="399">
        <v>36271.41111111111</v>
      </c>
      <c r="J36" s="400">
        <f aca="true" t="shared" si="14" ref="J36:J42">IF(H36="","",(I36-H36)*24)</f>
        <v>1.3666666667559184</v>
      </c>
      <c r="K36" s="401">
        <f aca="true" t="shared" si="15" ref="K36:K42">IF(I36="","",ROUND((I36-H36)*24*60,0))</f>
        <v>82</v>
      </c>
      <c r="L36" s="402" t="s">
        <v>122</v>
      </c>
      <c r="M36" s="403" t="s">
        <v>129</v>
      </c>
      <c r="N36" s="404">
        <f aca="true" t="shared" si="16" ref="N36:N42">IF(OR(F36=132,F36=66),$F$14,IF(F36=33,$F$15,$F$16))</f>
        <v>20</v>
      </c>
      <c r="O36" s="405" t="str">
        <f aca="true" t="shared" si="17" ref="O36:O42">IF(L36="P",G36*N36*0.1*ROUND(K36/60,2),"--")</f>
        <v>--</v>
      </c>
      <c r="P36" s="406" t="str">
        <f aca="true" t="shared" si="18" ref="P36:P42">IF(M36="NO",IF(L36="F",G36*N36,"--"),"--")</f>
        <v>--</v>
      </c>
      <c r="Q36" s="407">
        <f aca="true" t="shared" si="19" ref="Q36:Q42">IF(L36="F",G36*N36*ROUND(K36/60,2),"--")</f>
        <v>56.77471800000001</v>
      </c>
      <c r="R36" s="408" t="str">
        <f aca="true" t="shared" si="20" ref="R36:R42">IF(L36="RF",G36*N36*ROUND(K36/60,2),"--")</f>
        <v>--</v>
      </c>
      <c r="S36" s="409" t="str">
        <f aca="true" t="shared" si="21" ref="S36:S42">IF(D36="","","SI")</f>
        <v>SI</v>
      </c>
      <c r="T36" s="410">
        <f aca="true" t="shared" si="22" ref="T36:T42">IF(D36="","",IF(F36="500/220",0,IF(S36="SI",SUM(O36:R36),2*SUM(O36:R36))))</f>
        <v>56.77471800000001</v>
      </c>
      <c r="U36" s="410">
        <v>44.305800000000005</v>
      </c>
      <c r="V36" s="410">
        <f t="shared" si="13"/>
        <v>12.468918000000002</v>
      </c>
      <c r="W36" s="311"/>
    </row>
    <row r="37" spans="2:23" ht="16.5" customHeight="1">
      <c r="B37" s="396"/>
      <c r="C37" s="397">
        <v>19</v>
      </c>
      <c r="D37" s="314" t="s">
        <v>43</v>
      </c>
      <c r="E37" s="294" t="s">
        <v>182</v>
      </c>
      <c r="F37" s="411">
        <v>33</v>
      </c>
      <c r="G37" s="398">
        <f t="shared" si="12"/>
        <v>2.07207</v>
      </c>
      <c r="H37" s="399">
        <v>36272.395833333336</v>
      </c>
      <c r="I37" s="399">
        <v>36272.56597222222</v>
      </c>
      <c r="J37" s="400">
        <f t="shared" si="14"/>
        <v>4.0833333331975155</v>
      </c>
      <c r="K37" s="401">
        <f t="shared" si="15"/>
        <v>245</v>
      </c>
      <c r="L37" s="402" t="s">
        <v>121</v>
      </c>
      <c r="M37" s="403" t="str">
        <f t="shared" si="2"/>
        <v>--</v>
      </c>
      <c r="N37" s="404">
        <f t="shared" si="16"/>
        <v>25</v>
      </c>
      <c r="O37" s="405">
        <f t="shared" si="17"/>
        <v>21.135114</v>
      </c>
      <c r="P37" s="406" t="str">
        <f t="shared" si="18"/>
        <v>--</v>
      </c>
      <c r="Q37" s="407" t="str">
        <f t="shared" si="19"/>
        <v>--</v>
      </c>
      <c r="R37" s="408" t="str">
        <f t="shared" si="20"/>
        <v>--</v>
      </c>
      <c r="S37" s="409" t="str">
        <f t="shared" si="21"/>
        <v>SI</v>
      </c>
      <c r="T37" s="410">
        <f t="shared" si="22"/>
        <v>21.135114</v>
      </c>
      <c r="U37" s="410">
        <v>16.493399999999998</v>
      </c>
      <c r="V37" s="410">
        <f t="shared" si="13"/>
        <v>4.641714000000004</v>
      </c>
      <c r="W37" s="311"/>
    </row>
    <row r="38" spans="2:23" ht="16.5" customHeight="1">
      <c r="B38" s="396"/>
      <c r="C38" s="397">
        <v>20</v>
      </c>
      <c r="D38" s="314" t="s">
        <v>41</v>
      </c>
      <c r="E38" s="294" t="s">
        <v>32</v>
      </c>
      <c r="F38" s="411">
        <v>13.2</v>
      </c>
      <c r="G38" s="398">
        <f t="shared" si="12"/>
        <v>2.07207</v>
      </c>
      <c r="H38" s="399">
        <v>36272.41458333333</v>
      </c>
      <c r="I38" s="399">
        <v>36272.444444444445</v>
      </c>
      <c r="J38" s="400">
        <f t="shared" si="14"/>
        <v>0.7166666667326353</v>
      </c>
      <c r="K38" s="401">
        <f t="shared" si="15"/>
        <v>43</v>
      </c>
      <c r="L38" s="402" t="s">
        <v>121</v>
      </c>
      <c r="M38" s="403" t="str">
        <f t="shared" si="2"/>
        <v>--</v>
      </c>
      <c r="N38" s="404">
        <f t="shared" si="16"/>
        <v>20</v>
      </c>
      <c r="O38" s="405">
        <f t="shared" si="17"/>
        <v>2.9837808</v>
      </c>
      <c r="P38" s="406" t="str">
        <f t="shared" si="18"/>
        <v>--</v>
      </c>
      <c r="Q38" s="407" t="str">
        <f t="shared" si="19"/>
        <v>--</v>
      </c>
      <c r="R38" s="408" t="str">
        <f t="shared" si="20"/>
        <v>--</v>
      </c>
      <c r="S38" s="409" t="str">
        <f t="shared" si="21"/>
        <v>SI</v>
      </c>
      <c r="T38" s="410">
        <f t="shared" si="22"/>
        <v>2.9837808</v>
      </c>
      <c r="U38" s="410">
        <v>2.3284800000000003</v>
      </c>
      <c r="V38" s="410">
        <f t="shared" si="13"/>
        <v>0.6553007999999996</v>
      </c>
      <c r="W38" s="311"/>
    </row>
    <row r="39" spans="2:23" ht="16.5" customHeight="1">
      <c r="B39" s="396"/>
      <c r="C39" s="397">
        <v>21</v>
      </c>
      <c r="D39" s="314" t="s">
        <v>44</v>
      </c>
      <c r="E39" s="294" t="s">
        <v>45</v>
      </c>
      <c r="F39" s="411">
        <v>132</v>
      </c>
      <c r="G39" s="398">
        <f t="shared" si="12"/>
        <v>2.7621</v>
      </c>
      <c r="H39" s="399">
        <v>36275.33263888889</v>
      </c>
      <c r="I39" s="399">
        <v>36275.65694444445</v>
      </c>
      <c r="J39" s="400">
        <f t="shared" si="14"/>
        <v>7.78333333338378</v>
      </c>
      <c r="K39" s="401">
        <f t="shared" si="15"/>
        <v>467</v>
      </c>
      <c r="L39" s="402" t="s">
        <v>121</v>
      </c>
      <c r="M39" s="403" t="str">
        <f t="shared" si="2"/>
        <v>--</v>
      </c>
      <c r="N39" s="404">
        <f t="shared" si="16"/>
        <v>50</v>
      </c>
      <c r="O39" s="405">
        <f t="shared" si="17"/>
        <v>107.44569000000003</v>
      </c>
      <c r="P39" s="406" t="str">
        <f t="shared" si="18"/>
        <v>--</v>
      </c>
      <c r="Q39" s="407" t="str">
        <f t="shared" si="19"/>
        <v>--</v>
      </c>
      <c r="R39" s="408" t="str">
        <f t="shared" si="20"/>
        <v>--</v>
      </c>
      <c r="S39" s="409" t="str">
        <f t="shared" si="21"/>
        <v>SI</v>
      </c>
      <c r="T39" s="410">
        <f t="shared" si="22"/>
        <v>107.44569000000003</v>
      </c>
      <c r="U39" s="410">
        <v>83.86840000000001</v>
      </c>
      <c r="V39" s="410">
        <f t="shared" si="13"/>
        <v>23.57729000000002</v>
      </c>
      <c r="W39" s="311"/>
    </row>
    <row r="40" spans="2:23" ht="16.5" customHeight="1">
      <c r="B40" s="396"/>
      <c r="C40" s="397"/>
      <c r="D40" s="314"/>
      <c r="E40" s="294"/>
      <c r="F40" s="411"/>
      <c r="G40" s="398">
        <f t="shared" si="12"/>
        <v>2.07207</v>
      </c>
      <c r="H40" s="399"/>
      <c r="I40" s="399"/>
      <c r="J40" s="400">
        <f t="shared" si="14"/>
      </c>
      <c r="K40" s="401">
        <f t="shared" si="15"/>
      </c>
      <c r="L40" s="402"/>
      <c r="M40" s="403">
        <f t="shared" si="2"/>
      </c>
      <c r="N40" s="404">
        <f t="shared" si="16"/>
        <v>20</v>
      </c>
      <c r="O40" s="405" t="str">
        <f t="shared" si="17"/>
        <v>--</v>
      </c>
      <c r="P40" s="406" t="str">
        <f t="shared" si="18"/>
        <v>--</v>
      </c>
      <c r="Q40" s="407" t="str">
        <f t="shared" si="19"/>
        <v>--</v>
      </c>
      <c r="R40" s="408" t="str">
        <f t="shared" si="20"/>
        <v>--</v>
      </c>
      <c r="S40" s="409">
        <f t="shared" si="21"/>
      </c>
      <c r="T40" s="410">
        <f t="shared" si="22"/>
      </c>
      <c r="U40" s="410" t="s">
        <v>126</v>
      </c>
      <c r="V40" s="410"/>
      <c r="W40" s="311"/>
    </row>
    <row r="41" spans="2:23" ht="16.5" customHeight="1">
      <c r="B41" s="396"/>
      <c r="C41" s="397"/>
      <c r="D41" s="314"/>
      <c r="E41" s="294"/>
      <c r="F41" s="411"/>
      <c r="G41" s="398">
        <f t="shared" si="12"/>
        <v>2.07207</v>
      </c>
      <c r="H41" s="399"/>
      <c r="I41" s="399"/>
      <c r="J41" s="400">
        <f t="shared" si="14"/>
      </c>
      <c r="K41" s="401">
        <f t="shared" si="15"/>
      </c>
      <c r="L41" s="402"/>
      <c r="M41" s="403">
        <f t="shared" si="2"/>
      </c>
      <c r="N41" s="404">
        <f t="shared" si="16"/>
        <v>20</v>
      </c>
      <c r="O41" s="405" t="str">
        <f t="shared" si="17"/>
        <v>--</v>
      </c>
      <c r="P41" s="406" t="str">
        <f t="shared" si="18"/>
        <v>--</v>
      </c>
      <c r="Q41" s="407" t="str">
        <f t="shared" si="19"/>
        <v>--</v>
      </c>
      <c r="R41" s="408" t="str">
        <f t="shared" si="20"/>
        <v>--</v>
      </c>
      <c r="S41" s="409">
        <f t="shared" si="21"/>
      </c>
      <c r="T41" s="410">
        <f t="shared" si="22"/>
      </c>
      <c r="U41" s="410" t="s">
        <v>126</v>
      </c>
      <c r="V41" s="410"/>
      <c r="W41" s="311"/>
    </row>
    <row r="42" spans="2:23" ht="16.5" customHeight="1">
      <c r="B42" s="396"/>
      <c r="C42" s="397"/>
      <c r="D42" s="314"/>
      <c r="E42" s="294"/>
      <c r="F42" s="411"/>
      <c r="G42" s="398">
        <f t="shared" si="12"/>
        <v>2.07207</v>
      </c>
      <c r="H42" s="399"/>
      <c r="I42" s="399"/>
      <c r="J42" s="400">
        <f t="shared" si="14"/>
      </c>
      <c r="K42" s="401">
        <f t="shared" si="15"/>
      </c>
      <c r="L42" s="402"/>
      <c r="M42" s="403">
        <f t="shared" si="2"/>
      </c>
      <c r="N42" s="404">
        <f t="shared" si="16"/>
        <v>20</v>
      </c>
      <c r="O42" s="405" t="str">
        <f t="shared" si="17"/>
        <v>--</v>
      </c>
      <c r="P42" s="406" t="str">
        <f t="shared" si="18"/>
        <v>--</v>
      </c>
      <c r="Q42" s="407" t="str">
        <f t="shared" si="19"/>
        <v>--</v>
      </c>
      <c r="R42" s="408" t="str">
        <f t="shared" si="20"/>
        <v>--</v>
      </c>
      <c r="S42" s="409">
        <f t="shared" si="21"/>
      </c>
      <c r="T42" s="410">
        <f t="shared" si="22"/>
      </c>
      <c r="U42" s="410" t="s">
        <v>126</v>
      </c>
      <c r="V42" s="410"/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37"/>
      <c r="U43" s="437"/>
      <c r="V43" s="437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434">
        <f>ROUND(SUM(T20:T43),2)</f>
        <v>6442.06</v>
      </c>
      <c r="U44" s="434">
        <f>ROUND(SUM(U20:U43),2)</f>
        <v>5006.58</v>
      </c>
      <c r="V44" s="434">
        <f>ROUND(SUM(V20:V43),2)</f>
        <v>1435.51</v>
      </c>
      <c r="W44" s="311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9:V29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14">
    <pageSetUpPr fitToPage="1"/>
  </sheetPr>
  <dimension ref="A1:AA16383"/>
  <sheetViews>
    <sheetView zoomScale="75" zoomScaleNormal="75" workbookViewId="0" topLeftCell="A1">
      <selection activeCell="A23" sqref="A23"/>
    </sheetView>
  </sheetViews>
  <sheetFormatPr defaultColWidth="11.421875" defaultRowHeight="12.75"/>
  <cols>
    <col min="1" max="2" width="15.7109375" style="8" customWidth="1"/>
    <col min="3" max="3" width="4.7109375" style="8" customWidth="1"/>
    <col min="4" max="4" width="30.7109375" style="8" customWidth="1"/>
    <col min="5" max="5" width="35.7109375" style="8" customWidth="1"/>
    <col min="6" max="6" width="8.7109375" style="8" customWidth="1"/>
    <col min="7" max="7" width="14.421875" style="8" hidden="1" customWidth="1"/>
    <col min="8" max="9" width="15.7109375" style="8" customWidth="1"/>
    <col min="10" max="12" width="9.7109375" style="8" customWidth="1"/>
    <col min="13" max="13" width="6.00390625" style="8" customWidth="1"/>
    <col min="14" max="14" width="7.7109375" style="8" hidden="1" customWidth="1"/>
    <col min="15" max="15" width="12.28125" style="8" hidden="1" customWidth="1"/>
    <col min="16" max="16" width="13.8515625" style="8" hidden="1" customWidth="1"/>
    <col min="17" max="18" width="14.00390625" style="8" hidden="1" customWidth="1"/>
    <col min="19" max="19" width="9.7109375" style="8" customWidth="1"/>
    <col min="20" max="23" width="15.7109375" style="8" customWidth="1"/>
    <col min="24" max="24" width="11.57421875" style="8" customWidth="1"/>
    <col min="25" max="16384" width="11.421875" style="8" customWidth="1"/>
  </cols>
  <sheetData>
    <row r="1" spans="2:23" s="3" customFormat="1" ht="26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440" t="s">
        <v>125</v>
      </c>
    </row>
    <row r="2" spans="2:23" s="3" customFormat="1" ht="26.25">
      <c r="B2" s="76" t="str">
        <f>+total!B2</f>
        <v>ANEXO III A LA RESOLUCION ENRE N° 1227/99</v>
      </c>
      <c r="C2" s="343"/>
      <c r="D2" s="343"/>
      <c r="E2" s="7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7"/>
    </row>
    <row r="3" spans="2:22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13" customFormat="1" ht="11.25">
      <c r="A4" s="230" t="s">
        <v>59</v>
      </c>
      <c r="B4" s="80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s="13" customFormat="1" ht="11.25">
      <c r="A5" s="230" t="s">
        <v>60</v>
      </c>
      <c r="B5" s="80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2:22" ht="13.5" thickBo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2:23" ht="13.5" thickTop="1"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346"/>
    </row>
    <row r="8" spans="2:23" s="17" customFormat="1" ht="20.25">
      <c r="B8" s="235"/>
      <c r="C8" s="236"/>
      <c r="D8" s="237" t="s">
        <v>70</v>
      </c>
      <c r="L8" s="347"/>
      <c r="M8" s="347"/>
      <c r="N8" s="347"/>
      <c r="O8" s="236"/>
      <c r="P8" s="236"/>
      <c r="Q8" s="236"/>
      <c r="R8" s="236"/>
      <c r="S8" s="236"/>
      <c r="T8" s="236"/>
      <c r="U8" s="236"/>
      <c r="V8" s="236"/>
      <c r="W8" s="348"/>
    </row>
    <row r="9" spans="2:23" ht="12.75">
      <c r="B9" s="23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/>
    </row>
    <row r="10" spans="2:23" s="17" customFormat="1" ht="20.25">
      <c r="B10" s="235"/>
      <c r="C10" s="236"/>
      <c r="D10" s="349" t="s">
        <v>112</v>
      </c>
      <c r="E10" s="350"/>
      <c r="F10" s="347"/>
      <c r="G10" s="243"/>
      <c r="I10" s="243"/>
      <c r="J10" s="243"/>
      <c r="K10" s="243"/>
      <c r="L10" s="243"/>
      <c r="M10" s="243"/>
      <c r="N10" s="243"/>
      <c r="O10" s="236"/>
      <c r="P10" s="236"/>
      <c r="Q10" s="236"/>
      <c r="R10" s="236"/>
      <c r="S10" s="236"/>
      <c r="T10" s="236"/>
      <c r="U10" s="236"/>
      <c r="V10" s="236"/>
      <c r="W10" s="348"/>
    </row>
    <row r="11" spans="2:23" ht="12.75">
      <c r="B11" s="239"/>
      <c r="C11" s="69"/>
      <c r="D11" s="229"/>
      <c r="E11" s="229"/>
      <c r="F11" s="229"/>
      <c r="G11" s="244"/>
      <c r="I11" s="244"/>
      <c r="J11" s="244"/>
      <c r="K11" s="244"/>
      <c r="L11" s="244"/>
      <c r="M11" s="244"/>
      <c r="N11" s="244"/>
      <c r="O11" s="69"/>
      <c r="P11" s="69"/>
      <c r="Q11" s="69"/>
      <c r="R11" s="69"/>
      <c r="S11" s="69"/>
      <c r="T11" s="69"/>
      <c r="U11" s="69"/>
      <c r="V11" s="69"/>
      <c r="W11" s="54"/>
    </row>
    <row r="12" spans="2:23" s="33" customFormat="1" ht="19.5">
      <c r="B12" s="245" t="s">
        <v>241</v>
      </c>
      <c r="C12" s="246"/>
      <c r="D12" s="247"/>
      <c r="E12" s="247"/>
      <c r="F12" s="247"/>
      <c r="G12" s="351"/>
      <c r="H12" s="96"/>
      <c r="I12" s="351"/>
      <c r="J12" s="351"/>
      <c r="K12" s="351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39"/>
    </row>
    <row r="13" spans="2:23" ht="16.5" thickBot="1">
      <c r="B13" s="239"/>
      <c r="C13" s="69"/>
      <c r="D13" s="69"/>
      <c r="E13" s="69"/>
      <c r="F13" s="249"/>
      <c r="G13" s="229"/>
      <c r="H13" s="250"/>
      <c r="I13" s="229"/>
      <c r="J13" s="229"/>
      <c r="K13" s="22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/>
    </row>
    <row r="14" spans="2:23" ht="16.5" customHeight="1" thickBot="1" thickTop="1">
      <c r="B14" s="239"/>
      <c r="C14" s="251"/>
      <c r="D14" s="352" t="s">
        <v>113</v>
      </c>
      <c r="E14" s="353">
        <v>2.807</v>
      </c>
      <c r="F14" s="354">
        <v>50</v>
      </c>
      <c r="G14" s="355"/>
      <c r="H14" s="106" t="str">
        <f>IF(F14=50," ",IF(F14=100,"  Coeficiente duplicado por tasa de falla &gt;4 Sal. x año/100 km.","REVISAR COEFICIENTE"))</f>
        <v> </v>
      </c>
      <c r="I14" s="355"/>
      <c r="J14" s="355"/>
      <c r="K14" s="355"/>
      <c r="L14" s="355"/>
      <c r="M14" s="355"/>
      <c r="N14" s="355"/>
      <c r="O14" s="355"/>
      <c r="P14" s="355"/>
      <c r="Q14" s="251"/>
      <c r="R14" s="251"/>
      <c r="S14" s="356"/>
      <c r="T14" s="251"/>
      <c r="U14" s="251"/>
      <c r="V14" s="251"/>
      <c r="W14" s="54"/>
    </row>
    <row r="15" spans="2:23" ht="16.5" customHeight="1" thickBot="1" thickTop="1">
      <c r="B15" s="239"/>
      <c r="C15" s="251"/>
      <c r="D15" s="357" t="s">
        <v>114</v>
      </c>
      <c r="E15" s="358">
        <v>2.105</v>
      </c>
      <c r="F15" s="354">
        <v>25</v>
      </c>
      <c r="G15" s="355"/>
      <c r="H15" s="106" t="str">
        <f>IF(F15=25," ",IF(F15=50,"  Coeficiente duplicado por tasa de falla &gt;4 Sal. x año/100 km.","REVISAR COEFICIENTE"))</f>
        <v> </v>
      </c>
      <c r="I15" s="355"/>
      <c r="J15" s="355"/>
      <c r="K15" s="355"/>
      <c r="L15" s="355"/>
      <c r="M15" s="251"/>
      <c r="N15" s="251"/>
      <c r="O15" s="359"/>
      <c r="P15" s="360"/>
      <c r="Q15" s="251"/>
      <c r="R15" s="251"/>
      <c r="S15" s="356"/>
      <c r="T15" s="251"/>
      <c r="U15" s="251"/>
      <c r="V15" s="251"/>
      <c r="W15" s="54"/>
    </row>
    <row r="16" spans="2:23" ht="16.5" customHeight="1" thickBot="1" thickTop="1">
      <c r="B16" s="239"/>
      <c r="C16" s="251"/>
      <c r="D16" s="357" t="s">
        <v>115</v>
      </c>
      <c r="E16" s="361">
        <v>2.105</v>
      </c>
      <c r="F16" s="354">
        <v>20</v>
      </c>
      <c r="G16" s="355"/>
      <c r="H16" s="106" t="str">
        <f>IF(F16=20," ",IF(F16=40,"  Coeficiente duplicado por tasa de falla &gt;4 Sal. x año/100 km.","REVISAR COEFICIENTE"))</f>
        <v> </v>
      </c>
      <c r="I16" s="355"/>
      <c r="J16" s="355"/>
      <c r="K16" s="355"/>
      <c r="L16" s="355"/>
      <c r="M16" s="251"/>
      <c r="N16" s="251"/>
      <c r="O16" s="359"/>
      <c r="P16" s="360"/>
      <c r="Q16" s="251"/>
      <c r="R16" s="251"/>
      <c r="S16" s="356"/>
      <c r="T16" s="251"/>
      <c r="U16" s="251"/>
      <c r="V16" s="251"/>
      <c r="W16" s="54"/>
    </row>
    <row r="17" spans="2:23" ht="16.5" customHeight="1" thickBot="1" thickTop="1">
      <c r="B17" s="239"/>
      <c r="C17" s="251"/>
      <c r="D17" s="614" t="s">
        <v>257</v>
      </c>
      <c r="E17" s="614"/>
      <c r="F17" s="604">
        <v>0.99</v>
      </c>
      <c r="G17" s="355"/>
      <c r="H17" s="106"/>
      <c r="I17" s="355"/>
      <c r="J17" s="355"/>
      <c r="K17" s="355"/>
      <c r="L17" s="355"/>
      <c r="M17" s="251"/>
      <c r="N17" s="251"/>
      <c r="O17" s="359"/>
      <c r="P17" s="360"/>
      <c r="Q17" s="251"/>
      <c r="R17" s="251"/>
      <c r="S17" s="356"/>
      <c r="T17" s="251"/>
      <c r="U17" s="251"/>
      <c r="V17" s="251"/>
      <c r="W17" s="54"/>
    </row>
    <row r="18" spans="2:23" ht="16.5" customHeight="1" thickBot="1" thickTop="1">
      <c r="B18" s="239"/>
      <c r="C18" s="69"/>
      <c r="D18" s="69"/>
      <c r="E18" s="69"/>
      <c r="F18" s="36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54"/>
    </row>
    <row r="19" spans="2:23" s="2" customFormat="1" ht="34.5" customHeight="1" thickBot="1" thickTop="1">
      <c r="B19" s="363"/>
      <c r="C19" s="263" t="s">
        <v>74</v>
      </c>
      <c r="D19" s="264" t="s">
        <v>116</v>
      </c>
      <c r="E19" s="364" t="s">
        <v>100</v>
      </c>
      <c r="F19" s="365" t="s">
        <v>75</v>
      </c>
      <c r="G19" s="366" t="s">
        <v>77</v>
      </c>
      <c r="H19" s="265" t="s">
        <v>78</v>
      </c>
      <c r="I19" s="364" t="s">
        <v>79</v>
      </c>
      <c r="J19" s="367" t="s">
        <v>103</v>
      </c>
      <c r="K19" s="367" t="s">
        <v>104</v>
      </c>
      <c r="L19" s="118" t="s">
        <v>119</v>
      </c>
      <c r="M19" s="265" t="s">
        <v>83</v>
      </c>
      <c r="N19" s="368" t="s">
        <v>117</v>
      </c>
      <c r="O19" s="369" t="s">
        <v>84</v>
      </c>
      <c r="P19" s="370" t="s">
        <v>118</v>
      </c>
      <c r="Q19" s="371"/>
      <c r="R19" s="372" t="s">
        <v>107</v>
      </c>
      <c r="S19" s="373" t="s">
        <v>90</v>
      </c>
      <c r="T19" s="267" t="s">
        <v>91</v>
      </c>
      <c r="U19" s="115" t="s">
        <v>226</v>
      </c>
      <c r="V19" s="115" t="s">
        <v>127</v>
      </c>
      <c r="W19" s="374"/>
    </row>
    <row r="20" spans="2:23" s="149" customFormat="1" ht="16.5" customHeight="1" thickTop="1">
      <c r="B20" s="375"/>
      <c r="C20" s="376"/>
      <c r="D20" s="279" t="s">
        <v>255</v>
      </c>
      <c r="E20" s="377"/>
      <c r="F20" s="378"/>
      <c r="G20" s="379"/>
      <c r="H20" s="279"/>
      <c r="I20" s="279"/>
      <c r="J20" s="279"/>
      <c r="K20" s="279"/>
      <c r="L20" s="279"/>
      <c r="M20" s="279"/>
      <c r="N20" s="380"/>
      <c r="O20" s="381"/>
      <c r="P20" s="382"/>
      <c r="Q20" s="383"/>
      <c r="R20" s="384"/>
      <c r="S20" s="377"/>
      <c r="T20" s="148">
        <f>+'SA (9)'!T44</f>
        <v>6442.06</v>
      </c>
      <c r="U20" s="148">
        <f>+'SA (9)'!U44</f>
        <v>5006.58</v>
      </c>
      <c r="V20" s="148">
        <f>+'SA (9)'!V44</f>
        <v>1435.51</v>
      </c>
      <c r="W20" s="166"/>
    </row>
    <row r="21" spans="2:23" s="149" customFormat="1" ht="16.5" customHeight="1" thickBot="1">
      <c r="B21" s="375"/>
      <c r="C21" s="576"/>
      <c r="D21" s="577"/>
      <c r="E21" s="577"/>
      <c r="F21" s="506"/>
      <c r="G21" s="578"/>
      <c r="H21" s="506"/>
      <c r="I21" s="579"/>
      <c r="J21" s="473"/>
      <c r="K21" s="474"/>
      <c r="L21" s="580"/>
      <c r="M21" s="506"/>
      <c r="N21" s="581"/>
      <c r="O21" s="392"/>
      <c r="P21" s="582"/>
      <c r="Q21" s="583"/>
      <c r="R21" s="584"/>
      <c r="S21" s="473"/>
      <c r="T21" s="473"/>
      <c r="U21" s="473"/>
      <c r="V21" s="473"/>
      <c r="W21" s="166"/>
    </row>
    <row r="22" spans="2:27" s="78" customFormat="1" ht="16.5" customHeight="1" thickBot="1" thickTop="1">
      <c r="B22" s="130"/>
      <c r="C22" s="605" t="s">
        <v>238</v>
      </c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7"/>
      <c r="W22" s="187"/>
      <c r="X22" s="8"/>
      <c r="Y22" s="8"/>
      <c r="Z22" s="8"/>
      <c r="AA22" s="8"/>
    </row>
    <row r="23" spans="2:23" ht="16.5" customHeight="1" thickTop="1">
      <c r="B23" s="396"/>
      <c r="C23" s="397">
        <v>21</v>
      </c>
      <c r="D23" s="585" t="s">
        <v>44</v>
      </c>
      <c r="E23" s="294" t="s">
        <v>45</v>
      </c>
      <c r="F23" s="294">
        <v>132</v>
      </c>
      <c r="G23" s="398">
        <f>IF(OR(F23=132,F23=66),$E$14,IF(F23=33,$E$15,$E$16))*$F$17</f>
        <v>2.77893</v>
      </c>
      <c r="H23" s="399">
        <v>36289.339583333334</v>
      </c>
      <c r="I23" s="399">
        <v>36289.56527777778</v>
      </c>
      <c r="J23" s="400">
        <f aca="true" t="shared" si="0" ref="J23:J42">IF(H23="","",(I23-H23)*24)</f>
        <v>5.416666666686069</v>
      </c>
      <c r="K23" s="401">
        <f aca="true" t="shared" si="1" ref="K23:K42">IF(I23="","",ROUND((I23-H23)*24*60,0))</f>
        <v>325</v>
      </c>
      <c r="L23" s="402" t="s">
        <v>121</v>
      </c>
      <c r="M23" s="403" t="str">
        <f aca="true" t="shared" si="2" ref="M23:M42">IF(L23="","",IF(OR(L23="P",L23="RP"),"--","NO"))</f>
        <v>--</v>
      </c>
      <c r="N23" s="404">
        <f aca="true" t="shared" si="3" ref="N23:N42">IF(OR(F23=132,F23=66),$F$14,IF(F23=33,$F$15,$F$16))</f>
        <v>50</v>
      </c>
      <c r="O23" s="586">
        <f aca="true" t="shared" si="4" ref="O23:O42">IF(L23="P",G23*N23*0.1*ROUND(K23/60,2),"--")</f>
        <v>75.30900299999999</v>
      </c>
      <c r="P23" s="587" t="str">
        <f aca="true" t="shared" si="5" ref="P23:P42">IF(M23="NO",IF(L23="F",G23*N23,"--"),"--")</f>
        <v>--</v>
      </c>
      <c r="Q23" s="588" t="str">
        <f aca="true" t="shared" si="6" ref="Q23:Q42">IF(L23="F",G23*N23*ROUND(K23/60,2),"--")</f>
        <v>--</v>
      </c>
      <c r="R23" s="408" t="str">
        <f aca="true" t="shared" si="7" ref="R23:R42">IF(L23="RF",G23*N23*ROUND(K23/60,2),"--")</f>
        <v>--</v>
      </c>
      <c r="S23" s="409" t="str">
        <f aca="true" t="shared" si="8" ref="S23:S42">IF(D23="","","SI")</f>
        <v>SI</v>
      </c>
      <c r="T23" s="410">
        <f aca="true" t="shared" si="9" ref="T23:T42">IF(D23="","",IF(F23="500/220",0,IF(S23="SI",SUM(O23:R23),2*SUM(O23:R23))))</f>
        <v>75.30900299999999</v>
      </c>
      <c r="U23" s="410">
        <v>58.779900000000005</v>
      </c>
      <c r="V23" s="410">
        <f aca="true" t="shared" si="10" ref="V23:V28">+T23-U23</f>
        <v>16.529102999999985</v>
      </c>
      <c r="W23" s="311"/>
    </row>
    <row r="24" spans="2:23" ht="16.5" customHeight="1">
      <c r="B24" s="396"/>
      <c r="C24" s="397">
        <v>22</v>
      </c>
      <c r="D24" s="314" t="s">
        <v>234</v>
      </c>
      <c r="E24" s="294" t="s">
        <v>235</v>
      </c>
      <c r="F24" s="294">
        <v>13.2</v>
      </c>
      <c r="G24" s="398">
        <f aca="true" t="shared" si="11" ref="G24:G42">IF(OR(F24=132,F24=66),$E$14,IF(F24=33,$E$15,$E$16))*$F$17</f>
        <v>2.0839499999999997</v>
      </c>
      <c r="H24" s="399">
        <v>36291.413194444445</v>
      </c>
      <c r="I24" s="399">
        <v>36291.53055555555</v>
      </c>
      <c r="J24" s="400">
        <f t="shared" si="0"/>
        <v>2.816666666592937</v>
      </c>
      <c r="K24" s="401">
        <f t="shared" si="1"/>
        <v>169</v>
      </c>
      <c r="L24" s="402" t="s">
        <v>121</v>
      </c>
      <c r="M24" s="403" t="str">
        <f t="shared" si="2"/>
        <v>--</v>
      </c>
      <c r="N24" s="404">
        <f t="shared" si="3"/>
        <v>20</v>
      </c>
      <c r="O24" s="405">
        <f t="shared" si="4"/>
        <v>11.753477999999998</v>
      </c>
      <c r="P24" s="406" t="str">
        <f t="shared" si="5"/>
        <v>--</v>
      </c>
      <c r="Q24" s="407" t="str">
        <f t="shared" si="6"/>
        <v>--</v>
      </c>
      <c r="R24" s="408" t="str">
        <f t="shared" si="7"/>
        <v>--</v>
      </c>
      <c r="S24" s="409" t="str">
        <f t="shared" si="8"/>
        <v>SI</v>
      </c>
      <c r="T24" s="410">
        <f t="shared" si="9"/>
        <v>11.753477999999998</v>
      </c>
      <c r="U24" s="410">
        <v>9.17628</v>
      </c>
      <c r="V24" s="410">
        <f t="shared" si="10"/>
        <v>2.5771979999999974</v>
      </c>
      <c r="W24" s="311"/>
    </row>
    <row r="25" spans="2:23" ht="16.5" customHeight="1">
      <c r="B25" s="396"/>
      <c r="C25" s="397">
        <v>23</v>
      </c>
      <c r="D25" s="314" t="s">
        <v>234</v>
      </c>
      <c r="E25" s="294" t="s">
        <v>236</v>
      </c>
      <c r="F25" s="294">
        <v>13.2</v>
      </c>
      <c r="G25" s="398">
        <f t="shared" si="11"/>
        <v>2.0839499999999997</v>
      </c>
      <c r="H25" s="399">
        <v>36291.52569444444</v>
      </c>
      <c r="I25" s="399">
        <v>36291.57430555556</v>
      </c>
      <c r="J25" s="400">
        <f t="shared" si="0"/>
        <v>1.1666666668024845</v>
      </c>
      <c r="K25" s="401">
        <f t="shared" si="1"/>
        <v>70</v>
      </c>
      <c r="L25" s="402" t="s">
        <v>121</v>
      </c>
      <c r="M25" s="403" t="str">
        <f t="shared" si="2"/>
        <v>--</v>
      </c>
      <c r="N25" s="404">
        <f t="shared" si="3"/>
        <v>20</v>
      </c>
      <c r="O25" s="405">
        <f t="shared" si="4"/>
        <v>4.876442999999999</v>
      </c>
      <c r="P25" s="406" t="str">
        <f t="shared" si="5"/>
        <v>--</v>
      </c>
      <c r="Q25" s="407" t="str">
        <f t="shared" si="6"/>
        <v>--</v>
      </c>
      <c r="R25" s="408" t="str">
        <f t="shared" si="7"/>
        <v>--</v>
      </c>
      <c r="S25" s="409" t="str">
        <f t="shared" si="8"/>
        <v>SI</v>
      </c>
      <c r="T25" s="410">
        <f t="shared" si="9"/>
        <v>4.876442999999999</v>
      </c>
      <c r="U25" s="410">
        <v>3.80718</v>
      </c>
      <c r="V25" s="410">
        <f t="shared" si="10"/>
        <v>1.0692629999999994</v>
      </c>
      <c r="W25" s="311"/>
    </row>
    <row r="26" spans="2:23" ht="16.5" customHeight="1">
      <c r="B26" s="363"/>
      <c r="C26" s="397">
        <v>24</v>
      </c>
      <c r="D26" s="314" t="s">
        <v>44</v>
      </c>
      <c r="E26" s="294" t="s">
        <v>45</v>
      </c>
      <c r="F26" s="294">
        <v>132</v>
      </c>
      <c r="G26" s="398">
        <f t="shared" si="11"/>
        <v>2.77893</v>
      </c>
      <c r="H26" s="399">
        <v>36296.375</v>
      </c>
      <c r="I26" s="399">
        <v>36296.43958333333</v>
      </c>
      <c r="J26" s="400">
        <f t="shared" si="0"/>
        <v>1.5499999999883585</v>
      </c>
      <c r="K26" s="401">
        <f t="shared" si="1"/>
        <v>93</v>
      </c>
      <c r="L26" s="402" t="s">
        <v>121</v>
      </c>
      <c r="M26" s="403" t="str">
        <f t="shared" si="2"/>
        <v>--</v>
      </c>
      <c r="N26" s="404">
        <f t="shared" si="3"/>
        <v>50</v>
      </c>
      <c r="O26" s="405">
        <f t="shared" si="4"/>
        <v>21.5367075</v>
      </c>
      <c r="P26" s="406" t="str">
        <f t="shared" si="5"/>
        <v>--</v>
      </c>
      <c r="Q26" s="407" t="str">
        <f t="shared" si="6"/>
        <v>--</v>
      </c>
      <c r="R26" s="408" t="str">
        <f t="shared" si="7"/>
        <v>--</v>
      </c>
      <c r="S26" s="409" t="str">
        <f t="shared" si="8"/>
        <v>SI</v>
      </c>
      <c r="T26" s="410">
        <f t="shared" si="9"/>
        <v>21.5367075</v>
      </c>
      <c r="U26" s="410">
        <v>16.80975</v>
      </c>
      <c r="V26" s="410">
        <f t="shared" si="10"/>
        <v>4.7269574999999975</v>
      </c>
      <c r="W26" s="311"/>
    </row>
    <row r="27" spans="2:23" ht="16.5" customHeight="1">
      <c r="B27" s="396"/>
      <c r="C27" s="397">
        <v>25</v>
      </c>
      <c r="D27" s="314" t="s">
        <v>57</v>
      </c>
      <c r="E27" s="294" t="s">
        <v>237</v>
      </c>
      <c r="F27" s="294">
        <v>132</v>
      </c>
      <c r="G27" s="398">
        <f t="shared" si="11"/>
        <v>2.77893</v>
      </c>
      <c r="H27" s="399">
        <v>36301.38888888889</v>
      </c>
      <c r="I27" s="399">
        <v>36301.43263888889</v>
      </c>
      <c r="J27" s="400">
        <f t="shared" si="0"/>
        <v>1.0499999999301508</v>
      </c>
      <c r="K27" s="401">
        <f t="shared" si="1"/>
        <v>63</v>
      </c>
      <c r="L27" s="402" t="s">
        <v>121</v>
      </c>
      <c r="M27" s="403" t="str">
        <f t="shared" si="2"/>
        <v>--</v>
      </c>
      <c r="N27" s="404">
        <f t="shared" si="3"/>
        <v>50</v>
      </c>
      <c r="O27" s="405">
        <f t="shared" si="4"/>
        <v>14.5893825</v>
      </c>
      <c r="P27" s="406" t="str">
        <f t="shared" si="5"/>
        <v>--</v>
      </c>
      <c r="Q27" s="407" t="str">
        <f t="shared" si="6"/>
        <v>--</v>
      </c>
      <c r="R27" s="408" t="str">
        <f t="shared" si="7"/>
        <v>--</v>
      </c>
      <c r="S27" s="409" t="str">
        <f t="shared" si="8"/>
        <v>SI</v>
      </c>
      <c r="T27" s="410">
        <f t="shared" si="9"/>
        <v>14.5893825</v>
      </c>
      <c r="U27" s="410">
        <v>11.387250000000002</v>
      </c>
      <c r="V27" s="410">
        <f t="shared" si="10"/>
        <v>3.2021324999999976</v>
      </c>
      <c r="W27" s="311"/>
    </row>
    <row r="28" spans="2:23" ht="16.5" customHeight="1">
      <c r="B28" s="396"/>
      <c r="C28" s="397">
        <v>27</v>
      </c>
      <c r="D28" s="314" t="s">
        <v>44</v>
      </c>
      <c r="E28" s="294" t="s">
        <v>45</v>
      </c>
      <c r="F28" s="294">
        <v>132</v>
      </c>
      <c r="G28" s="398">
        <f t="shared" si="11"/>
        <v>2.77893</v>
      </c>
      <c r="H28" s="399">
        <v>36309.5875</v>
      </c>
      <c r="I28" s="399">
        <v>36309.68472222222</v>
      </c>
      <c r="J28" s="400">
        <f t="shared" si="0"/>
        <v>2.333333333255723</v>
      </c>
      <c r="K28" s="401">
        <f t="shared" si="1"/>
        <v>140</v>
      </c>
      <c r="L28" s="402" t="s">
        <v>121</v>
      </c>
      <c r="M28" s="403" t="str">
        <f t="shared" si="2"/>
        <v>--</v>
      </c>
      <c r="N28" s="404">
        <f t="shared" si="3"/>
        <v>50</v>
      </c>
      <c r="O28" s="405">
        <f t="shared" si="4"/>
        <v>32.374534499999996</v>
      </c>
      <c r="P28" s="406" t="str">
        <f t="shared" si="5"/>
        <v>--</v>
      </c>
      <c r="Q28" s="407" t="str">
        <f t="shared" si="6"/>
        <v>--</v>
      </c>
      <c r="R28" s="408" t="str">
        <f t="shared" si="7"/>
        <v>--</v>
      </c>
      <c r="S28" s="409" t="str">
        <f t="shared" si="8"/>
        <v>SI</v>
      </c>
      <c r="T28" s="410">
        <f t="shared" si="9"/>
        <v>32.374534499999996</v>
      </c>
      <c r="U28" s="410">
        <v>25.268850000000004</v>
      </c>
      <c r="V28" s="410">
        <f t="shared" si="10"/>
        <v>7.105684499999992</v>
      </c>
      <c r="W28" s="311"/>
    </row>
    <row r="29" spans="2:23" ht="16.5" customHeight="1">
      <c r="B29" s="396"/>
      <c r="C29" s="397"/>
      <c r="D29" s="314"/>
      <c r="E29" s="294"/>
      <c r="F29" s="294"/>
      <c r="G29" s="398">
        <f t="shared" si="11"/>
        <v>2.0839499999999997</v>
      </c>
      <c r="H29" s="399"/>
      <c r="I29" s="399"/>
      <c r="J29" s="400">
        <f t="shared" si="0"/>
      </c>
      <c r="K29" s="401">
        <f t="shared" si="1"/>
      </c>
      <c r="L29" s="402"/>
      <c r="M29" s="403">
        <f t="shared" si="2"/>
      </c>
      <c r="N29" s="404">
        <f t="shared" si="3"/>
        <v>20</v>
      </c>
      <c r="O29" s="405" t="str">
        <f t="shared" si="4"/>
        <v>--</v>
      </c>
      <c r="P29" s="406" t="str">
        <f t="shared" si="5"/>
        <v>--</v>
      </c>
      <c r="Q29" s="407" t="str">
        <f t="shared" si="6"/>
        <v>--</v>
      </c>
      <c r="R29" s="408" t="str">
        <f t="shared" si="7"/>
        <v>--</v>
      </c>
      <c r="S29" s="409">
        <f t="shared" si="8"/>
      </c>
      <c r="T29" s="410">
        <f t="shared" si="9"/>
      </c>
      <c r="U29" s="410" t="s">
        <v>126</v>
      </c>
      <c r="V29" s="410"/>
      <c r="W29" s="311"/>
    </row>
    <row r="30" spans="2:23" ht="16.5" customHeight="1">
      <c r="B30" s="396"/>
      <c r="C30" s="397"/>
      <c r="D30" s="314"/>
      <c r="E30" s="294"/>
      <c r="F30" s="294"/>
      <c r="G30" s="398">
        <f t="shared" si="11"/>
        <v>2.0839499999999997</v>
      </c>
      <c r="H30" s="399"/>
      <c r="I30" s="399"/>
      <c r="J30" s="400">
        <f t="shared" si="0"/>
      </c>
      <c r="K30" s="401">
        <f t="shared" si="1"/>
      </c>
      <c r="L30" s="402"/>
      <c r="M30" s="403">
        <f t="shared" si="2"/>
      </c>
      <c r="N30" s="404">
        <f t="shared" si="3"/>
        <v>20</v>
      </c>
      <c r="O30" s="405" t="str">
        <f t="shared" si="4"/>
        <v>--</v>
      </c>
      <c r="P30" s="406" t="str">
        <f t="shared" si="5"/>
        <v>--</v>
      </c>
      <c r="Q30" s="407" t="str">
        <f t="shared" si="6"/>
        <v>--</v>
      </c>
      <c r="R30" s="408" t="str">
        <f t="shared" si="7"/>
        <v>--</v>
      </c>
      <c r="S30" s="409">
        <f t="shared" si="8"/>
      </c>
      <c r="T30" s="410">
        <f t="shared" si="9"/>
      </c>
      <c r="U30" s="410" t="s">
        <v>126</v>
      </c>
      <c r="V30" s="410"/>
      <c r="W30" s="311"/>
    </row>
    <row r="31" spans="2:23" ht="16.5" customHeight="1">
      <c r="B31" s="396"/>
      <c r="C31" s="397"/>
      <c r="D31" s="314"/>
      <c r="E31" s="294"/>
      <c r="F31" s="411"/>
      <c r="G31" s="398">
        <f t="shared" si="11"/>
        <v>2.0839499999999997</v>
      </c>
      <c r="H31" s="399"/>
      <c r="I31" s="399"/>
      <c r="J31" s="400">
        <f t="shared" si="0"/>
      </c>
      <c r="K31" s="401">
        <f t="shared" si="1"/>
      </c>
      <c r="L31" s="402"/>
      <c r="M31" s="403">
        <f t="shared" si="2"/>
      </c>
      <c r="N31" s="404">
        <f t="shared" si="3"/>
        <v>20</v>
      </c>
      <c r="O31" s="405" t="str">
        <f t="shared" si="4"/>
        <v>--</v>
      </c>
      <c r="P31" s="406" t="str">
        <f t="shared" si="5"/>
        <v>--</v>
      </c>
      <c r="Q31" s="407" t="str">
        <f t="shared" si="6"/>
        <v>--</v>
      </c>
      <c r="R31" s="408" t="str">
        <f t="shared" si="7"/>
        <v>--</v>
      </c>
      <c r="S31" s="409">
        <f t="shared" si="8"/>
      </c>
      <c r="T31" s="410">
        <f t="shared" si="9"/>
      </c>
      <c r="U31" s="410" t="s">
        <v>126</v>
      </c>
      <c r="V31" s="410"/>
      <c r="W31" s="311"/>
    </row>
    <row r="32" spans="2:23" ht="16.5" customHeight="1">
      <c r="B32" s="396"/>
      <c r="C32" s="397"/>
      <c r="D32" s="314"/>
      <c r="E32" s="294"/>
      <c r="F32" s="411"/>
      <c r="G32" s="398">
        <f t="shared" si="11"/>
        <v>2.0839499999999997</v>
      </c>
      <c r="H32" s="399"/>
      <c r="I32" s="399"/>
      <c r="J32" s="400">
        <f t="shared" si="0"/>
      </c>
      <c r="K32" s="401">
        <f t="shared" si="1"/>
      </c>
      <c r="L32" s="402"/>
      <c r="M32" s="403">
        <f t="shared" si="2"/>
      </c>
      <c r="N32" s="404">
        <f t="shared" si="3"/>
        <v>20</v>
      </c>
      <c r="O32" s="405" t="str">
        <f t="shared" si="4"/>
        <v>--</v>
      </c>
      <c r="P32" s="406" t="str">
        <f t="shared" si="5"/>
        <v>--</v>
      </c>
      <c r="Q32" s="407" t="str">
        <f t="shared" si="6"/>
        <v>--</v>
      </c>
      <c r="R32" s="408" t="str">
        <f t="shared" si="7"/>
        <v>--</v>
      </c>
      <c r="S32" s="409">
        <f t="shared" si="8"/>
      </c>
      <c r="T32" s="410">
        <f t="shared" si="9"/>
      </c>
      <c r="U32" s="410" t="s">
        <v>126</v>
      </c>
      <c r="V32" s="410"/>
      <c r="W32" s="311"/>
    </row>
    <row r="33" spans="2:23" ht="16.5" customHeight="1">
      <c r="B33" s="396"/>
      <c r="C33" s="397"/>
      <c r="D33" s="314"/>
      <c r="E33" s="294"/>
      <c r="F33" s="411"/>
      <c r="G33" s="398">
        <f t="shared" si="11"/>
        <v>2.0839499999999997</v>
      </c>
      <c r="H33" s="399"/>
      <c r="I33" s="399"/>
      <c r="J33" s="400">
        <f t="shared" si="0"/>
      </c>
      <c r="K33" s="401">
        <f t="shared" si="1"/>
      </c>
      <c r="L33" s="402"/>
      <c r="M33" s="403">
        <f t="shared" si="2"/>
      </c>
      <c r="N33" s="404">
        <f t="shared" si="3"/>
        <v>20</v>
      </c>
      <c r="O33" s="405" t="str">
        <f t="shared" si="4"/>
        <v>--</v>
      </c>
      <c r="P33" s="406" t="str">
        <f t="shared" si="5"/>
        <v>--</v>
      </c>
      <c r="Q33" s="407" t="str">
        <f t="shared" si="6"/>
        <v>--</v>
      </c>
      <c r="R33" s="408" t="str">
        <f t="shared" si="7"/>
        <v>--</v>
      </c>
      <c r="S33" s="409">
        <f t="shared" si="8"/>
      </c>
      <c r="T33" s="410">
        <f t="shared" si="9"/>
      </c>
      <c r="U33" s="410" t="s">
        <v>126</v>
      </c>
      <c r="V33" s="410"/>
      <c r="W33" s="311"/>
    </row>
    <row r="34" spans="2:23" ht="16.5" customHeight="1">
      <c r="B34" s="396"/>
      <c r="C34" s="397"/>
      <c r="D34" s="314"/>
      <c r="E34" s="294"/>
      <c r="F34" s="411"/>
      <c r="G34" s="398">
        <f t="shared" si="11"/>
        <v>2.0839499999999997</v>
      </c>
      <c r="H34" s="399"/>
      <c r="I34" s="399"/>
      <c r="J34" s="400">
        <f t="shared" si="0"/>
      </c>
      <c r="K34" s="401">
        <f t="shared" si="1"/>
      </c>
      <c r="L34" s="402"/>
      <c r="M34" s="403">
        <f t="shared" si="2"/>
      </c>
      <c r="N34" s="404">
        <f t="shared" si="3"/>
        <v>20</v>
      </c>
      <c r="O34" s="405" t="str">
        <f t="shared" si="4"/>
        <v>--</v>
      </c>
      <c r="P34" s="406" t="str">
        <f t="shared" si="5"/>
        <v>--</v>
      </c>
      <c r="Q34" s="407" t="str">
        <f t="shared" si="6"/>
        <v>--</v>
      </c>
      <c r="R34" s="408" t="str">
        <f t="shared" si="7"/>
        <v>--</v>
      </c>
      <c r="S34" s="409">
        <f t="shared" si="8"/>
      </c>
      <c r="T34" s="410">
        <f t="shared" si="9"/>
      </c>
      <c r="U34" s="410" t="s">
        <v>126</v>
      </c>
      <c r="V34" s="410"/>
      <c r="W34" s="311"/>
    </row>
    <row r="35" spans="2:23" ht="16.5" customHeight="1">
      <c r="B35" s="396"/>
      <c r="C35" s="397"/>
      <c r="D35" s="314"/>
      <c r="E35" s="294"/>
      <c r="F35" s="411"/>
      <c r="G35" s="398">
        <f t="shared" si="11"/>
        <v>2.0839499999999997</v>
      </c>
      <c r="H35" s="399"/>
      <c r="I35" s="399"/>
      <c r="J35" s="400">
        <f t="shared" si="0"/>
      </c>
      <c r="K35" s="401">
        <f t="shared" si="1"/>
      </c>
      <c r="L35" s="402"/>
      <c r="M35" s="403">
        <f t="shared" si="2"/>
      </c>
      <c r="N35" s="404">
        <f t="shared" si="3"/>
        <v>20</v>
      </c>
      <c r="O35" s="405" t="str">
        <f t="shared" si="4"/>
        <v>--</v>
      </c>
      <c r="P35" s="406" t="str">
        <f t="shared" si="5"/>
        <v>--</v>
      </c>
      <c r="Q35" s="407" t="str">
        <f t="shared" si="6"/>
        <v>--</v>
      </c>
      <c r="R35" s="408" t="str">
        <f t="shared" si="7"/>
        <v>--</v>
      </c>
      <c r="S35" s="409">
        <f t="shared" si="8"/>
      </c>
      <c r="T35" s="410">
        <f t="shared" si="9"/>
      </c>
      <c r="U35" s="410" t="s">
        <v>126</v>
      </c>
      <c r="V35" s="410"/>
      <c r="W35" s="311"/>
    </row>
    <row r="36" spans="2:23" ht="16.5" customHeight="1">
      <c r="B36" s="396"/>
      <c r="C36" s="397"/>
      <c r="D36" s="314"/>
      <c r="E36" s="294"/>
      <c r="F36" s="411"/>
      <c r="G36" s="398">
        <f t="shared" si="11"/>
        <v>2.0839499999999997</v>
      </c>
      <c r="H36" s="399"/>
      <c r="I36" s="399"/>
      <c r="J36" s="400">
        <f t="shared" si="0"/>
      </c>
      <c r="K36" s="401">
        <f t="shared" si="1"/>
      </c>
      <c r="L36" s="402"/>
      <c r="M36" s="403">
        <f t="shared" si="2"/>
      </c>
      <c r="N36" s="404">
        <f t="shared" si="3"/>
        <v>20</v>
      </c>
      <c r="O36" s="405" t="str">
        <f t="shared" si="4"/>
        <v>--</v>
      </c>
      <c r="P36" s="406" t="str">
        <f t="shared" si="5"/>
        <v>--</v>
      </c>
      <c r="Q36" s="407" t="str">
        <f t="shared" si="6"/>
        <v>--</v>
      </c>
      <c r="R36" s="408" t="str">
        <f t="shared" si="7"/>
        <v>--</v>
      </c>
      <c r="S36" s="409">
        <f t="shared" si="8"/>
      </c>
      <c r="T36" s="410">
        <f t="shared" si="9"/>
      </c>
      <c r="U36" s="410" t="s">
        <v>126</v>
      </c>
      <c r="V36" s="410"/>
      <c r="W36" s="311"/>
    </row>
    <row r="37" spans="2:23" ht="16.5" customHeight="1">
      <c r="B37" s="396"/>
      <c r="C37" s="397"/>
      <c r="D37" s="314"/>
      <c r="E37" s="294"/>
      <c r="F37" s="411"/>
      <c r="G37" s="398">
        <f t="shared" si="11"/>
        <v>2.0839499999999997</v>
      </c>
      <c r="H37" s="399"/>
      <c r="I37" s="399"/>
      <c r="J37" s="400">
        <f t="shared" si="0"/>
      </c>
      <c r="K37" s="401">
        <f t="shared" si="1"/>
      </c>
      <c r="L37" s="402"/>
      <c r="M37" s="403">
        <f t="shared" si="2"/>
      </c>
      <c r="N37" s="404">
        <f t="shared" si="3"/>
        <v>20</v>
      </c>
      <c r="O37" s="405" t="str">
        <f t="shared" si="4"/>
        <v>--</v>
      </c>
      <c r="P37" s="406" t="str">
        <f t="shared" si="5"/>
        <v>--</v>
      </c>
      <c r="Q37" s="407" t="str">
        <f t="shared" si="6"/>
        <v>--</v>
      </c>
      <c r="R37" s="408" t="str">
        <f t="shared" si="7"/>
        <v>--</v>
      </c>
      <c r="S37" s="409">
        <f t="shared" si="8"/>
      </c>
      <c r="T37" s="410">
        <f t="shared" si="9"/>
      </c>
      <c r="U37" s="410" t="s">
        <v>126</v>
      </c>
      <c r="V37" s="410"/>
      <c r="W37" s="311"/>
    </row>
    <row r="38" spans="2:23" ht="16.5" customHeight="1">
      <c r="B38" s="396"/>
      <c r="C38" s="397"/>
      <c r="D38" s="314"/>
      <c r="E38" s="294"/>
      <c r="F38" s="411"/>
      <c r="G38" s="398">
        <f t="shared" si="11"/>
        <v>2.0839499999999997</v>
      </c>
      <c r="H38" s="399"/>
      <c r="I38" s="399"/>
      <c r="J38" s="400">
        <f t="shared" si="0"/>
      </c>
      <c r="K38" s="401">
        <f t="shared" si="1"/>
      </c>
      <c r="L38" s="402"/>
      <c r="M38" s="403">
        <f t="shared" si="2"/>
      </c>
      <c r="N38" s="404">
        <f t="shared" si="3"/>
        <v>20</v>
      </c>
      <c r="O38" s="405" t="str">
        <f t="shared" si="4"/>
        <v>--</v>
      </c>
      <c r="P38" s="406" t="str">
        <f t="shared" si="5"/>
        <v>--</v>
      </c>
      <c r="Q38" s="407" t="str">
        <f t="shared" si="6"/>
        <v>--</v>
      </c>
      <c r="R38" s="408" t="str">
        <f t="shared" si="7"/>
        <v>--</v>
      </c>
      <c r="S38" s="409">
        <f t="shared" si="8"/>
      </c>
      <c r="T38" s="410">
        <f t="shared" si="9"/>
      </c>
      <c r="U38" s="410" t="s">
        <v>126</v>
      </c>
      <c r="V38" s="410"/>
      <c r="W38" s="311"/>
    </row>
    <row r="39" spans="2:23" ht="16.5" customHeight="1">
      <c r="B39" s="396"/>
      <c r="C39" s="397"/>
      <c r="D39" s="314"/>
      <c r="E39" s="294"/>
      <c r="F39" s="411"/>
      <c r="G39" s="398">
        <f t="shared" si="11"/>
        <v>2.0839499999999997</v>
      </c>
      <c r="H39" s="399"/>
      <c r="I39" s="399"/>
      <c r="J39" s="400">
        <f t="shared" si="0"/>
      </c>
      <c r="K39" s="401">
        <f t="shared" si="1"/>
      </c>
      <c r="L39" s="402"/>
      <c r="M39" s="403">
        <f t="shared" si="2"/>
      </c>
      <c r="N39" s="404">
        <f t="shared" si="3"/>
        <v>20</v>
      </c>
      <c r="O39" s="405" t="str">
        <f t="shared" si="4"/>
        <v>--</v>
      </c>
      <c r="P39" s="406" t="str">
        <f t="shared" si="5"/>
        <v>--</v>
      </c>
      <c r="Q39" s="407" t="str">
        <f t="shared" si="6"/>
        <v>--</v>
      </c>
      <c r="R39" s="408" t="str">
        <f t="shared" si="7"/>
        <v>--</v>
      </c>
      <c r="S39" s="409">
        <f t="shared" si="8"/>
      </c>
      <c r="T39" s="410">
        <f t="shared" si="9"/>
      </c>
      <c r="U39" s="410" t="s">
        <v>126</v>
      </c>
      <c r="V39" s="410"/>
      <c r="W39" s="311"/>
    </row>
    <row r="40" spans="2:23" ht="16.5" customHeight="1">
      <c r="B40" s="396"/>
      <c r="C40" s="397"/>
      <c r="D40" s="314"/>
      <c r="E40" s="294"/>
      <c r="F40" s="411"/>
      <c r="G40" s="398">
        <f t="shared" si="11"/>
        <v>2.0839499999999997</v>
      </c>
      <c r="H40" s="399"/>
      <c r="I40" s="399"/>
      <c r="J40" s="400">
        <f t="shared" si="0"/>
      </c>
      <c r="K40" s="401">
        <f t="shared" si="1"/>
      </c>
      <c r="L40" s="402"/>
      <c r="M40" s="403">
        <f t="shared" si="2"/>
      </c>
      <c r="N40" s="404">
        <f t="shared" si="3"/>
        <v>20</v>
      </c>
      <c r="O40" s="405" t="str">
        <f t="shared" si="4"/>
        <v>--</v>
      </c>
      <c r="P40" s="406" t="str">
        <f t="shared" si="5"/>
        <v>--</v>
      </c>
      <c r="Q40" s="407" t="str">
        <f t="shared" si="6"/>
        <v>--</v>
      </c>
      <c r="R40" s="408" t="str">
        <f t="shared" si="7"/>
        <v>--</v>
      </c>
      <c r="S40" s="409">
        <f t="shared" si="8"/>
      </c>
      <c r="T40" s="410">
        <f t="shared" si="9"/>
      </c>
      <c r="U40" s="410" t="s">
        <v>126</v>
      </c>
      <c r="V40" s="410"/>
      <c r="W40" s="311"/>
    </row>
    <row r="41" spans="2:23" ht="16.5" customHeight="1">
      <c r="B41" s="396"/>
      <c r="C41" s="397"/>
      <c r="D41" s="314"/>
      <c r="E41" s="294"/>
      <c r="F41" s="411"/>
      <c r="G41" s="398">
        <f t="shared" si="11"/>
        <v>2.0839499999999997</v>
      </c>
      <c r="H41" s="399"/>
      <c r="I41" s="399"/>
      <c r="J41" s="400">
        <f t="shared" si="0"/>
      </c>
      <c r="K41" s="401">
        <f t="shared" si="1"/>
      </c>
      <c r="L41" s="402"/>
      <c r="M41" s="403">
        <f t="shared" si="2"/>
      </c>
      <c r="N41" s="404">
        <f t="shared" si="3"/>
        <v>20</v>
      </c>
      <c r="O41" s="405" t="str">
        <f t="shared" si="4"/>
        <v>--</v>
      </c>
      <c r="P41" s="406" t="str">
        <f t="shared" si="5"/>
        <v>--</v>
      </c>
      <c r="Q41" s="407" t="str">
        <f t="shared" si="6"/>
        <v>--</v>
      </c>
      <c r="R41" s="408" t="str">
        <f t="shared" si="7"/>
        <v>--</v>
      </c>
      <c r="S41" s="409">
        <f t="shared" si="8"/>
      </c>
      <c r="T41" s="410">
        <f t="shared" si="9"/>
      </c>
      <c r="U41" s="410" t="s">
        <v>126</v>
      </c>
      <c r="V41" s="410"/>
      <c r="W41" s="311"/>
    </row>
    <row r="42" spans="2:23" ht="16.5" customHeight="1">
      <c r="B42" s="396"/>
      <c r="C42" s="397"/>
      <c r="D42" s="314"/>
      <c r="E42" s="294"/>
      <c r="F42" s="411"/>
      <c r="G42" s="398">
        <f t="shared" si="11"/>
        <v>2.0839499999999997</v>
      </c>
      <c r="H42" s="399"/>
      <c r="I42" s="399"/>
      <c r="J42" s="400">
        <f t="shared" si="0"/>
      </c>
      <c r="K42" s="401">
        <f t="shared" si="1"/>
      </c>
      <c r="L42" s="402"/>
      <c r="M42" s="403">
        <f t="shared" si="2"/>
      </c>
      <c r="N42" s="404">
        <f t="shared" si="3"/>
        <v>20</v>
      </c>
      <c r="O42" s="405" t="str">
        <f t="shared" si="4"/>
        <v>--</v>
      </c>
      <c r="P42" s="406" t="str">
        <f t="shared" si="5"/>
        <v>--</v>
      </c>
      <c r="Q42" s="407" t="str">
        <f t="shared" si="6"/>
        <v>--</v>
      </c>
      <c r="R42" s="408" t="str">
        <f t="shared" si="7"/>
        <v>--</v>
      </c>
      <c r="S42" s="409">
        <f t="shared" si="8"/>
      </c>
      <c r="T42" s="410">
        <f t="shared" si="9"/>
      </c>
      <c r="U42" s="410" t="s">
        <v>126</v>
      </c>
      <c r="V42" s="410"/>
      <c r="W42" s="311"/>
    </row>
    <row r="43" spans="2:23" ht="16.5" customHeight="1" thickBot="1">
      <c r="B43" s="396"/>
      <c r="C43" s="412"/>
      <c r="D43" s="413"/>
      <c r="E43" s="414"/>
      <c r="F43" s="414"/>
      <c r="G43" s="415"/>
      <c r="H43" s="414"/>
      <c r="I43" s="416"/>
      <c r="J43" s="417"/>
      <c r="K43" s="417"/>
      <c r="L43" s="416"/>
      <c r="M43" s="418"/>
      <c r="N43" s="419"/>
      <c r="O43" s="420"/>
      <c r="P43" s="421"/>
      <c r="Q43" s="422"/>
      <c r="R43" s="423"/>
      <c r="S43" s="424"/>
      <c r="T43" s="437"/>
      <c r="U43" s="437"/>
      <c r="V43" s="437"/>
      <c r="W43" s="311"/>
    </row>
    <row r="44" spans="2:23" ht="16.5" customHeight="1" thickBot="1" thickTop="1">
      <c r="B44" s="239"/>
      <c r="C44" s="208" t="s">
        <v>120</v>
      </c>
      <c r="D44" s="209" t="s">
        <v>110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6"/>
      <c r="P44" s="427"/>
      <c r="Q44" s="427"/>
      <c r="R44" s="427"/>
      <c r="S44" s="428"/>
      <c r="T44" s="434">
        <f>ROUND(SUM(T20:T43),2)</f>
        <v>6602.5</v>
      </c>
      <c r="U44" s="434">
        <f>ROUND(SUM(U20:U43),2)</f>
        <v>5131.81</v>
      </c>
      <c r="V44" s="434">
        <f>ROUND(SUM(V20:V43),2)</f>
        <v>1470.72</v>
      </c>
      <c r="W44" s="311"/>
    </row>
    <row r="45" spans="2:23" s="335" customFormat="1" ht="9.75" thickTop="1">
      <c r="B45" s="336"/>
      <c r="C45" s="219"/>
      <c r="D45" s="220" t="s">
        <v>111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430"/>
      <c r="P45" s="430"/>
      <c r="Q45" s="430"/>
      <c r="R45" s="430"/>
      <c r="S45" s="430"/>
      <c r="T45" s="338"/>
      <c r="U45" s="338"/>
      <c r="V45" s="338"/>
      <c r="W45" s="339"/>
    </row>
    <row r="46" spans="2:23" ht="16.5" customHeight="1" thickBot="1"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431"/>
    </row>
    <row r="47" ht="13.5" thickTop="1"/>
    <row r="16383" ht="12.75">
      <c r="D16383" s="432"/>
    </row>
  </sheetData>
  <mergeCells count="2">
    <mergeCell ref="C22:V22"/>
    <mergeCell ref="D17:E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1">
    <pageSetUpPr fitToPage="1"/>
  </sheetPr>
  <dimension ref="A1:AC58"/>
  <sheetViews>
    <sheetView zoomScale="75" zoomScaleNormal="75" workbookViewId="0" topLeftCell="C12">
      <selection activeCell="D15" sqref="D15:F15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239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59.92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214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ROUND(LI!Z42,2)</f>
        <v>23484.04</v>
      </c>
      <c r="AA18" s="148">
        <f>+LI!AA42</f>
        <v>18217.29</v>
      </c>
      <c r="AB18" s="148">
        <f>+LI!AB42</f>
        <v>5266.75</v>
      </c>
      <c r="AC18" s="88"/>
    </row>
    <row r="19" spans="2:29" s="149" customFormat="1" ht="16.5" customHeight="1">
      <c r="B19" s="130"/>
      <c r="C19" s="150"/>
      <c r="D19" s="151"/>
      <c r="E19" s="150"/>
      <c r="F19" s="150"/>
      <c r="G19" s="152"/>
      <c r="H19" s="150"/>
      <c r="I19" s="153"/>
      <c r="J19" s="154"/>
      <c r="K19" s="153"/>
      <c r="L19" s="150"/>
      <c r="M19" s="151"/>
      <c r="N19" s="154"/>
      <c r="O19" s="155"/>
      <c r="P19" s="156"/>
      <c r="Q19" s="157"/>
      <c r="R19" s="158"/>
      <c r="S19" s="159"/>
      <c r="T19" s="160"/>
      <c r="U19" s="161"/>
      <c r="V19" s="162"/>
      <c r="W19" s="163"/>
      <c r="X19" s="164"/>
      <c r="Y19" s="154"/>
      <c r="Z19" s="165"/>
      <c r="AA19" s="165"/>
      <c r="AB19" s="165"/>
      <c r="AC19" s="166"/>
    </row>
    <row r="20" spans="2:29" ht="16.5" customHeight="1">
      <c r="B20" s="130"/>
      <c r="C20" s="154">
        <v>23</v>
      </c>
      <c r="D20" s="154" t="s">
        <v>142</v>
      </c>
      <c r="E20" s="167">
        <v>132</v>
      </c>
      <c r="F20" s="168">
        <v>56.5</v>
      </c>
      <c r="G20" s="169">
        <f>F20*$E$14/100*$E$15</f>
        <v>33.516251999999994</v>
      </c>
      <c r="H20" s="170">
        <v>36026.42152777778</v>
      </c>
      <c r="I20" s="170">
        <v>36026.620833333334</v>
      </c>
      <c r="J20" s="171">
        <f aca="true" t="shared" si="0" ref="J20:J40">IF(H20="","",(I20-H20)*24)</f>
        <v>4.78333333338378</v>
      </c>
      <c r="K20" s="172">
        <f aca="true" t="shared" si="1" ref="K20:K40">IF(I20="","",ROUND((I20-H20)*24*60,0))</f>
        <v>287</v>
      </c>
      <c r="L20" s="173" t="s">
        <v>121</v>
      </c>
      <c r="M20" s="173" t="str">
        <f aca="true" t="shared" si="2" ref="M20:M40">IF(D20="","","--")</f>
        <v>--</v>
      </c>
      <c r="N20" s="174" t="str">
        <f aca="true" t="shared" si="3" ref="N20:N40">IF(D20="","",IF(OR(L20="P",L20="RP"),"--","NO"))</f>
        <v>--</v>
      </c>
      <c r="O20" s="175">
        <f aca="true" t="shared" si="4" ref="O20:O40">IF(L20="P",ROUND(K20/60,2)*G20*$J$14*0.01,"--")</f>
        <v>48.062305368</v>
      </c>
      <c r="P20" s="176" t="str">
        <f aca="true" t="shared" si="5" ref="P20:P40">IF(L20="RP",ROUND(K20/60,2)*G20*$J$14*0.01*M20/100,"--")</f>
        <v>--</v>
      </c>
      <c r="Q20" s="177" t="str">
        <f aca="true" t="shared" si="6" ref="Q20:Q40">IF(N20="SI","--",IF(L20="F",ROUND(G20*$J$14,2),"--"))</f>
        <v>--</v>
      </c>
      <c r="R20" s="178" t="str">
        <f aca="true" t="shared" si="7" ref="R20:R40">IF(L20="F",IF(K20&lt;10,"--",IF(K20&gt;180,ROUND(G20*$J$14*3,2),G20*$J$14*ROUND(K20/60,2))),"--")</f>
        <v>--</v>
      </c>
      <c r="S20" s="179" t="str">
        <f aca="true" t="shared" si="8" ref="S20:S40">IF(AND(L20="F",K20&gt;180),G20*$J$14*0.1*(ROUND(K20/60,2)-3),"--")</f>
        <v>--</v>
      </c>
      <c r="T20" s="180" t="str">
        <f aca="true" t="shared" si="9" ref="T20:T40">IF(N20="SI","--",IF(L20="R",ROUND(G20*$J$14*M20/100,2),"--"))</f>
        <v>--</v>
      </c>
      <c r="U20" s="181" t="str">
        <f aca="true" t="shared" si="10" ref="U20:U40">IF(L20="R",IF(K20&lt;10,"--",IF(K20&gt;180,ROUND(G20*$J$14*3*M20/100,2),G20*$J$14*M20/100*ROUND(K20/60,2))),"--")</f>
        <v>--</v>
      </c>
      <c r="V20" s="182" t="str">
        <f aca="true" t="shared" si="11" ref="V20:V40">IF(AND(L20="R",K20&gt;180),G20*$J$14*M20/100*0.1*(ROUND(K20/60,2)-3),"--")</f>
        <v>--</v>
      </c>
      <c r="W20" s="183" t="str">
        <f aca="true" t="shared" si="12" ref="W20:W40">IF(L20="RF",G20*$J$14*0.1*ROUND(K20/60,2),"--")</f>
        <v>--</v>
      </c>
      <c r="X20" s="184" t="str">
        <f aca="true" t="shared" si="13" ref="X20:X40">IF(L20="RR",G20*$J$14*0.1*M20/100*ROUND(K20/60,2),"--")</f>
        <v>--</v>
      </c>
      <c r="Y20" s="185" t="str">
        <f aca="true" t="shared" si="14" ref="Y20:Y40">IF(D20="","","SI")</f>
        <v>SI</v>
      </c>
      <c r="Z20" s="186">
        <f aca="true" t="shared" si="15" ref="Z20:Z40">IF(D20="","",IF(Y20="SI",SUM(O20:X20),2*SUM(O20:X20)))</f>
        <v>48.062305368</v>
      </c>
      <c r="AA20" s="186">
        <v>37.28343357</v>
      </c>
      <c r="AB20" s="186">
        <f aca="true" t="shared" si="16" ref="AB20:AB26">+Z20-AA20</f>
        <v>10.778871797999997</v>
      </c>
      <c r="AC20" s="187"/>
    </row>
    <row r="21" spans="2:29" ht="16.5" customHeight="1">
      <c r="B21" s="130"/>
      <c r="C21" s="154">
        <v>24</v>
      </c>
      <c r="D21" s="154" t="s">
        <v>4</v>
      </c>
      <c r="E21" s="167">
        <v>132</v>
      </c>
      <c r="F21" s="168">
        <v>3.5</v>
      </c>
      <c r="G21" s="169">
        <f aca="true" t="shared" si="17" ref="G21:G27">F21*$E$14/100*$E$15</f>
        <v>2.076228</v>
      </c>
      <c r="H21" s="170">
        <v>36027.37777777778</v>
      </c>
      <c r="I21" s="170">
        <v>36027.60833333333</v>
      </c>
      <c r="J21" s="171">
        <f t="shared" si="0"/>
        <v>5.533333333209157</v>
      </c>
      <c r="K21" s="172">
        <f t="shared" si="1"/>
        <v>332</v>
      </c>
      <c r="L21" s="173" t="s">
        <v>121</v>
      </c>
      <c r="M21" s="173" t="str">
        <f t="shared" si="2"/>
        <v>--</v>
      </c>
      <c r="N21" s="174" t="str">
        <f t="shared" si="3"/>
        <v>--</v>
      </c>
      <c r="O21" s="175">
        <f t="shared" si="4"/>
        <v>3.444462252</v>
      </c>
      <c r="P21" s="176" t="str">
        <f t="shared" si="5"/>
        <v>--</v>
      </c>
      <c r="Q21" s="177" t="str">
        <f t="shared" si="6"/>
        <v>--</v>
      </c>
      <c r="R21" s="178" t="str">
        <f t="shared" si="7"/>
        <v>--</v>
      </c>
      <c r="S21" s="179" t="str">
        <f t="shared" si="8"/>
        <v>--</v>
      </c>
      <c r="T21" s="180" t="str">
        <f t="shared" si="9"/>
        <v>--</v>
      </c>
      <c r="U21" s="181" t="str">
        <f t="shared" si="10"/>
        <v>--</v>
      </c>
      <c r="V21" s="182" t="str">
        <f t="shared" si="11"/>
        <v>--</v>
      </c>
      <c r="W21" s="183" t="str">
        <f t="shared" si="12"/>
        <v>--</v>
      </c>
      <c r="X21" s="184" t="str">
        <f t="shared" si="13"/>
        <v>--</v>
      </c>
      <c r="Y21" s="185" t="str">
        <f t="shared" si="14"/>
        <v>SI</v>
      </c>
      <c r="Z21" s="186">
        <f t="shared" si="15"/>
        <v>3.444462252</v>
      </c>
      <c r="AA21" s="186">
        <v>2.6719771050000007</v>
      </c>
      <c r="AB21" s="186">
        <f t="shared" si="16"/>
        <v>0.7724851469999994</v>
      </c>
      <c r="AC21" s="187"/>
    </row>
    <row r="22" spans="2:29" ht="16.5" customHeight="1">
      <c r="B22" s="130"/>
      <c r="C22" s="154">
        <v>25</v>
      </c>
      <c r="D22" s="154" t="s">
        <v>4</v>
      </c>
      <c r="E22" s="167">
        <v>132</v>
      </c>
      <c r="F22" s="168">
        <v>3.5</v>
      </c>
      <c r="G22" s="169">
        <f t="shared" si="17"/>
        <v>2.076228</v>
      </c>
      <c r="H22" s="170">
        <v>36028.38263888889</v>
      </c>
      <c r="I22" s="170">
        <v>36028.59375</v>
      </c>
      <c r="J22" s="171">
        <f t="shared" si="0"/>
        <v>5.066666666592937</v>
      </c>
      <c r="K22" s="172">
        <f t="shared" si="1"/>
        <v>304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3.157942788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3.157942788</v>
      </c>
      <c r="AA22" s="186">
        <v>2.4497149950000003</v>
      </c>
      <c r="AB22" s="186">
        <f t="shared" si="16"/>
        <v>0.7082277929999998</v>
      </c>
      <c r="AC22" s="187"/>
    </row>
    <row r="23" spans="2:29" ht="16.5" customHeight="1">
      <c r="B23" s="130"/>
      <c r="C23" s="154">
        <v>26</v>
      </c>
      <c r="D23" s="154" t="s">
        <v>8</v>
      </c>
      <c r="E23" s="167">
        <v>132</v>
      </c>
      <c r="F23" s="168">
        <v>74.7</v>
      </c>
      <c r="G23" s="169">
        <f t="shared" si="17"/>
        <v>44.3126376</v>
      </c>
      <c r="H23" s="170">
        <v>36028.425</v>
      </c>
      <c r="I23" s="170">
        <v>36028.49791666667</v>
      </c>
      <c r="J23" s="171">
        <f t="shared" si="0"/>
        <v>1.7499999999417923</v>
      </c>
      <c r="K23" s="172">
        <f t="shared" si="1"/>
        <v>105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23.26413474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23.26413474</v>
      </c>
      <c r="AA23" s="186">
        <v>18.046716975000002</v>
      </c>
      <c r="AB23" s="186">
        <f t="shared" si="16"/>
        <v>5.217417764999997</v>
      </c>
      <c r="AC23" s="187"/>
    </row>
    <row r="24" spans="2:29" ht="16.5" customHeight="1">
      <c r="B24" s="130"/>
      <c r="C24" s="154">
        <v>27</v>
      </c>
      <c r="D24" s="188" t="s">
        <v>9</v>
      </c>
      <c r="E24" s="167">
        <v>132</v>
      </c>
      <c r="F24" s="168">
        <v>25.5</v>
      </c>
      <c r="G24" s="169">
        <f t="shared" si="17"/>
        <v>15.126804</v>
      </c>
      <c r="H24" s="170">
        <v>36028.42569444444</v>
      </c>
      <c r="I24" s="170">
        <v>36028.54513888889</v>
      </c>
      <c r="J24" s="171">
        <f t="shared" si="0"/>
        <v>2.8666666667559184</v>
      </c>
      <c r="K24" s="172">
        <f t="shared" si="1"/>
        <v>172</v>
      </c>
      <c r="L24" s="173" t="s">
        <v>121</v>
      </c>
      <c r="M24" s="173" t="str">
        <f t="shared" si="2"/>
        <v>--</v>
      </c>
      <c r="N24" s="174" t="str">
        <f t="shared" si="3"/>
        <v>--</v>
      </c>
      <c r="O24" s="175">
        <f t="shared" si="4"/>
        <v>13.024178244</v>
      </c>
      <c r="P24" s="176" t="str">
        <f t="shared" si="5"/>
        <v>--</v>
      </c>
      <c r="Q24" s="177" t="str">
        <f t="shared" si="6"/>
        <v>--</v>
      </c>
      <c r="R24" s="178" t="str">
        <f t="shared" si="7"/>
        <v>--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13.024178244</v>
      </c>
      <c r="AA24" s="186">
        <v>10.103262435000001</v>
      </c>
      <c r="AB24" s="186">
        <f t="shared" si="16"/>
        <v>2.9209158089999985</v>
      </c>
      <c r="AC24" s="187"/>
    </row>
    <row r="25" spans="2:29" ht="16.5" customHeight="1">
      <c r="B25" s="130"/>
      <c r="C25" s="154">
        <v>28</v>
      </c>
      <c r="D25" s="188" t="s">
        <v>10</v>
      </c>
      <c r="E25" s="167">
        <v>132</v>
      </c>
      <c r="F25" s="168">
        <v>44.7</v>
      </c>
      <c r="G25" s="169">
        <f t="shared" si="17"/>
        <v>26.516397600000005</v>
      </c>
      <c r="H25" s="170">
        <v>36031.525</v>
      </c>
      <c r="I25" s="170">
        <v>36031.634722222225</v>
      </c>
      <c r="J25" s="171">
        <f t="shared" si="0"/>
        <v>2.633333333360497</v>
      </c>
      <c r="K25" s="172">
        <f t="shared" si="1"/>
        <v>158</v>
      </c>
      <c r="L25" s="173" t="s">
        <v>121</v>
      </c>
      <c r="M25" s="173" t="str">
        <f t="shared" si="2"/>
        <v>--</v>
      </c>
      <c r="N25" s="174" t="str">
        <f t="shared" si="3"/>
        <v>--</v>
      </c>
      <c r="O25" s="175">
        <f t="shared" si="4"/>
        <v>20.921437706400003</v>
      </c>
      <c r="P25" s="176" t="str">
        <f t="shared" si="5"/>
        <v>--</v>
      </c>
      <c r="Q25" s="177" t="str">
        <f t="shared" si="6"/>
        <v>--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20.921437706400003</v>
      </c>
      <c r="AA25" s="186">
        <v>16.229413611000002</v>
      </c>
      <c r="AB25" s="186">
        <f t="shared" si="16"/>
        <v>4.692024095400001</v>
      </c>
      <c r="AC25" s="187"/>
    </row>
    <row r="26" spans="2:29" ht="16.5" customHeight="1">
      <c r="B26" s="130"/>
      <c r="C26" s="154">
        <v>29</v>
      </c>
      <c r="D26" s="188" t="s">
        <v>6</v>
      </c>
      <c r="E26" s="167">
        <v>132</v>
      </c>
      <c r="F26" s="168">
        <v>40.6</v>
      </c>
      <c r="G26" s="169">
        <f t="shared" si="17"/>
        <v>24.0842448</v>
      </c>
      <c r="H26" s="170">
        <v>36035.444444444445</v>
      </c>
      <c r="I26" s="170">
        <v>36035.58263888889</v>
      </c>
      <c r="J26" s="171">
        <f t="shared" si="0"/>
        <v>3.3166666666511446</v>
      </c>
      <c r="K26" s="172">
        <f t="shared" si="1"/>
        <v>199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23.987907820799997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23.987907820799997</v>
      </c>
      <c r="AA26" s="186">
        <v>18.608170392</v>
      </c>
      <c r="AB26" s="186">
        <f t="shared" si="16"/>
        <v>5.379737428799995</v>
      </c>
      <c r="AC26" s="187"/>
    </row>
    <row r="27" spans="2:29" ht="16.5" customHeight="1" thickBot="1">
      <c r="B27" s="130"/>
      <c r="C27" s="188"/>
      <c r="D27" s="188"/>
      <c r="E27" s="556"/>
      <c r="F27" s="557"/>
      <c r="G27" s="169">
        <f t="shared" si="17"/>
        <v>0</v>
      </c>
      <c r="H27" s="558"/>
      <c r="I27" s="558"/>
      <c r="J27" s="559">
        <f t="shared" si="0"/>
      </c>
      <c r="K27" s="560">
        <f t="shared" si="1"/>
      </c>
      <c r="L27" s="561"/>
      <c r="M27" s="561">
        <f t="shared" si="2"/>
      </c>
      <c r="N27" s="562">
        <f t="shared" si="3"/>
      </c>
      <c r="O27" s="563" t="str">
        <f t="shared" si="4"/>
        <v>--</v>
      </c>
      <c r="P27" s="564" t="str">
        <f t="shared" si="5"/>
        <v>--</v>
      </c>
      <c r="Q27" s="565" t="str">
        <f t="shared" si="6"/>
        <v>--</v>
      </c>
      <c r="R27" s="566" t="str">
        <f t="shared" si="7"/>
        <v>--</v>
      </c>
      <c r="S27" s="567" t="str">
        <f t="shared" si="8"/>
        <v>--</v>
      </c>
      <c r="T27" s="568" t="str">
        <f t="shared" si="9"/>
        <v>--</v>
      </c>
      <c r="U27" s="569" t="str">
        <f t="shared" si="10"/>
        <v>--</v>
      </c>
      <c r="V27" s="570" t="str">
        <f t="shared" si="11"/>
        <v>--</v>
      </c>
      <c r="W27" s="571" t="str">
        <f t="shared" si="12"/>
        <v>--</v>
      </c>
      <c r="X27" s="572" t="str">
        <f t="shared" si="13"/>
        <v>--</v>
      </c>
      <c r="Y27" s="573">
        <f t="shared" si="14"/>
      </c>
      <c r="Z27" s="574">
        <f t="shared" si="15"/>
      </c>
      <c r="AA27" s="574" t="s">
        <v>126</v>
      </c>
      <c r="AB27" s="574"/>
      <c r="AC27" s="187"/>
    </row>
    <row r="28" spans="2:29" ht="16.5" customHeight="1" thickBot="1" thickTop="1">
      <c r="B28" s="130"/>
      <c r="C28" s="605" t="s">
        <v>222</v>
      </c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7"/>
      <c r="AC28" s="187"/>
    </row>
    <row r="29" spans="2:29" ht="16.5" customHeight="1" thickTop="1">
      <c r="B29" s="130"/>
      <c r="C29" s="534">
        <v>1</v>
      </c>
      <c r="D29" s="575" t="s">
        <v>184</v>
      </c>
      <c r="E29" s="535">
        <v>132</v>
      </c>
      <c r="F29" s="536">
        <v>2</v>
      </c>
      <c r="G29" s="169">
        <f aca="true" t="shared" si="18" ref="G29:G40">F29*$E$14/100*$E$15</f>
        <v>1.1864160000000001</v>
      </c>
      <c r="H29" s="538">
        <v>36040.42222222222</v>
      </c>
      <c r="I29" s="538">
        <v>36040.58888888889</v>
      </c>
      <c r="J29" s="539">
        <f t="shared" si="0"/>
        <v>3.9999999999417923</v>
      </c>
      <c r="K29" s="540">
        <f t="shared" si="1"/>
        <v>240</v>
      </c>
      <c r="L29" s="541" t="s">
        <v>121</v>
      </c>
      <c r="M29" s="541" t="str">
        <f t="shared" si="2"/>
        <v>--</v>
      </c>
      <c r="N29" s="542" t="str">
        <f t="shared" si="3"/>
        <v>--</v>
      </c>
      <c r="O29" s="543">
        <f t="shared" si="4"/>
        <v>1.4236992000000002</v>
      </c>
      <c r="P29" s="544" t="str">
        <f t="shared" si="5"/>
        <v>--</v>
      </c>
      <c r="Q29" s="545" t="str">
        <f t="shared" si="6"/>
        <v>--</v>
      </c>
      <c r="R29" s="546" t="str">
        <f t="shared" si="7"/>
        <v>--</v>
      </c>
      <c r="S29" s="547" t="str">
        <f t="shared" si="8"/>
        <v>--</v>
      </c>
      <c r="T29" s="548" t="str">
        <f t="shared" si="9"/>
        <v>--</v>
      </c>
      <c r="U29" s="549" t="str">
        <f t="shared" si="10"/>
        <v>--</v>
      </c>
      <c r="V29" s="550" t="str">
        <f t="shared" si="11"/>
        <v>--</v>
      </c>
      <c r="W29" s="551" t="str">
        <f t="shared" si="12"/>
        <v>--</v>
      </c>
      <c r="X29" s="552" t="str">
        <f t="shared" si="13"/>
        <v>--</v>
      </c>
      <c r="Y29" s="553" t="str">
        <f t="shared" si="14"/>
        <v>SI</v>
      </c>
      <c r="Z29" s="554">
        <f t="shared" si="15"/>
        <v>1.4236992000000002</v>
      </c>
      <c r="AA29" s="554">
        <v>1.104408</v>
      </c>
      <c r="AB29" s="554">
        <f aca="true" t="shared" si="19" ref="AB29:AB40">+Z29-AA29</f>
        <v>0.3192912000000001</v>
      </c>
      <c r="AC29" s="187"/>
    </row>
    <row r="30" spans="2:29" ht="16.5" customHeight="1">
      <c r="B30" s="130"/>
      <c r="C30" s="154">
        <v>2</v>
      </c>
      <c r="D30" s="188" t="s">
        <v>6</v>
      </c>
      <c r="E30" s="167">
        <v>132</v>
      </c>
      <c r="F30" s="168">
        <v>40.6</v>
      </c>
      <c r="G30" s="169">
        <f t="shared" si="18"/>
        <v>24.0842448</v>
      </c>
      <c r="H30" s="170">
        <v>36040.44375</v>
      </c>
      <c r="I30" s="170">
        <v>36040.635416666664</v>
      </c>
      <c r="J30" s="171">
        <f t="shared" si="0"/>
        <v>4.599999999976717</v>
      </c>
      <c r="K30" s="172">
        <f t="shared" si="1"/>
        <v>276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33.236257824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33.236257824</v>
      </c>
      <c r="AA30" s="186">
        <v>25.78240476</v>
      </c>
      <c r="AB30" s="186">
        <f t="shared" si="19"/>
        <v>7.4538530640000005</v>
      </c>
      <c r="AC30" s="187"/>
    </row>
    <row r="31" spans="2:29" ht="16.5" customHeight="1">
      <c r="B31" s="130"/>
      <c r="C31" s="154">
        <v>3</v>
      </c>
      <c r="D31" s="188" t="s">
        <v>134</v>
      </c>
      <c r="E31" s="167">
        <v>132</v>
      </c>
      <c r="F31" s="168">
        <v>10.2</v>
      </c>
      <c r="G31" s="169">
        <f t="shared" si="18"/>
        <v>6.0507216</v>
      </c>
      <c r="H31" s="170">
        <v>36040.47638888889</v>
      </c>
      <c r="I31" s="170">
        <v>36040.625</v>
      </c>
      <c r="J31" s="171">
        <f t="shared" si="0"/>
        <v>3.566666666592937</v>
      </c>
      <c r="K31" s="172">
        <f t="shared" si="1"/>
        <v>214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6.480322833600001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6.480322833600001</v>
      </c>
      <c r="AA31" s="186">
        <v>5.026989114000001</v>
      </c>
      <c r="AB31" s="186">
        <f t="shared" si="19"/>
        <v>1.4533337195999998</v>
      </c>
      <c r="AC31" s="187"/>
    </row>
    <row r="32" spans="2:29" ht="16.5" customHeight="1">
      <c r="B32" s="130"/>
      <c r="C32" s="154">
        <v>4</v>
      </c>
      <c r="D32" s="188" t="s">
        <v>185</v>
      </c>
      <c r="E32" s="167">
        <v>132</v>
      </c>
      <c r="F32" s="168">
        <v>2</v>
      </c>
      <c r="G32" s="169">
        <f t="shared" si="18"/>
        <v>1.1864160000000001</v>
      </c>
      <c r="H32" s="170">
        <v>36041.42152777778</v>
      </c>
      <c r="I32" s="170">
        <v>36041.58472222222</v>
      </c>
      <c r="J32" s="171">
        <f t="shared" si="0"/>
        <v>3.916666666686069</v>
      </c>
      <c r="K32" s="172">
        <f t="shared" si="1"/>
        <v>235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1.395225216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1.395225216</v>
      </c>
      <c r="AA32" s="186">
        <v>1.08231984</v>
      </c>
      <c r="AB32" s="186">
        <f t="shared" si="19"/>
        <v>0.312905376</v>
      </c>
      <c r="AC32" s="187"/>
    </row>
    <row r="33" spans="2:29" ht="16.5" customHeight="1">
      <c r="B33" s="130"/>
      <c r="C33" s="154">
        <v>5</v>
      </c>
      <c r="D33" s="188" t="s">
        <v>151</v>
      </c>
      <c r="E33" s="167">
        <v>132</v>
      </c>
      <c r="F33" s="168">
        <v>24.9</v>
      </c>
      <c r="G33" s="169">
        <f t="shared" si="18"/>
        <v>14.7708792</v>
      </c>
      <c r="H33" s="170">
        <v>36046.41388888889</v>
      </c>
      <c r="I33" s="170">
        <v>36046.62430555555</v>
      </c>
      <c r="J33" s="171">
        <f t="shared" si="0"/>
        <v>5.049999999871943</v>
      </c>
      <c r="K33" s="172">
        <f t="shared" si="1"/>
        <v>303</v>
      </c>
      <c r="L33" s="173" t="s">
        <v>121</v>
      </c>
      <c r="M33" s="173" t="str">
        <f t="shared" si="2"/>
        <v>--</v>
      </c>
      <c r="N33" s="174" t="str">
        <f t="shared" si="3"/>
        <v>--</v>
      </c>
      <c r="O33" s="175">
        <f t="shared" si="4"/>
        <v>22.377881988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 t="str">
        <f t="shared" si="14"/>
        <v>SI</v>
      </c>
      <c r="Z33" s="186">
        <f t="shared" si="15"/>
        <v>22.377881988</v>
      </c>
      <c r="AA33" s="186">
        <v>17.359222995</v>
      </c>
      <c r="AB33" s="186">
        <f t="shared" si="19"/>
        <v>5.018658992999999</v>
      </c>
      <c r="AC33" s="187"/>
    </row>
    <row r="34" spans="2:29" ht="16.5" customHeight="1">
      <c r="B34" s="130"/>
      <c r="C34" s="154">
        <v>6</v>
      </c>
      <c r="D34" s="188" t="s">
        <v>143</v>
      </c>
      <c r="E34" s="167">
        <v>132</v>
      </c>
      <c r="F34" s="168">
        <v>15.5</v>
      </c>
      <c r="G34" s="169">
        <f t="shared" si="18"/>
        <v>9.194723999999999</v>
      </c>
      <c r="H34" s="170">
        <v>36047.376388888886</v>
      </c>
      <c r="I34" s="170">
        <v>36047.54583333333</v>
      </c>
      <c r="J34" s="171">
        <f t="shared" si="0"/>
        <v>4.066666666651145</v>
      </c>
      <c r="K34" s="172">
        <f t="shared" si="1"/>
        <v>244</v>
      </c>
      <c r="L34" s="173" t="s">
        <v>121</v>
      </c>
      <c r="M34" s="173" t="str">
        <f t="shared" si="2"/>
        <v>--</v>
      </c>
      <c r="N34" s="174" t="str">
        <f t="shared" si="3"/>
        <v>--</v>
      </c>
      <c r="O34" s="175">
        <f t="shared" si="4"/>
        <v>11.226758003999999</v>
      </c>
      <c r="P34" s="176" t="str">
        <f t="shared" si="5"/>
        <v>--</v>
      </c>
      <c r="Q34" s="177" t="str">
        <f t="shared" si="6"/>
        <v>--</v>
      </c>
      <c r="R34" s="178" t="str">
        <f t="shared" si="7"/>
        <v>--</v>
      </c>
      <c r="S34" s="179" t="str">
        <f t="shared" si="8"/>
        <v>--</v>
      </c>
      <c r="T34" s="180" t="str">
        <f t="shared" si="9"/>
        <v>--</v>
      </c>
      <c r="U34" s="181" t="str">
        <f t="shared" si="10"/>
        <v>--</v>
      </c>
      <c r="V34" s="182" t="str">
        <f t="shared" si="11"/>
        <v>--</v>
      </c>
      <c r="W34" s="183" t="str">
        <f t="shared" si="12"/>
        <v>--</v>
      </c>
      <c r="X34" s="184" t="str">
        <f t="shared" si="13"/>
        <v>--</v>
      </c>
      <c r="Y34" s="185" t="str">
        <f t="shared" si="14"/>
        <v>SI</v>
      </c>
      <c r="Z34" s="186">
        <f t="shared" si="15"/>
        <v>11.226758003999999</v>
      </c>
      <c r="AA34" s="186">
        <v>8.708947335000001</v>
      </c>
      <c r="AB34" s="186">
        <f t="shared" si="19"/>
        <v>2.5178106689999975</v>
      </c>
      <c r="AC34" s="187"/>
    </row>
    <row r="35" spans="2:29" ht="16.5" customHeight="1">
      <c r="B35" s="130"/>
      <c r="C35" s="154">
        <v>7</v>
      </c>
      <c r="D35" s="188" t="s">
        <v>150</v>
      </c>
      <c r="E35" s="167">
        <v>132</v>
      </c>
      <c r="F35" s="168">
        <v>1.6</v>
      </c>
      <c r="G35" s="169">
        <f t="shared" si="18"/>
        <v>0.9491328000000001</v>
      </c>
      <c r="H35" s="170">
        <v>36048.42222222222</v>
      </c>
      <c r="I35" s="170">
        <v>36048.86111111111</v>
      </c>
      <c r="J35" s="171">
        <f t="shared" si="0"/>
        <v>10.533333333267365</v>
      </c>
      <c r="K35" s="172">
        <f t="shared" si="1"/>
        <v>632</v>
      </c>
      <c r="L35" s="173" t="s">
        <v>121</v>
      </c>
      <c r="M35" s="173" t="str">
        <f t="shared" si="2"/>
        <v>--</v>
      </c>
      <c r="N35" s="174" t="str">
        <f t="shared" si="3"/>
        <v>--</v>
      </c>
      <c r="O35" s="175">
        <f t="shared" si="4"/>
        <v>2.9983105152</v>
      </c>
      <c r="P35" s="176" t="str">
        <f t="shared" si="5"/>
        <v>--</v>
      </c>
      <c r="Q35" s="177" t="str">
        <f t="shared" si="6"/>
        <v>--</v>
      </c>
      <c r="R35" s="178" t="str">
        <f t="shared" si="7"/>
        <v>--</v>
      </c>
      <c r="S35" s="179" t="str">
        <f t="shared" si="8"/>
        <v>--</v>
      </c>
      <c r="T35" s="180" t="str">
        <f t="shared" si="9"/>
        <v>--</v>
      </c>
      <c r="U35" s="181" t="str">
        <f t="shared" si="10"/>
        <v>--</v>
      </c>
      <c r="V35" s="182" t="str">
        <f t="shared" si="11"/>
        <v>--</v>
      </c>
      <c r="W35" s="183" t="str">
        <f t="shared" si="12"/>
        <v>--</v>
      </c>
      <c r="X35" s="184" t="str">
        <f t="shared" si="13"/>
        <v>--</v>
      </c>
      <c r="Y35" s="185" t="str">
        <f t="shared" si="14"/>
        <v>SI</v>
      </c>
      <c r="Z35" s="186">
        <f t="shared" si="15"/>
        <v>2.9983105152</v>
      </c>
      <c r="AA35" s="186">
        <v>2.3258832480000002</v>
      </c>
      <c r="AB35" s="186">
        <f t="shared" si="19"/>
        <v>0.6724272671999998</v>
      </c>
      <c r="AC35" s="187"/>
    </row>
    <row r="36" spans="2:29" ht="16.5" customHeight="1">
      <c r="B36" s="130"/>
      <c r="C36" s="154">
        <v>8</v>
      </c>
      <c r="D36" s="188" t="s">
        <v>133</v>
      </c>
      <c r="E36" s="167">
        <v>132</v>
      </c>
      <c r="F36" s="168">
        <v>10</v>
      </c>
      <c r="G36" s="169">
        <f t="shared" si="18"/>
        <v>5.932080000000001</v>
      </c>
      <c r="H36" s="170">
        <v>36055.42222222222</v>
      </c>
      <c r="I36" s="170">
        <v>36055.5</v>
      </c>
      <c r="J36" s="171">
        <f t="shared" si="0"/>
        <v>1.866666666639503</v>
      </c>
      <c r="K36" s="172">
        <f t="shared" si="1"/>
        <v>112</v>
      </c>
      <c r="L36" s="173" t="s">
        <v>122</v>
      </c>
      <c r="M36" s="173" t="str">
        <f t="shared" si="2"/>
        <v>--</v>
      </c>
      <c r="N36" s="174" t="str">
        <f t="shared" si="3"/>
        <v>NO</v>
      </c>
      <c r="O36" s="175" t="str">
        <f t="shared" si="4"/>
        <v>--</v>
      </c>
      <c r="P36" s="176" t="str">
        <f t="shared" si="5"/>
        <v>--</v>
      </c>
      <c r="Q36" s="177">
        <f t="shared" si="6"/>
        <v>177.96</v>
      </c>
      <c r="R36" s="178">
        <f t="shared" si="7"/>
        <v>332.78968800000007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 t="str">
        <f t="shared" si="14"/>
        <v>SI</v>
      </c>
      <c r="Z36" s="186">
        <f t="shared" si="15"/>
        <v>510.7496880000001</v>
      </c>
      <c r="AA36" s="186">
        <v>396.2053700000001</v>
      </c>
      <c r="AB36" s="186">
        <f t="shared" si="19"/>
        <v>114.54431800000003</v>
      </c>
      <c r="AC36" s="187"/>
    </row>
    <row r="37" spans="2:29" ht="16.5" customHeight="1">
      <c r="B37" s="130"/>
      <c r="C37" s="154">
        <v>9</v>
      </c>
      <c r="D37" s="188" t="s">
        <v>150</v>
      </c>
      <c r="E37" s="167">
        <v>132</v>
      </c>
      <c r="F37" s="168">
        <v>1.6</v>
      </c>
      <c r="G37" s="169">
        <f t="shared" si="18"/>
        <v>0.9491328000000001</v>
      </c>
      <c r="H37" s="170">
        <v>36055.58611111111</v>
      </c>
      <c r="I37" s="170">
        <v>36055.62986111111</v>
      </c>
      <c r="J37" s="171">
        <f t="shared" si="0"/>
        <v>1.0500000001047738</v>
      </c>
      <c r="K37" s="172">
        <f t="shared" si="1"/>
        <v>63</v>
      </c>
      <c r="L37" s="173" t="s">
        <v>121</v>
      </c>
      <c r="M37" s="173" t="str">
        <f t="shared" si="2"/>
        <v>--</v>
      </c>
      <c r="N37" s="174" t="str">
        <f t="shared" si="3"/>
        <v>--</v>
      </c>
      <c r="O37" s="175">
        <f t="shared" si="4"/>
        <v>0.298976832</v>
      </c>
      <c r="P37" s="176" t="str">
        <f t="shared" si="5"/>
        <v>--</v>
      </c>
      <c r="Q37" s="177" t="str">
        <f t="shared" si="6"/>
        <v>--</v>
      </c>
      <c r="R37" s="178" t="str">
        <f t="shared" si="7"/>
        <v>--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 t="str">
        <f t="shared" si="14"/>
        <v>SI</v>
      </c>
      <c r="Z37" s="186">
        <f t="shared" si="15"/>
        <v>0.298976832</v>
      </c>
      <c r="AA37" s="186">
        <v>0.23192568000000002</v>
      </c>
      <c r="AB37" s="186">
        <f t="shared" si="19"/>
        <v>0.067051152</v>
      </c>
      <c r="AC37" s="187"/>
    </row>
    <row r="38" spans="2:29" ht="16.5" customHeight="1">
      <c r="B38" s="130"/>
      <c r="C38" s="154">
        <v>10</v>
      </c>
      <c r="D38" s="188" t="s">
        <v>152</v>
      </c>
      <c r="E38" s="167">
        <v>132</v>
      </c>
      <c r="F38" s="168">
        <v>24.9</v>
      </c>
      <c r="G38" s="169">
        <f t="shared" si="18"/>
        <v>14.7708792</v>
      </c>
      <c r="H38" s="170">
        <v>36059.455555555556</v>
      </c>
      <c r="I38" s="170">
        <v>36059.46666666667</v>
      </c>
      <c r="J38" s="171">
        <f t="shared" si="0"/>
        <v>0.26666666666278616</v>
      </c>
      <c r="K38" s="172">
        <f t="shared" si="1"/>
        <v>16</v>
      </c>
      <c r="L38" s="173" t="s">
        <v>122</v>
      </c>
      <c r="M38" s="173" t="str">
        <f t="shared" si="2"/>
        <v>--</v>
      </c>
      <c r="N38" s="174" t="str">
        <f t="shared" si="3"/>
        <v>NO</v>
      </c>
      <c r="O38" s="175" t="str">
        <f t="shared" si="4"/>
        <v>--</v>
      </c>
      <c r="P38" s="176" t="str">
        <f t="shared" si="5"/>
        <v>--</v>
      </c>
      <c r="Q38" s="177">
        <f t="shared" si="6"/>
        <v>443.13</v>
      </c>
      <c r="R38" s="178">
        <f t="shared" si="7"/>
        <v>119.64412152000001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 t="str">
        <f t="shared" si="14"/>
        <v>SI</v>
      </c>
      <c r="Z38" s="186">
        <f t="shared" si="15"/>
        <v>562.77412152</v>
      </c>
      <c r="AA38" s="186">
        <v>436.5616873</v>
      </c>
      <c r="AB38" s="186">
        <f t="shared" si="19"/>
        <v>126.21243421999998</v>
      </c>
      <c r="AC38" s="187"/>
    </row>
    <row r="39" spans="2:29" ht="16.5" customHeight="1">
      <c r="B39" s="130"/>
      <c r="C39" s="154">
        <v>11</v>
      </c>
      <c r="D39" s="188" t="s">
        <v>4</v>
      </c>
      <c r="E39" s="167">
        <v>132</v>
      </c>
      <c r="F39" s="168">
        <v>3.5</v>
      </c>
      <c r="G39" s="169">
        <f t="shared" si="18"/>
        <v>2.076228</v>
      </c>
      <c r="H39" s="170">
        <v>36059.455555555556</v>
      </c>
      <c r="I39" s="170">
        <v>36059.475694444445</v>
      </c>
      <c r="J39" s="171">
        <f t="shared" si="0"/>
        <v>0.48333333333721384</v>
      </c>
      <c r="K39" s="172">
        <f t="shared" si="1"/>
        <v>29</v>
      </c>
      <c r="L39" s="173" t="s">
        <v>122</v>
      </c>
      <c r="M39" s="173" t="str">
        <f t="shared" si="2"/>
        <v>--</v>
      </c>
      <c r="N39" s="174" t="str">
        <f t="shared" si="3"/>
        <v>NO</v>
      </c>
      <c r="O39" s="175" t="str">
        <f t="shared" si="4"/>
        <v>--</v>
      </c>
      <c r="P39" s="176" t="str">
        <f t="shared" si="5"/>
        <v>--</v>
      </c>
      <c r="Q39" s="177">
        <f t="shared" si="6"/>
        <v>62.29</v>
      </c>
      <c r="R39" s="178">
        <f t="shared" si="7"/>
        <v>29.8976832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 t="str">
        <f t="shared" si="14"/>
        <v>SI</v>
      </c>
      <c r="Z39" s="186">
        <f t="shared" si="15"/>
        <v>92.1876832</v>
      </c>
      <c r="AA39" s="186">
        <v>71.512568</v>
      </c>
      <c r="AB39" s="186">
        <f t="shared" si="19"/>
        <v>20.675115199999993</v>
      </c>
      <c r="AC39" s="187"/>
    </row>
    <row r="40" spans="2:29" ht="16.5" customHeight="1">
      <c r="B40" s="130"/>
      <c r="C40" s="154">
        <v>12</v>
      </c>
      <c r="D40" s="188" t="s">
        <v>178</v>
      </c>
      <c r="E40" s="167">
        <v>132</v>
      </c>
      <c r="F40" s="168">
        <v>170</v>
      </c>
      <c r="G40" s="169">
        <f t="shared" si="18"/>
        <v>100.84535999999999</v>
      </c>
      <c r="H40" s="170">
        <v>36059.455555555556</v>
      </c>
      <c r="I40" s="170">
        <v>36059.467361111114</v>
      </c>
      <c r="J40" s="171">
        <f t="shared" si="0"/>
        <v>0.28333333338378</v>
      </c>
      <c r="K40" s="172">
        <f t="shared" si="1"/>
        <v>17</v>
      </c>
      <c r="L40" s="173" t="s">
        <v>122</v>
      </c>
      <c r="M40" s="173" t="str">
        <f t="shared" si="2"/>
        <v>--</v>
      </c>
      <c r="N40" s="174" t="str">
        <f t="shared" si="3"/>
        <v>NO</v>
      </c>
      <c r="O40" s="175" t="str">
        <f t="shared" si="4"/>
        <v>--</v>
      </c>
      <c r="P40" s="176" t="str">
        <f t="shared" si="5"/>
        <v>--</v>
      </c>
      <c r="Q40" s="177">
        <f t="shared" si="6"/>
        <v>3025.36</v>
      </c>
      <c r="R40" s="178">
        <f t="shared" si="7"/>
        <v>847.1010239999999</v>
      </c>
      <c r="S40" s="179" t="str">
        <f t="shared" si="8"/>
        <v>--</v>
      </c>
      <c r="T40" s="180" t="str">
        <f t="shared" si="9"/>
        <v>--</v>
      </c>
      <c r="U40" s="181" t="str">
        <f t="shared" si="10"/>
        <v>--</v>
      </c>
      <c r="V40" s="182" t="str">
        <f t="shared" si="11"/>
        <v>--</v>
      </c>
      <c r="W40" s="183" t="str">
        <f t="shared" si="12"/>
        <v>--</v>
      </c>
      <c r="X40" s="184" t="str">
        <f t="shared" si="13"/>
        <v>--</v>
      </c>
      <c r="Y40" s="185" t="str">
        <f t="shared" si="14"/>
        <v>SI</v>
      </c>
      <c r="Z40" s="186">
        <f t="shared" si="15"/>
        <v>3872.461024</v>
      </c>
      <c r="AA40" s="186">
        <v>3003.99276</v>
      </c>
      <c r="AB40" s="186">
        <f t="shared" si="19"/>
        <v>868.4682640000001</v>
      </c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472"/>
      <c r="AA41" s="472"/>
      <c r="AB41" s="472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28737.51</v>
      </c>
      <c r="AA42" s="442">
        <f>ROUND(SUM(AA18:AA41),2)</f>
        <v>22292.58</v>
      </c>
      <c r="AB42" s="442">
        <f>ROUND(SUM(AB18:AB41),2)</f>
        <v>6444.94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28:AB2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AC58"/>
  <sheetViews>
    <sheetView zoomScale="75" zoomScaleNormal="75" workbookViewId="0" topLeftCell="A11">
      <selection activeCell="D15" sqref="D15:F15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574218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239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59.92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215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(2)'!Z42</f>
        <v>28737.51</v>
      </c>
      <c r="AA18" s="148">
        <f>+'LI (2)'!AA42</f>
        <v>22292.58</v>
      </c>
      <c r="AB18" s="148">
        <f>+'LI (2)'!AB42</f>
        <v>6444.94</v>
      </c>
      <c r="AC18" s="88"/>
    </row>
    <row r="19" spans="2:29" s="149" customFormat="1" ht="16.5" customHeight="1">
      <c r="B19" s="130"/>
      <c r="C19" s="150"/>
      <c r="D19" s="151"/>
      <c r="E19" s="150"/>
      <c r="F19" s="150"/>
      <c r="G19" s="152"/>
      <c r="H19" s="150"/>
      <c r="I19" s="153"/>
      <c r="J19" s="154"/>
      <c r="K19" s="153"/>
      <c r="L19" s="150"/>
      <c r="M19" s="151"/>
      <c r="N19" s="154"/>
      <c r="O19" s="155"/>
      <c r="P19" s="156"/>
      <c r="Q19" s="157"/>
      <c r="R19" s="158"/>
      <c r="S19" s="159"/>
      <c r="T19" s="160"/>
      <c r="U19" s="161"/>
      <c r="V19" s="162"/>
      <c r="W19" s="163"/>
      <c r="X19" s="164"/>
      <c r="Y19" s="154"/>
      <c r="Z19" s="165"/>
      <c r="AA19" s="165"/>
      <c r="AB19" s="165"/>
      <c r="AC19" s="166"/>
    </row>
    <row r="20" spans="2:29" ht="16.5" customHeight="1">
      <c r="B20" s="130"/>
      <c r="C20" s="154">
        <v>13</v>
      </c>
      <c r="D20" s="188" t="s">
        <v>9</v>
      </c>
      <c r="E20" s="167">
        <v>132</v>
      </c>
      <c r="F20" s="168">
        <v>25.5</v>
      </c>
      <c r="G20" s="169">
        <f>F20*$E$14/100*$E$15</f>
        <v>15.126804</v>
      </c>
      <c r="H20" s="170">
        <v>36060.41875</v>
      </c>
      <c r="I20" s="170">
        <v>36060.51736111111</v>
      </c>
      <c r="J20" s="171">
        <f aca="true" t="shared" si="0" ref="J20:J27">IF(H20="","",(I20-H20)*24)</f>
        <v>2.3666666666977108</v>
      </c>
      <c r="K20" s="172">
        <f aca="true" t="shared" si="1" ref="K20:K27">IF(I20="","",ROUND((I20-H20)*24*60,0))</f>
        <v>142</v>
      </c>
      <c r="L20" s="173" t="s">
        <v>121</v>
      </c>
      <c r="M20" s="173" t="str">
        <f aca="true" t="shared" si="2" ref="M20:M27">IF(D20="","","--")</f>
        <v>--</v>
      </c>
      <c r="N20" s="174" t="str">
        <f aca="true" t="shared" si="3" ref="N20:N27">IF(D20="","",IF(OR(L20="P",L20="RP"),"--","NO"))</f>
        <v>--</v>
      </c>
      <c r="O20" s="175">
        <f aca="true" t="shared" si="4" ref="O20:O27">IF(L20="P",ROUND(K20/60,2)*G20*$J$14*0.01,"--")</f>
        <v>10.755157644</v>
      </c>
      <c r="P20" s="176" t="str">
        <f aca="true" t="shared" si="5" ref="P20:P27">IF(L20="RP",ROUND(K20/60,2)*G20*$J$14*0.01*M20/100,"--")</f>
        <v>--</v>
      </c>
      <c r="Q20" s="177" t="str">
        <f aca="true" t="shared" si="6" ref="Q20:Q27">IF(N20="SI","--",IF(L20="F",ROUND(G20*$J$14,2),"--"))</f>
        <v>--</v>
      </c>
      <c r="R20" s="178" t="str">
        <f aca="true" t="shared" si="7" ref="R20:R27">IF(L20="F",IF(K20&lt;10,"--",IF(K20&gt;180,ROUND(G20*$J$14*3,2),G20*$J$14*ROUND(K20/60,2))),"--")</f>
        <v>--</v>
      </c>
      <c r="S20" s="179" t="str">
        <f aca="true" t="shared" si="8" ref="S20:S27">IF(AND(L20="F",K20&gt;180),G20*$J$14*0.1*(ROUND(K20/60,2)-3),"--")</f>
        <v>--</v>
      </c>
      <c r="T20" s="180" t="str">
        <f aca="true" t="shared" si="9" ref="T20:T27">IF(N20="SI","--",IF(L20="R",ROUND(G20*$J$14*M20/100,2),"--"))</f>
        <v>--</v>
      </c>
      <c r="U20" s="181" t="str">
        <f aca="true" t="shared" si="10" ref="U20:U27">IF(L20="R",IF(K20&lt;10,"--",IF(K20&gt;180,ROUND(G20*$J$14*3*M20/100,2),G20*$J$14*M20/100*ROUND(K20/60,2))),"--")</f>
        <v>--</v>
      </c>
      <c r="V20" s="182" t="str">
        <f aca="true" t="shared" si="11" ref="V20:V27">IF(AND(L20="R",K20&gt;180),G20*$J$14*M20/100*0.1*(ROUND(K20/60,2)-3),"--")</f>
        <v>--</v>
      </c>
      <c r="W20" s="183" t="str">
        <f aca="true" t="shared" si="12" ref="W20:W27">IF(L20="RF",G20*$J$14*0.1*ROUND(K20/60,2),"--")</f>
        <v>--</v>
      </c>
      <c r="X20" s="184" t="str">
        <f aca="true" t="shared" si="13" ref="X20:X27">IF(L20="RR",G20*$J$14*0.1*M20/100*ROUND(K20/60,2),"--")</f>
        <v>--</v>
      </c>
      <c r="Y20" s="185" t="str">
        <f aca="true" t="shared" si="14" ref="Y20:Y27">IF(D20="","","SI")</f>
        <v>SI</v>
      </c>
      <c r="Z20" s="186">
        <f aca="true" t="shared" si="15" ref="Z20:Z27">IF(D20="","",IF(Y20="SI",SUM(O20:X20),2*SUM(O20:X20)))</f>
        <v>10.755157644</v>
      </c>
      <c r="AA20" s="186">
        <v>8.343112185000003</v>
      </c>
      <c r="AB20" s="186">
        <f aca="true" t="shared" si="16" ref="AB20:AB27">+Z20-AA20</f>
        <v>2.412045458999998</v>
      </c>
      <c r="AC20" s="187"/>
    </row>
    <row r="21" spans="2:29" ht="16.5" customHeight="1">
      <c r="B21" s="130"/>
      <c r="C21" s="154">
        <v>14</v>
      </c>
      <c r="D21" s="188" t="s">
        <v>8</v>
      </c>
      <c r="E21" s="167">
        <v>132</v>
      </c>
      <c r="F21" s="168">
        <v>74.7</v>
      </c>
      <c r="G21" s="169">
        <f aca="true" t="shared" si="17" ref="G21:G28">F21*$E$14/100*$E$15</f>
        <v>44.3126376</v>
      </c>
      <c r="H21" s="170">
        <v>36060.42083333333</v>
      </c>
      <c r="I21" s="170">
        <v>36060.51736111111</v>
      </c>
      <c r="J21" s="171">
        <f t="shared" si="0"/>
        <v>2.3166666667093523</v>
      </c>
      <c r="K21" s="172">
        <f t="shared" si="1"/>
        <v>139</v>
      </c>
      <c r="L21" s="173" t="s">
        <v>121</v>
      </c>
      <c r="M21" s="173" t="str">
        <f t="shared" si="2"/>
        <v>--</v>
      </c>
      <c r="N21" s="174" t="str">
        <f t="shared" si="3"/>
        <v>--</v>
      </c>
      <c r="O21" s="175">
        <f t="shared" si="4"/>
        <v>30.841595769599998</v>
      </c>
      <c r="P21" s="176" t="str">
        <f t="shared" si="5"/>
        <v>--</v>
      </c>
      <c r="Q21" s="177" t="str">
        <f t="shared" si="6"/>
        <v>--</v>
      </c>
      <c r="R21" s="178" t="str">
        <f t="shared" si="7"/>
        <v>--</v>
      </c>
      <c r="S21" s="179" t="str">
        <f t="shared" si="8"/>
        <v>--</v>
      </c>
      <c r="T21" s="180" t="str">
        <f t="shared" si="9"/>
        <v>--</v>
      </c>
      <c r="U21" s="181" t="str">
        <f t="shared" si="10"/>
        <v>--</v>
      </c>
      <c r="V21" s="182" t="str">
        <f t="shared" si="11"/>
        <v>--</v>
      </c>
      <c r="W21" s="183" t="str">
        <f t="shared" si="12"/>
        <v>--</v>
      </c>
      <c r="X21" s="184" t="str">
        <f t="shared" si="13"/>
        <v>--</v>
      </c>
      <c r="Y21" s="185" t="str">
        <f t="shared" si="14"/>
        <v>SI</v>
      </c>
      <c r="Z21" s="186">
        <f t="shared" si="15"/>
        <v>30.841595769599998</v>
      </c>
      <c r="AA21" s="186">
        <v>23.924790504000008</v>
      </c>
      <c r="AB21" s="186">
        <f t="shared" si="16"/>
        <v>6.91680526559999</v>
      </c>
      <c r="AC21" s="187"/>
    </row>
    <row r="22" spans="2:29" ht="16.5" customHeight="1">
      <c r="B22" s="130"/>
      <c r="C22" s="154">
        <v>15</v>
      </c>
      <c r="D22" s="188" t="s">
        <v>4</v>
      </c>
      <c r="E22" s="167">
        <v>132</v>
      </c>
      <c r="F22" s="168">
        <v>3.5</v>
      </c>
      <c r="G22" s="169">
        <f t="shared" si="17"/>
        <v>2.076228</v>
      </c>
      <c r="H22" s="170">
        <v>36061.38888888889</v>
      </c>
      <c r="I22" s="170">
        <v>36061.626388888886</v>
      </c>
      <c r="J22" s="171">
        <f t="shared" si="0"/>
        <v>5.699999999895226</v>
      </c>
      <c r="K22" s="172">
        <f t="shared" si="1"/>
        <v>342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3.55034988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3.55034988</v>
      </c>
      <c r="AA22" s="186">
        <v>2.75411745</v>
      </c>
      <c r="AB22" s="186">
        <f t="shared" si="16"/>
        <v>0.7962324300000003</v>
      </c>
      <c r="AC22" s="187"/>
    </row>
    <row r="23" spans="2:29" ht="16.5" customHeight="1">
      <c r="B23" s="130"/>
      <c r="C23" s="154">
        <v>16</v>
      </c>
      <c r="D23" s="188" t="s">
        <v>4</v>
      </c>
      <c r="E23" s="167">
        <v>132</v>
      </c>
      <c r="F23" s="168">
        <v>3.5</v>
      </c>
      <c r="G23" s="169">
        <f t="shared" si="17"/>
        <v>2.076228</v>
      </c>
      <c r="H23" s="170">
        <v>36062.39027777778</v>
      </c>
      <c r="I23" s="170">
        <v>36062.59722222222</v>
      </c>
      <c r="J23" s="171">
        <f t="shared" si="0"/>
        <v>4.96666666661622</v>
      </c>
      <c r="K23" s="172">
        <f t="shared" si="1"/>
        <v>298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3.095655948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3.095655948</v>
      </c>
      <c r="AA23" s="186">
        <v>2.4013971450000002</v>
      </c>
      <c r="AB23" s="186">
        <f t="shared" si="16"/>
        <v>0.6942588029999999</v>
      </c>
      <c r="AC23" s="187"/>
    </row>
    <row r="24" spans="2:29" ht="16.5" customHeight="1">
      <c r="B24" s="130"/>
      <c r="C24" s="154">
        <v>17</v>
      </c>
      <c r="D24" s="188" t="s">
        <v>4</v>
      </c>
      <c r="E24" s="167">
        <v>132</v>
      </c>
      <c r="F24" s="168">
        <v>3.5</v>
      </c>
      <c r="G24" s="169">
        <f t="shared" si="17"/>
        <v>2.076228</v>
      </c>
      <c r="H24" s="170">
        <v>36063.368055555555</v>
      </c>
      <c r="I24" s="170">
        <v>36063.61388888889</v>
      </c>
      <c r="J24" s="171">
        <f t="shared" si="0"/>
        <v>5.900000000023283</v>
      </c>
      <c r="K24" s="172">
        <f t="shared" si="1"/>
        <v>354</v>
      </c>
      <c r="L24" s="173" t="s">
        <v>121</v>
      </c>
      <c r="M24" s="173" t="str">
        <f t="shared" si="2"/>
        <v>--</v>
      </c>
      <c r="N24" s="174" t="str">
        <f t="shared" si="3"/>
        <v>--</v>
      </c>
      <c r="O24" s="175">
        <f t="shared" si="4"/>
        <v>3.6749235600000003</v>
      </c>
      <c r="P24" s="176" t="str">
        <f t="shared" si="5"/>
        <v>--</v>
      </c>
      <c r="Q24" s="177" t="str">
        <f t="shared" si="6"/>
        <v>--</v>
      </c>
      <c r="R24" s="178" t="str">
        <f t="shared" si="7"/>
        <v>--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3.6749235600000003</v>
      </c>
      <c r="AA24" s="186">
        <v>2.8507531500000005</v>
      </c>
      <c r="AB24" s="186">
        <f t="shared" si="16"/>
        <v>0.8241704099999998</v>
      </c>
      <c r="AC24" s="187"/>
    </row>
    <row r="25" spans="2:29" ht="16.5" customHeight="1">
      <c r="B25" s="130"/>
      <c r="C25" s="154">
        <v>18</v>
      </c>
      <c r="D25" s="188" t="s">
        <v>6</v>
      </c>
      <c r="E25" s="167">
        <v>132</v>
      </c>
      <c r="F25" s="168">
        <v>40.6</v>
      </c>
      <c r="G25" s="169">
        <f t="shared" si="17"/>
        <v>24.0842448</v>
      </c>
      <c r="H25" s="170">
        <v>36067.447222222225</v>
      </c>
      <c r="I25" s="170">
        <v>36067.54236111111</v>
      </c>
      <c r="J25" s="171">
        <f t="shared" si="0"/>
        <v>2.2833333332673647</v>
      </c>
      <c r="K25" s="172">
        <f t="shared" si="1"/>
        <v>137</v>
      </c>
      <c r="L25" s="173" t="s">
        <v>121</v>
      </c>
      <c r="M25" s="173" t="str">
        <f t="shared" si="2"/>
        <v>--</v>
      </c>
      <c r="N25" s="174" t="str">
        <f t="shared" si="3"/>
        <v>--</v>
      </c>
      <c r="O25" s="175">
        <f t="shared" si="4"/>
        <v>16.4736234432</v>
      </c>
      <c r="P25" s="176" t="str">
        <f t="shared" si="5"/>
        <v>--</v>
      </c>
      <c r="Q25" s="177" t="str">
        <f t="shared" si="6"/>
        <v>--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16.4736234432</v>
      </c>
      <c r="AA25" s="186">
        <v>12.779104967999999</v>
      </c>
      <c r="AB25" s="186">
        <f t="shared" si="16"/>
        <v>3.6945184752000024</v>
      </c>
      <c r="AC25" s="187"/>
    </row>
    <row r="26" spans="2:29" ht="16.5" customHeight="1">
      <c r="B26" s="130"/>
      <c r="C26" s="154">
        <v>19</v>
      </c>
      <c r="D26" s="188" t="s">
        <v>186</v>
      </c>
      <c r="E26" s="167">
        <v>132</v>
      </c>
      <c r="F26" s="168">
        <v>9.4</v>
      </c>
      <c r="G26" s="169">
        <f t="shared" si="17"/>
        <v>5.5761552000000005</v>
      </c>
      <c r="H26" s="170">
        <v>36067.54513888889</v>
      </c>
      <c r="I26" s="170">
        <v>36067.631944444445</v>
      </c>
      <c r="J26" s="171">
        <f t="shared" si="0"/>
        <v>2.083333333313931</v>
      </c>
      <c r="K26" s="172">
        <f t="shared" si="1"/>
        <v>125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3.4795208448000006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3.4795208448000006</v>
      </c>
      <c r="AA26" s="186">
        <v>2.699173152</v>
      </c>
      <c r="AB26" s="186">
        <f t="shared" si="16"/>
        <v>0.7803476928000004</v>
      </c>
      <c r="AC26" s="187"/>
    </row>
    <row r="27" spans="2:29" ht="16.5" customHeight="1">
      <c r="B27" s="130"/>
      <c r="C27" s="154">
        <v>20</v>
      </c>
      <c r="D27" s="188" t="s">
        <v>133</v>
      </c>
      <c r="E27" s="167">
        <v>132</v>
      </c>
      <c r="F27" s="168">
        <v>10</v>
      </c>
      <c r="G27" s="169">
        <f t="shared" si="17"/>
        <v>5.932080000000001</v>
      </c>
      <c r="H27" s="170">
        <v>36068.42569444444</v>
      </c>
      <c r="I27" s="170">
        <v>36068.52569444444</v>
      </c>
      <c r="J27" s="171">
        <f t="shared" si="0"/>
        <v>2.3999999999650754</v>
      </c>
      <c r="K27" s="172">
        <f t="shared" si="1"/>
        <v>144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4.271097600000001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4.271097600000001</v>
      </c>
      <c r="AA27" s="186">
        <v>3.3132239999999995</v>
      </c>
      <c r="AB27" s="186">
        <f t="shared" si="16"/>
        <v>0.9578736000000014</v>
      </c>
      <c r="AC27" s="187"/>
    </row>
    <row r="28" spans="2:29" ht="16.5" customHeight="1" thickBot="1">
      <c r="B28" s="130"/>
      <c r="C28" s="188"/>
      <c r="D28" s="188"/>
      <c r="E28" s="556"/>
      <c r="F28" s="557"/>
      <c r="G28" s="169">
        <f t="shared" si="17"/>
        <v>0</v>
      </c>
      <c r="H28" s="558"/>
      <c r="I28" s="558"/>
      <c r="J28" s="559">
        <f aca="true" t="shared" si="18" ref="J28:J40">IF(H28="","",(I28-H28)*24)</f>
      </c>
      <c r="K28" s="560">
        <f aca="true" t="shared" si="19" ref="K28:K40">IF(I28="","",ROUND((I28-H28)*24*60,0))</f>
      </c>
      <c r="L28" s="561"/>
      <c r="M28" s="561">
        <f aca="true" t="shared" si="20" ref="M28:M40">IF(D28="","","--")</f>
      </c>
      <c r="N28" s="562">
        <f aca="true" t="shared" si="21" ref="N28:N40">IF(D28="","",IF(OR(L28="P",L28="RP"),"--","NO"))</f>
      </c>
      <c r="O28" s="563" t="str">
        <f aca="true" t="shared" si="22" ref="O28:O40">IF(L28="P",ROUND(K28/60,2)*G28*$J$14*0.01,"--")</f>
        <v>--</v>
      </c>
      <c r="P28" s="564" t="str">
        <f aca="true" t="shared" si="23" ref="P28:P40">IF(L28="RP",ROUND(K28/60,2)*G28*$J$14*0.01*M28/100,"--")</f>
        <v>--</v>
      </c>
      <c r="Q28" s="565" t="str">
        <f aca="true" t="shared" si="24" ref="Q28:Q40">IF(N28="SI","--",IF(L28="F",ROUND(G28*$J$14,2),"--"))</f>
        <v>--</v>
      </c>
      <c r="R28" s="566" t="str">
        <f aca="true" t="shared" si="25" ref="R28:R40">IF(L28="F",IF(K28&lt;10,"--",IF(K28&gt;180,ROUND(G28*$J$14*3,2),G28*$J$14*ROUND(K28/60,2))),"--")</f>
        <v>--</v>
      </c>
      <c r="S28" s="567" t="str">
        <f aca="true" t="shared" si="26" ref="S28:S40">IF(AND(L28="F",K28&gt;180),G28*$J$14*0.1*(ROUND(K28/60,2)-3),"--")</f>
        <v>--</v>
      </c>
      <c r="T28" s="568" t="str">
        <f aca="true" t="shared" si="27" ref="T28:T40">IF(N28="SI","--",IF(L28="R",ROUND(G28*$J$14*M28/100,2),"--"))</f>
        <v>--</v>
      </c>
      <c r="U28" s="569" t="str">
        <f aca="true" t="shared" si="28" ref="U28:U40">IF(L28="R",IF(K28&lt;10,"--",IF(K28&gt;180,ROUND(G28*$J$14*3*M28/100,2),G28*$J$14*M28/100*ROUND(K28/60,2))),"--")</f>
        <v>--</v>
      </c>
      <c r="V28" s="570" t="str">
        <f aca="true" t="shared" si="29" ref="V28:V40">IF(AND(L28="R",K28&gt;180),G28*$J$14*M28/100*0.1*(ROUND(K28/60,2)-3),"--")</f>
        <v>--</v>
      </c>
      <c r="W28" s="571" t="str">
        <f aca="true" t="shared" si="30" ref="W28:W40">IF(L28="RF",G28*$J$14*0.1*ROUND(K28/60,2),"--")</f>
        <v>--</v>
      </c>
      <c r="X28" s="572" t="str">
        <f aca="true" t="shared" si="31" ref="X28:X40">IF(L28="RR",G28*$J$14*0.1*M28/100*ROUND(K28/60,2),"--")</f>
        <v>--</v>
      </c>
      <c r="Y28" s="573">
        <f aca="true" t="shared" si="32" ref="Y28:Y40">IF(D28="","","SI")</f>
      </c>
      <c r="Z28" s="574">
        <f aca="true" t="shared" si="33" ref="Z28:Z40">IF(D28="","",IF(Y28="SI",SUM(O28:X28),2*SUM(O28:X28)))</f>
      </c>
      <c r="AA28" s="574"/>
      <c r="AB28" s="574"/>
      <c r="AC28" s="187"/>
    </row>
    <row r="29" spans="2:29" ht="16.5" customHeight="1" thickBot="1" thickTop="1">
      <c r="B29" s="130"/>
      <c r="C29" s="605" t="s">
        <v>223</v>
      </c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7"/>
      <c r="AC29" s="187"/>
    </row>
    <row r="30" spans="2:29" ht="16.5" customHeight="1" thickTop="1">
      <c r="B30" s="130"/>
      <c r="C30" s="534">
        <v>1</v>
      </c>
      <c r="D30" s="575" t="s">
        <v>8</v>
      </c>
      <c r="E30" s="535">
        <v>132</v>
      </c>
      <c r="F30" s="536">
        <v>74.7</v>
      </c>
      <c r="G30" s="169">
        <f aca="true" t="shared" si="34" ref="G30:G40">F30*$E$14/100*$E$15</f>
        <v>44.3126376</v>
      </c>
      <c r="H30" s="538">
        <v>36084.07986111111</v>
      </c>
      <c r="I30" s="538">
        <v>36084.09166666667</v>
      </c>
      <c r="J30" s="539">
        <f t="shared" si="18"/>
        <v>0.28333333338378</v>
      </c>
      <c r="K30" s="540">
        <f t="shared" si="19"/>
        <v>17</v>
      </c>
      <c r="L30" s="541" t="s">
        <v>122</v>
      </c>
      <c r="M30" s="541" t="str">
        <f t="shared" si="20"/>
        <v>--</v>
      </c>
      <c r="N30" s="542" t="str">
        <f t="shared" si="21"/>
        <v>NO</v>
      </c>
      <c r="O30" s="543" t="str">
        <f t="shared" si="22"/>
        <v>--</v>
      </c>
      <c r="P30" s="544" t="str">
        <f t="shared" si="23"/>
        <v>--</v>
      </c>
      <c r="Q30" s="545">
        <f t="shared" si="24"/>
        <v>1329.38</v>
      </c>
      <c r="R30" s="546">
        <f t="shared" si="25"/>
        <v>372.22615584000005</v>
      </c>
      <c r="S30" s="547" t="str">
        <f t="shared" si="26"/>
        <v>--</v>
      </c>
      <c r="T30" s="548" t="str">
        <f t="shared" si="27"/>
        <v>--</v>
      </c>
      <c r="U30" s="549" t="str">
        <f t="shared" si="28"/>
        <v>--</v>
      </c>
      <c r="V30" s="550" t="str">
        <f t="shared" si="29"/>
        <v>--</v>
      </c>
      <c r="W30" s="551" t="str">
        <f t="shared" si="30"/>
        <v>--</v>
      </c>
      <c r="X30" s="552" t="str">
        <f t="shared" si="31"/>
        <v>--</v>
      </c>
      <c r="Y30" s="553" t="str">
        <f t="shared" si="32"/>
        <v>SI</v>
      </c>
      <c r="Z30" s="554">
        <f t="shared" si="33"/>
        <v>1701.6061558400002</v>
      </c>
      <c r="AA30" s="554">
        <v>1319.9874716000002</v>
      </c>
      <c r="AB30" s="554">
        <f aca="true" t="shared" si="35" ref="AB30:AB38">+Z30-AA30</f>
        <v>381.61868424</v>
      </c>
      <c r="AC30" s="187"/>
    </row>
    <row r="31" spans="2:29" ht="16.5" customHeight="1">
      <c r="B31" s="130"/>
      <c r="C31" s="154">
        <v>2</v>
      </c>
      <c r="D31" s="188" t="s">
        <v>7</v>
      </c>
      <c r="E31" s="167">
        <v>132</v>
      </c>
      <c r="F31" s="168">
        <v>30</v>
      </c>
      <c r="G31" s="169">
        <f t="shared" si="34"/>
        <v>17.79624</v>
      </c>
      <c r="H31" s="170">
        <v>36084.07986111111</v>
      </c>
      <c r="I31" s="170">
        <v>36084.17361111111</v>
      </c>
      <c r="J31" s="171">
        <f t="shared" si="18"/>
        <v>2.25</v>
      </c>
      <c r="K31" s="172">
        <f t="shared" si="19"/>
        <v>135</v>
      </c>
      <c r="L31" s="173" t="s">
        <v>122</v>
      </c>
      <c r="M31" s="173" t="str">
        <f t="shared" si="20"/>
        <v>--</v>
      </c>
      <c r="N31" s="174" t="str">
        <f t="shared" si="21"/>
        <v>NO</v>
      </c>
      <c r="O31" s="175" t="str">
        <f t="shared" si="22"/>
        <v>--</v>
      </c>
      <c r="P31" s="176" t="str">
        <f t="shared" si="23"/>
        <v>--</v>
      </c>
      <c r="Q31" s="177">
        <f t="shared" si="24"/>
        <v>533.89</v>
      </c>
      <c r="R31" s="178">
        <f t="shared" si="25"/>
        <v>1201.2462</v>
      </c>
      <c r="S31" s="179" t="str">
        <f t="shared" si="26"/>
        <v>--</v>
      </c>
      <c r="T31" s="180" t="str">
        <f t="shared" si="27"/>
        <v>--</v>
      </c>
      <c r="U31" s="181" t="str">
        <f t="shared" si="28"/>
        <v>--</v>
      </c>
      <c r="V31" s="182" t="str">
        <f t="shared" si="29"/>
        <v>--</v>
      </c>
      <c r="W31" s="183" t="str">
        <f t="shared" si="30"/>
        <v>--</v>
      </c>
      <c r="X31" s="184" t="str">
        <f t="shared" si="31"/>
        <v>--</v>
      </c>
      <c r="Y31" s="185" t="str">
        <f t="shared" si="32"/>
        <v>SI</v>
      </c>
      <c r="Z31" s="186">
        <f t="shared" si="33"/>
        <v>1735.1362</v>
      </c>
      <c r="AA31" s="186">
        <v>1345.9942499999997</v>
      </c>
      <c r="AB31" s="186">
        <f t="shared" si="35"/>
        <v>389.1419500000002</v>
      </c>
      <c r="AC31" s="187"/>
    </row>
    <row r="32" spans="2:29" ht="16.5" customHeight="1">
      <c r="B32" s="130"/>
      <c r="C32" s="154">
        <v>3</v>
      </c>
      <c r="D32" s="188" t="s">
        <v>9</v>
      </c>
      <c r="E32" s="167">
        <v>132</v>
      </c>
      <c r="F32" s="168">
        <v>25.5</v>
      </c>
      <c r="G32" s="169">
        <f t="shared" si="34"/>
        <v>15.126804</v>
      </c>
      <c r="H32" s="170">
        <v>36084.07986111111</v>
      </c>
      <c r="I32" s="170">
        <v>36084.1</v>
      </c>
      <c r="J32" s="171">
        <f t="shared" si="18"/>
        <v>0.48333333333721384</v>
      </c>
      <c r="K32" s="172">
        <f t="shared" si="19"/>
        <v>29</v>
      </c>
      <c r="L32" s="173" t="s">
        <v>122</v>
      </c>
      <c r="M32" s="173" t="str">
        <f t="shared" si="20"/>
        <v>--</v>
      </c>
      <c r="N32" s="174" t="str">
        <f t="shared" si="21"/>
        <v>NO</v>
      </c>
      <c r="O32" s="175" t="str">
        <f t="shared" si="22"/>
        <v>--</v>
      </c>
      <c r="P32" s="176" t="str">
        <f t="shared" si="23"/>
        <v>--</v>
      </c>
      <c r="Q32" s="177">
        <f t="shared" si="24"/>
        <v>453.8</v>
      </c>
      <c r="R32" s="178">
        <f t="shared" si="25"/>
        <v>217.8259776</v>
      </c>
      <c r="S32" s="179" t="str">
        <f t="shared" si="26"/>
        <v>--</v>
      </c>
      <c r="T32" s="180" t="str">
        <f t="shared" si="27"/>
        <v>--</v>
      </c>
      <c r="U32" s="181" t="str">
        <f t="shared" si="28"/>
        <v>--</v>
      </c>
      <c r="V32" s="182" t="str">
        <f t="shared" si="29"/>
        <v>--</v>
      </c>
      <c r="W32" s="183" t="str">
        <f t="shared" si="30"/>
        <v>--</v>
      </c>
      <c r="X32" s="184" t="str">
        <f t="shared" si="31"/>
        <v>--</v>
      </c>
      <c r="Y32" s="185" t="str">
        <f t="shared" si="32"/>
        <v>SI</v>
      </c>
      <c r="Z32" s="186">
        <f t="shared" si="33"/>
        <v>671.6259775999999</v>
      </c>
      <c r="AA32" s="186">
        <v>521.004424</v>
      </c>
      <c r="AB32" s="186">
        <f t="shared" si="35"/>
        <v>150.62155359999997</v>
      </c>
      <c r="AC32" s="187"/>
    </row>
    <row r="33" spans="2:29" ht="16.5" customHeight="1">
      <c r="B33" s="130"/>
      <c r="C33" s="154">
        <v>4</v>
      </c>
      <c r="D33" s="188" t="s">
        <v>11</v>
      </c>
      <c r="E33" s="167">
        <v>132</v>
      </c>
      <c r="F33" s="168">
        <v>80.8</v>
      </c>
      <c r="G33" s="169">
        <f t="shared" si="34"/>
        <v>47.9312064</v>
      </c>
      <c r="H33" s="170">
        <v>36084.07986111111</v>
      </c>
      <c r="I33" s="170">
        <v>36084.092361111114</v>
      </c>
      <c r="J33" s="171">
        <f t="shared" si="18"/>
        <v>0.3000000001047738</v>
      </c>
      <c r="K33" s="172">
        <f t="shared" si="19"/>
        <v>18</v>
      </c>
      <c r="L33" s="173" t="s">
        <v>122</v>
      </c>
      <c r="M33" s="173" t="str">
        <f t="shared" si="20"/>
        <v>--</v>
      </c>
      <c r="N33" s="174" t="str">
        <f t="shared" si="21"/>
        <v>NO</v>
      </c>
      <c r="O33" s="175" t="str">
        <f t="shared" si="22"/>
        <v>--</v>
      </c>
      <c r="P33" s="176" t="str">
        <f t="shared" si="23"/>
        <v>--</v>
      </c>
      <c r="Q33" s="177">
        <f t="shared" si="24"/>
        <v>1437.94</v>
      </c>
      <c r="R33" s="178">
        <f t="shared" si="25"/>
        <v>431.3808576</v>
      </c>
      <c r="S33" s="179" t="str">
        <f t="shared" si="26"/>
        <v>--</v>
      </c>
      <c r="T33" s="180" t="str">
        <f t="shared" si="27"/>
        <v>--</v>
      </c>
      <c r="U33" s="181" t="str">
        <f t="shared" si="28"/>
        <v>--</v>
      </c>
      <c r="V33" s="182" t="str">
        <f t="shared" si="29"/>
        <v>--</v>
      </c>
      <c r="W33" s="183" t="str">
        <f t="shared" si="30"/>
        <v>--</v>
      </c>
      <c r="X33" s="184" t="str">
        <f t="shared" si="31"/>
        <v>--</v>
      </c>
      <c r="Y33" s="185" t="str">
        <f t="shared" si="32"/>
        <v>SI</v>
      </c>
      <c r="Z33" s="186">
        <f t="shared" si="33"/>
        <v>1869.3208576000002</v>
      </c>
      <c r="AA33" s="186">
        <v>1450.085624</v>
      </c>
      <c r="AB33" s="186">
        <f t="shared" si="35"/>
        <v>419.23523360000013</v>
      </c>
      <c r="AC33" s="187"/>
    </row>
    <row r="34" spans="2:29" ht="16.5" customHeight="1">
      <c r="B34" s="130"/>
      <c r="C34" s="154">
        <v>5</v>
      </c>
      <c r="D34" s="188" t="s">
        <v>5</v>
      </c>
      <c r="E34" s="167">
        <v>132</v>
      </c>
      <c r="F34" s="168">
        <v>16.8</v>
      </c>
      <c r="G34" s="169">
        <f t="shared" si="34"/>
        <v>9.965894400000002</v>
      </c>
      <c r="H34" s="170">
        <v>36088.38263888889</v>
      </c>
      <c r="I34" s="170">
        <v>36088.55069444444</v>
      </c>
      <c r="J34" s="171">
        <f t="shared" si="18"/>
        <v>4.033333333209157</v>
      </c>
      <c r="K34" s="172">
        <f t="shared" si="19"/>
        <v>242</v>
      </c>
      <c r="L34" s="173" t="s">
        <v>121</v>
      </c>
      <c r="M34" s="173" t="str">
        <f t="shared" si="20"/>
        <v>--</v>
      </c>
      <c r="N34" s="174" t="str">
        <f t="shared" si="21"/>
        <v>--</v>
      </c>
      <c r="O34" s="175">
        <f t="shared" si="22"/>
        <v>12.048766329600003</v>
      </c>
      <c r="P34" s="176" t="str">
        <f t="shared" si="23"/>
        <v>--</v>
      </c>
      <c r="Q34" s="177" t="str">
        <f t="shared" si="24"/>
        <v>--</v>
      </c>
      <c r="R34" s="178" t="str">
        <f t="shared" si="25"/>
        <v>--</v>
      </c>
      <c r="S34" s="179" t="str">
        <f t="shared" si="26"/>
        <v>--</v>
      </c>
      <c r="T34" s="180" t="str">
        <f t="shared" si="27"/>
        <v>--</v>
      </c>
      <c r="U34" s="181" t="str">
        <f t="shared" si="28"/>
        <v>--</v>
      </c>
      <c r="V34" s="182" t="str">
        <f t="shared" si="29"/>
        <v>--</v>
      </c>
      <c r="W34" s="183" t="str">
        <f t="shared" si="30"/>
        <v>--</v>
      </c>
      <c r="X34" s="184" t="str">
        <f t="shared" si="31"/>
        <v>--</v>
      </c>
      <c r="Y34" s="185" t="str">
        <f t="shared" si="32"/>
        <v>SI</v>
      </c>
      <c r="Z34" s="186">
        <f t="shared" si="33"/>
        <v>12.048766329600003</v>
      </c>
      <c r="AA34" s="186">
        <v>9.346604904000001</v>
      </c>
      <c r="AB34" s="186">
        <f t="shared" si="35"/>
        <v>2.7021614256000017</v>
      </c>
      <c r="AC34" s="187"/>
    </row>
    <row r="35" spans="2:29" ht="16.5" customHeight="1">
      <c r="B35" s="130"/>
      <c r="C35" s="154">
        <v>6</v>
      </c>
      <c r="D35" s="188" t="s">
        <v>133</v>
      </c>
      <c r="E35" s="167">
        <v>132</v>
      </c>
      <c r="F35" s="168">
        <v>10</v>
      </c>
      <c r="G35" s="169">
        <f t="shared" si="34"/>
        <v>5.932080000000001</v>
      </c>
      <c r="H35" s="170">
        <v>36090.42847222222</v>
      </c>
      <c r="I35" s="170">
        <v>36090.54375</v>
      </c>
      <c r="J35" s="171">
        <f>IF(H35="","",(I35-H35)*24)</f>
        <v>2.7666666666045785</v>
      </c>
      <c r="K35" s="172">
        <f>IF(I35="","",ROUND((I35-H35)*24*60,0))</f>
        <v>166</v>
      </c>
      <c r="L35" s="173" t="s">
        <v>121</v>
      </c>
      <c r="M35" s="173" t="str">
        <f>IF(D35="","","--")</f>
        <v>--</v>
      </c>
      <c r="N35" s="174" t="str">
        <f>IF(D35="","",IF(OR(L35="P",L35="RP"),"--","NO"))</f>
        <v>--</v>
      </c>
      <c r="O35" s="175">
        <f>IF(L35="P",ROUND(K35/60,2)*G35*$J$14*0.01,"--")</f>
        <v>4.929558480000001</v>
      </c>
      <c r="P35" s="176" t="str">
        <f>IF(L35="RP",ROUND(K35/60,2)*G35*$J$14*0.01*M35/100,"--")</f>
        <v>--</v>
      </c>
      <c r="Q35" s="177" t="str">
        <f>IF(N35="SI","--",IF(L35="F",ROUND(G35*$J$14,2),"--"))</f>
        <v>--</v>
      </c>
      <c r="R35" s="178" t="str">
        <f>IF(L35="F",IF(K35&lt;10,"--",IF(K35&gt;180,ROUND(G35*$J$14*3,2),G35*$J$14*ROUND(K35/60,2))),"--")</f>
        <v>--</v>
      </c>
      <c r="S35" s="179" t="str">
        <f>IF(AND(L35="F",K35&gt;180),G35*$J$14*0.1*(ROUND(K35/60,2)-3),"--")</f>
        <v>--</v>
      </c>
      <c r="T35" s="180" t="str">
        <f>IF(N35="SI","--",IF(L35="R",ROUND(G35*$J$14*M35/100,2),"--"))</f>
        <v>--</v>
      </c>
      <c r="U35" s="181" t="str">
        <f>IF(L35="R",IF(K35&lt;10,"--",IF(K35&gt;180,ROUND(G35*$J$14*3*M35/100,2),G35*$J$14*M35/100*ROUND(K35/60,2))),"--")</f>
        <v>--</v>
      </c>
      <c r="V35" s="182" t="str">
        <f>IF(AND(L35="R",K35&gt;180),G35*$J$14*M35/100*0.1*(ROUND(K35/60,2)-3),"--")</f>
        <v>--</v>
      </c>
      <c r="W35" s="183" t="str">
        <f>IF(L35="RF",G35*$J$14*0.1*ROUND(K35/60,2),"--")</f>
        <v>--</v>
      </c>
      <c r="X35" s="184" t="str">
        <f>IF(L35="RR",G35*$J$14*0.1*M35/100*ROUND(K35/60,2),"--")</f>
        <v>--</v>
      </c>
      <c r="Y35" s="185" t="str">
        <f>IF(D35="","","SI")</f>
        <v>SI</v>
      </c>
      <c r="Z35" s="186">
        <f>IF(D35="","",IF(Y35="SI",SUM(O35:X35),2*SUM(O35:X35)))</f>
        <v>4.929558480000001</v>
      </c>
      <c r="AA35" s="186">
        <v>3.8240127000000004</v>
      </c>
      <c r="AB35" s="186">
        <f t="shared" si="35"/>
        <v>1.1055457800000004</v>
      </c>
      <c r="AC35" s="187"/>
    </row>
    <row r="36" spans="2:29" ht="16.5" customHeight="1">
      <c r="B36" s="130"/>
      <c r="C36" s="154">
        <v>7</v>
      </c>
      <c r="D36" s="188" t="s">
        <v>7</v>
      </c>
      <c r="E36" s="167">
        <v>132</v>
      </c>
      <c r="F36" s="168">
        <v>30</v>
      </c>
      <c r="G36" s="169">
        <f t="shared" si="34"/>
        <v>17.79624</v>
      </c>
      <c r="H36" s="170">
        <v>36093.33472222222</v>
      </c>
      <c r="I36" s="170">
        <v>36093.44027777778</v>
      </c>
      <c r="J36" s="171">
        <f>IF(H36="","",(I36-H36)*24)</f>
        <v>2.53333333338378</v>
      </c>
      <c r="K36" s="172">
        <f>IF(I36="","",ROUND((I36-H36)*24*60,0))</f>
        <v>152</v>
      </c>
      <c r="L36" s="173" t="s">
        <v>121</v>
      </c>
      <c r="M36" s="173" t="str">
        <f>IF(D36="","","--")</f>
        <v>--</v>
      </c>
      <c r="N36" s="174" t="str">
        <f>IF(D36="","",IF(OR(L36="P",L36="RP"),"--","NO"))</f>
        <v>--</v>
      </c>
      <c r="O36" s="175">
        <f>IF(L36="P",ROUND(K36/60,2)*G36*$J$14*0.01,"--")</f>
        <v>13.507346159999999</v>
      </c>
      <c r="P36" s="176" t="str">
        <f>IF(L36="RP",ROUND(K36/60,2)*G36*$J$14*0.01*M36/100,"--")</f>
        <v>--</v>
      </c>
      <c r="Q36" s="177" t="str">
        <f>IF(N36="SI","--",IF(L36="F",ROUND(G36*$J$14,2),"--"))</f>
        <v>--</v>
      </c>
      <c r="R36" s="178" t="str">
        <f>IF(L36="F",IF(K36&lt;10,"--",IF(K36&gt;180,ROUND(G36*$J$14*3,2),G36*$J$14*ROUND(K36/60,2))),"--")</f>
        <v>--</v>
      </c>
      <c r="S36" s="179" t="str">
        <f>IF(AND(L36="F",K36&gt;180),G36*$J$14*0.1*(ROUND(K36/60,2)-3),"--")</f>
        <v>--</v>
      </c>
      <c r="T36" s="180" t="str">
        <f>IF(N36="SI","--",IF(L36="R",ROUND(G36*$J$14*M36/100,2),"--"))</f>
        <v>--</v>
      </c>
      <c r="U36" s="181" t="str">
        <f>IF(L36="R",IF(K36&lt;10,"--",IF(K36&gt;180,ROUND(G36*$J$14*3*M36/100,2),G36*$J$14*M36/100*ROUND(K36/60,2))),"--")</f>
        <v>--</v>
      </c>
      <c r="V36" s="182" t="str">
        <f>IF(AND(L36="R",K36&gt;180),G36*$J$14*M36/100*0.1*(ROUND(K36/60,2)-3),"--")</f>
        <v>--</v>
      </c>
      <c r="W36" s="183" t="str">
        <f>IF(L36="RF",G36*$J$14*0.1*ROUND(K36/60,2),"--")</f>
        <v>--</v>
      </c>
      <c r="X36" s="184" t="str">
        <f>IF(L36="RR",G36*$J$14*0.1*M36/100*ROUND(K36/60,2),"--")</f>
        <v>--</v>
      </c>
      <c r="Y36" s="185" t="str">
        <f>IF(D36="","","SI")</f>
        <v>SI</v>
      </c>
      <c r="Z36" s="186">
        <f>IF(D36="","",IF(Y36="SI",SUM(O36:X36),2*SUM(O36:X36)))</f>
        <v>13.507346159999999</v>
      </c>
      <c r="AA36" s="186">
        <v>10.478070899999999</v>
      </c>
      <c r="AB36" s="186">
        <f t="shared" si="35"/>
        <v>3.0292752600000004</v>
      </c>
      <c r="AC36" s="187"/>
    </row>
    <row r="37" spans="2:29" ht="16.5" customHeight="1">
      <c r="B37" s="130"/>
      <c r="C37" s="154">
        <v>8</v>
      </c>
      <c r="D37" s="188" t="s">
        <v>150</v>
      </c>
      <c r="E37" s="167">
        <v>132</v>
      </c>
      <c r="F37" s="168">
        <v>1.6</v>
      </c>
      <c r="G37" s="169">
        <f t="shared" si="34"/>
        <v>0.9491328000000001</v>
      </c>
      <c r="H37" s="170">
        <v>36093.35763888889</v>
      </c>
      <c r="I37" s="170">
        <v>36093.64444444444</v>
      </c>
      <c r="J37" s="171">
        <f>IF(H37="","",(I37-H37)*24)</f>
        <v>6.883333333244082</v>
      </c>
      <c r="K37" s="172">
        <f>IF(I37="","",ROUND((I37-H37)*24*60,0))</f>
        <v>413</v>
      </c>
      <c r="L37" s="173" t="s">
        <v>121</v>
      </c>
      <c r="M37" s="173" t="str">
        <f>IF(D37="","","--")</f>
        <v>--</v>
      </c>
      <c r="N37" s="174" t="str">
        <f>IF(D37="","",IF(OR(L37="P",L37="RP"),"--","NO"))</f>
        <v>--</v>
      </c>
      <c r="O37" s="175">
        <f>IF(L37="P",ROUND(K37/60,2)*G37*$J$14*0.01,"--")</f>
        <v>1.9590100992000001</v>
      </c>
      <c r="P37" s="176" t="str">
        <f>IF(L37="RP",ROUND(K37/60,2)*G37*$J$14*0.01*M37/100,"--")</f>
        <v>--</v>
      </c>
      <c r="Q37" s="177" t="str">
        <f>IF(N37="SI","--",IF(L37="F",ROUND(G37*$J$14,2),"--"))</f>
        <v>--</v>
      </c>
      <c r="R37" s="178" t="str">
        <f>IF(L37="F",IF(K37&lt;10,"--",IF(K37&gt;180,ROUND(G37*$J$14*3,2),G37*$J$14*ROUND(K37/60,2))),"--")</f>
        <v>--</v>
      </c>
      <c r="S37" s="179" t="str">
        <f>IF(AND(L37="F",K37&gt;180),G37*$J$14*0.1*(ROUND(K37/60,2)-3),"--")</f>
        <v>--</v>
      </c>
      <c r="T37" s="180" t="str">
        <f>IF(N37="SI","--",IF(L37="R",ROUND(G37*$J$14*M37/100,2),"--"))</f>
        <v>--</v>
      </c>
      <c r="U37" s="181" t="str">
        <f>IF(L37="R",IF(K37&lt;10,"--",IF(K37&gt;180,ROUND(G37*$J$14*3*M37/100,2),G37*$J$14*M37/100*ROUND(K37/60,2))),"--")</f>
        <v>--</v>
      </c>
      <c r="V37" s="182" t="str">
        <f>IF(AND(L37="R",K37&gt;180),G37*$J$14*M37/100*0.1*(ROUND(K37/60,2)-3),"--")</f>
        <v>--</v>
      </c>
      <c r="W37" s="183" t="str">
        <f>IF(L37="RF",G37*$J$14*0.1*ROUND(K37/60,2),"--")</f>
        <v>--</v>
      </c>
      <c r="X37" s="184" t="str">
        <f>IF(L37="RR",G37*$J$14*0.1*M37/100*ROUND(K37/60,2),"--")</f>
        <v>--</v>
      </c>
      <c r="Y37" s="185" t="str">
        <f>IF(D37="","","SI")</f>
        <v>SI</v>
      </c>
      <c r="Z37" s="186">
        <f>IF(D37="","",IF(Y37="SI",SUM(O37:X37),2*SUM(O37:X37)))</f>
        <v>1.9590100992000001</v>
      </c>
      <c r="AA37" s="186">
        <v>1.5196654080000003</v>
      </c>
      <c r="AB37" s="186">
        <f t="shared" si="35"/>
        <v>0.43934469119999986</v>
      </c>
      <c r="AC37" s="187"/>
    </row>
    <row r="38" spans="2:29" ht="16.5" customHeight="1">
      <c r="B38" s="130"/>
      <c r="C38" s="154">
        <v>9</v>
      </c>
      <c r="D38" s="188" t="s">
        <v>178</v>
      </c>
      <c r="E38" s="167">
        <v>132</v>
      </c>
      <c r="F38" s="168">
        <v>170</v>
      </c>
      <c r="G38" s="169">
        <f t="shared" si="34"/>
        <v>100.84535999999999</v>
      </c>
      <c r="H38" s="170">
        <v>36097.375</v>
      </c>
      <c r="I38" s="170">
        <v>36097.549305555556</v>
      </c>
      <c r="J38" s="171">
        <f>IF(H38="","",(I38-H38)*24)</f>
        <v>4.183333333348855</v>
      </c>
      <c r="K38" s="172">
        <f>IF(I38="","",ROUND((I38-H38)*24*60,0))</f>
        <v>251</v>
      </c>
      <c r="L38" s="173" t="s">
        <v>121</v>
      </c>
      <c r="M38" s="173" t="str">
        <f>IF(D38="","","--")</f>
        <v>--</v>
      </c>
      <c r="N38" s="174" t="str">
        <f>IF(D38="","",IF(OR(L38="P",L38="RP"),"--","NO"))</f>
        <v>--</v>
      </c>
      <c r="O38" s="175">
        <f>IF(L38="P",ROUND(K38/60,2)*G38*$J$14*0.01,"--")</f>
        <v>126.46008143999998</v>
      </c>
      <c r="P38" s="176" t="str">
        <f>IF(L38="RP",ROUND(K38/60,2)*G38*$J$14*0.01*M38/100,"--")</f>
        <v>--</v>
      </c>
      <c r="Q38" s="177" t="str">
        <f>IF(N38="SI","--",IF(L38="F",ROUND(G38*$J$14,2),"--"))</f>
        <v>--</v>
      </c>
      <c r="R38" s="178" t="str">
        <f>IF(L38="F",IF(K38&lt;10,"--",IF(K38&gt;180,ROUND(G38*$J$14*3,2),G38*$J$14*ROUND(K38/60,2))),"--")</f>
        <v>--</v>
      </c>
      <c r="S38" s="179" t="str">
        <f>IF(AND(L38="F",K38&gt;180),G38*$J$14*0.1*(ROUND(K38/60,2)-3),"--")</f>
        <v>--</v>
      </c>
      <c r="T38" s="180" t="str">
        <f>IF(N38="SI","--",IF(L38="R",ROUND(G38*$J$14*M38/100,2),"--"))</f>
        <v>--</v>
      </c>
      <c r="U38" s="181" t="str">
        <f>IF(L38="R",IF(K38&lt;10,"--",IF(K38&gt;180,ROUND(G38*$J$14*3*M38/100,2),G38*$J$14*M38/100*ROUND(K38/60,2))),"--")</f>
        <v>--</v>
      </c>
      <c r="V38" s="182" t="str">
        <f>IF(AND(L38="R",K38&gt;180),G38*$J$14*M38/100*0.1*(ROUND(K38/60,2)-3),"--")</f>
        <v>--</v>
      </c>
      <c r="W38" s="183" t="str">
        <f>IF(L38="RF",G38*$J$14*0.1*ROUND(K38/60,2),"--")</f>
        <v>--</v>
      </c>
      <c r="X38" s="184" t="str">
        <f>IF(L38="RR",G38*$J$14*0.1*M38/100*ROUND(K38/60,2),"--")</f>
        <v>--</v>
      </c>
      <c r="Y38" s="185" t="str">
        <f>IF(D38="","","SI")</f>
        <v>SI</v>
      </c>
      <c r="Z38" s="186">
        <f>IF(D38="","",IF(Y38="SI",SUM(O38:X38),2*SUM(O38:X38)))</f>
        <v>126.46008143999998</v>
      </c>
      <c r="AA38" s="186">
        <v>98.09904060000001</v>
      </c>
      <c r="AB38" s="186">
        <f t="shared" si="35"/>
        <v>28.361040839999973</v>
      </c>
      <c r="AC38" s="187"/>
    </row>
    <row r="39" spans="2:29" ht="16.5" customHeight="1">
      <c r="B39" s="130"/>
      <c r="C39" s="154"/>
      <c r="D39" s="188"/>
      <c r="E39" s="167"/>
      <c r="F39" s="168"/>
      <c r="G39" s="169">
        <f t="shared" si="34"/>
        <v>0</v>
      </c>
      <c r="H39" s="170"/>
      <c r="I39" s="170"/>
      <c r="J39" s="171">
        <f t="shared" si="18"/>
      </c>
      <c r="K39" s="172">
        <f t="shared" si="19"/>
      </c>
      <c r="L39" s="173"/>
      <c r="M39" s="173">
        <f t="shared" si="20"/>
      </c>
      <c r="N39" s="174">
        <f t="shared" si="21"/>
      </c>
      <c r="O39" s="175" t="str">
        <f t="shared" si="22"/>
        <v>--</v>
      </c>
      <c r="P39" s="176" t="str">
        <f t="shared" si="23"/>
        <v>--</v>
      </c>
      <c r="Q39" s="177" t="str">
        <f t="shared" si="24"/>
        <v>--</v>
      </c>
      <c r="R39" s="178" t="str">
        <f t="shared" si="25"/>
        <v>--</v>
      </c>
      <c r="S39" s="179" t="str">
        <f t="shared" si="26"/>
        <v>--</v>
      </c>
      <c r="T39" s="180" t="str">
        <f t="shared" si="27"/>
        <v>--</v>
      </c>
      <c r="U39" s="181" t="str">
        <f t="shared" si="28"/>
        <v>--</v>
      </c>
      <c r="V39" s="182" t="str">
        <f t="shared" si="29"/>
        <v>--</v>
      </c>
      <c r="W39" s="183" t="str">
        <f t="shared" si="30"/>
        <v>--</v>
      </c>
      <c r="X39" s="184" t="str">
        <f t="shared" si="31"/>
        <v>--</v>
      </c>
      <c r="Y39" s="185">
        <f t="shared" si="32"/>
      </c>
      <c r="Z39" s="186">
        <f t="shared" si="33"/>
      </c>
      <c r="AA39" s="186"/>
      <c r="AB39" s="186"/>
      <c r="AC39" s="187"/>
    </row>
    <row r="40" spans="2:29" ht="16.5" customHeight="1">
      <c r="B40" s="130"/>
      <c r="C40" s="154"/>
      <c r="D40" s="188"/>
      <c r="E40" s="167"/>
      <c r="F40" s="168"/>
      <c r="G40" s="169">
        <f t="shared" si="34"/>
        <v>0</v>
      </c>
      <c r="H40" s="170"/>
      <c r="I40" s="170"/>
      <c r="J40" s="171">
        <f t="shared" si="18"/>
      </c>
      <c r="K40" s="172">
        <f t="shared" si="19"/>
      </c>
      <c r="L40" s="173"/>
      <c r="M40" s="173">
        <f t="shared" si="20"/>
      </c>
      <c r="N40" s="174">
        <f t="shared" si="21"/>
      </c>
      <c r="O40" s="175" t="str">
        <f t="shared" si="22"/>
        <v>--</v>
      </c>
      <c r="P40" s="176" t="str">
        <f t="shared" si="23"/>
        <v>--</v>
      </c>
      <c r="Q40" s="177" t="str">
        <f t="shared" si="24"/>
        <v>--</v>
      </c>
      <c r="R40" s="178" t="str">
        <f t="shared" si="25"/>
        <v>--</v>
      </c>
      <c r="S40" s="179" t="str">
        <f t="shared" si="26"/>
        <v>--</v>
      </c>
      <c r="T40" s="180" t="str">
        <f t="shared" si="27"/>
        <v>--</v>
      </c>
      <c r="U40" s="181" t="str">
        <f t="shared" si="28"/>
        <v>--</v>
      </c>
      <c r="V40" s="182" t="str">
        <f t="shared" si="29"/>
        <v>--</v>
      </c>
      <c r="W40" s="183" t="str">
        <f t="shared" si="30"/>
        <v>--</v>
      </c>
      <c r="X40" s="184" t="str">
        <f t="shared" si="31"/>
        <v>--</v>
      </c>
      <c r="Y40" s="185">
        <f t="shared" si="32"/>
      </c>
      <c r="Z40" s="186">
        <f t="shared" si="33"/>
      </c>
      <c r="AA40" s="186"/>
      <c r="AB40" s="186"/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472"/>
      <c r="AA41" s="472"/>
      <c r="AB41" s="472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34950.25</v>
      </c>
      <c r="AA42" s="442">
        <f>ROUND(SUM(AA18:AA41),2)</f>
        <v>27111.98</v>
      </c>
      <c r="AB42" s="442">
        <f>ROUND(SUM(AB18:AB41),2)</f>
        <v>7838.27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29:AB29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AC58"/>
  <sheetViews>
    <sheetView zoomScale="75" zoomScaleNormal="75" workbookViewId="0" topLeftCell="C11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240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59.993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216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(3)'!Z42</f>
        <v>34950.25</v>
      </c>
      <c r="AA18" s="148">
        <f>+'LI (3)'!AA42</f>
        <v>27111.98</v>
      </c>
      <c r="AB18" s="148">
        <f>+'LI (3)'!AB42</f>
        <v>7838.27</v>
      </c>
      <c r="AC18" s="88"/>
    </row>
    <row r="19" spans="2:29" s="149" customFormat="1" ht="16.5" customHeight="1" thickBot="1">
      <c r="B19" s="130"/>
      <c r="C19" s="518"/>
      <c r="D19" s="519"/>
      <c r="E19" s="518"/>
      <c r="F19" s="518"/>
      <c r="G19" s="520"/>
      <c r="H19" s="518"/>
      <c r="I19" s="521"/>
      <c r="J19" s="188"/>
      <c r="K19" s="521"/>
      <c r="L19" s="518"/>
      <c r="M19" s="519"/>
      <c r="N19" s="188"/>
      <c r="O19" s="522"/>
      <c r="P19" s="523"/>
      <c r="Q19" s="524"/>
      <c r="R19" s="525"/>
      <c r="S19" s="526"/>
      <c r="T19" s="527"/>
      <c r="U19" s="528"/>
      <c r="V19" s="529"/>
      <c r="W19" s="530"/>
      <c r="X19" s="531"/>
      <c r="Y19" s="188"/>
      <c r="Z19" s="532"/>
      <c r="AA19" s="532"/>
      <c r="AB19" s="532"/>
      <c r="AC19" s="166"/>
    </row>
    <row r="20" spans="2:29" ht="16.5" customHeight="1" thickBot="1" thickTop="1">
      <c r="B20" s="130"/>
      <c r="C20" s="605" t="s">
        <v>225</v>
      </c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7"/>
      <c r="AC20" s="187"/>
    </row>
    <row r="21" spans="2:29" ht="16.5" customHeight="1" thickTop="1">
      <c r="B21" s="130"/>
      <c r="C21" s="534">
        <v>1</v>
      </c>
      <c r="D21" s="534" t="s">
        <v>6</v>
      </c>
      <c r="E21" s="535">
        <v>132</v>
      </c>
      <c r="F21" s="536">
        <v>40.6</v>
      </c>
      <c r="G21" s="537">
        <f>F21*$E$14/100*$E$15</f>
        <v>24.113586419999997</v>
      </c>
      <c r="H21" s="538">
        <v>36102.40972222222</v>
      </c>
      <c r="I21" s="538">
        <v>36102.53888888889</v>
      </c>
      <c r="J21" s="539">
        <f aca="true" t="shared" si="0" ref="J21:J40">IF(H21="","",(I21-H21)*24)</f>
        <v>3.10000000015134</v>
      </c>
      <c r="K21" s="540">
        <f aca="true" t="shared" si="1" ref="K21:K40">IF(I21="","",ROUND((I21-H21)*24*60,0))</f>
        <v>186</v>
      </c>
      <c r="L21" s="541" t="s">
        <v>121</v>
      </c>
      <c r="M21" s="541" t="str">
        <f aca="true" t="shared" si="2" ref="M21:M40">IF(D21="","","--")</f>
        <v>--</v>
      </c>
      <c r="N21" s="542" t="str">
        <f aca="true" t="shared" si="3" ref="N21:N40">IF(D21="","",IF(OR(L21="P",L21="RP"),"--","NO"))</f>
        <v>--</v>
      </c>
      <c r="O21" s="543">
        <f aca="true" t="shared" si="4" ref="O21:O40">IF(L21="P",ROUND(K21/60,2)*G21*$J$14*0.01,"--")</f>
        <v>22.4256353706</v>
      </c>
      <c r="P21" s="544" t="str">
        <f aca="true" t="shared" si="5" ref="P21:P40">IF(L21="RP",ROUND(K21/60,2)*G21*$J$14*0.01*M21/100,"--")</f>
        <v>--</v>
      </c>
      <c r="Q21" s="545" t="str">
        <f aca="true" t="shared" si="6" ref="Q21:Q40">IF(N21="SI","--",IF(L21="F",ROUND(G21*$J$14,2),"--"))</f>
        <v>--</v>
      </c>
      <c r="R21" s="546" t="str">
        <f aca="true" t="shared" si="7" ref="R21:R40">IF(L21="F",IF(K21&lt;10,"--",IF(K21&gt;180,ROUND(G21*$J$14*3,2),G21*$J$14*ROUND(K21/60,2))),"--")</f>
        <v>--</v>
      </c>
      <c r="S21" s="547" t="str">
        <f aca="true" t="shared" si="8" ref="S21:S40">IF(AND(L21="F",K21&gt;180),G21*$J$14*0.1*(ROUND(K21/60,2)-3),"--")</f>
        <v>--</v>
      </c>
      <c r="T21" s="548" t="str">
        <f aca="true" t="shared" si="9" ref="T21:T40">IF(N21="SI","--",IF(L21="R",ROUND(G21*$J$14*M21/100,2),"--"))</f>
        <v>--</v>
      </c>
      <c r="U21" s="549" t="str">
        <f aca="true" t="shared" si="10" ref="U21:U40">IF(L21="R",IF(K21&lt;10,"--",IF(K21&gt;180,ROUND(G21*$J$14*3*M21/100,2),G21*$J$14*M21/100*ROUND(K21/60,2))),"--")</f>
        <v>--</v>
      </c>
      <c r="V21" s="550" t="str">
        <f aca="true" t="shared" si="11" ref="V21:V40">IF(AND(L21="R",K21&gt;180),G21*$J$14*M21/100*0.1*(ROUND(K21/60,2)-3),"--")</f>
        <v>--</v>
      </c>
      <c r="W21" s="551" t="str">
        <f aca="true" t="shared" si="12" ref="W21:W40">IF(L21="RF",G21*$J$14*0.1*ROUND(K21/60,2),"--")</f>
        <v>--</v>
      </c>
      <c r="X21" s="552" t="str">
        <f aca="true" t="shared" si="13" ref="X21:X40">IF(L21="RR",G21*$J$14*0.1*M21/100*ROUND(K21/60,2),"--")</f>
        <v>--</v>
      </c>
      <c r="Y21" s="553" t="str">
        <f aca="true" t="shared" si="14" ref="Y21:Y40">IF(D21="","","SI")</f>
        <v>SI</v>
      </c>
      <c r="Z21" s="554">
        <f aca="true" t="shared" si="15" ref="Z21:Z40">IF(D21="","",IF(Y21="SI",SUM(O21:X21),2*SUM(O21:X21)))</f>
        <v>22.4256353706</v>
      </c>
      <c r="AA21" s="554">
        <v>17.50611912</v>
      </c>
      <c r="AB21" s="554">
        <f>+Z21-AA21</f>
        <v>4.919516250599997</v>
      </c>
      <c r="AC21" s="187"/>
    </row>
    <row r="22" spans="2:29" ht="16.5" customHeight="1">
      <c r="B22" s="130"/>
      <c r="C22" s="154">
        <v>2</v>
      </c>
      <c r="D22" s="154" t="s">
        <v>3</v>
      </c>
      <c r="E22" s="167">
        <v>132</v>
      </c>
      <c r="F22" s="168">
        <v>16.6</v>
      </c>
      <c r="G22" s="537">
        <f aca="true" t="shared" si="16" ref="G22:G33">F22*$E$14/100*$E$15</f>
        <v>9.85924962</v>
      </c>
      <c r="H22" s="170">
        <v>36103.509722222225</v>
      </c>
      <c r="I22" s="170">
        <v>36103.60763888889</v>
      </c>
      <c r="J22" s="171">
        <f t="shared" si="0"/>
        <v>2.349999999976717</v>
      </c>
      <c r="K22" s="172">
        <f t="shared" si="1"/>
        <v>141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6.950770982100001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6.950770982100001</v>
      </c>
      <c r="AA22" s="186">
        <v>5.42597892</v>
      </c>
      <c r="AB22" s="186">
        <f aca="true" t="shared" si="17" ref="AB22:AB32">+Z22-AA22</f>
        <v>1.5247920621000004</v>
      </c>
      <c r="AC22" s="187"/>
    </row>
    <row r="23" spans="2:29" ht="16.5" customHeight="1">
      <c r="B23" s="130"/>
      <c r="C23" s="154">
        <v>3</v>
      </c>
      <c r="D23" s="154" t="s">
        <v>4</v>
      </c>
      <c r="E23" s="167">
        <v>132</v>
      </c>
      <c r="F23" s="168">
        <v>3.5</v>
      </c>
      <c r="G23" s="537">
        <f t="shared" si="16"/>
        <v>2.07875745</v>
      </c>
      <c r="H23" s="170">
        <v>36109.4</v>
      </c>
      <c r="I23" s="170">
        <v>36109.60833333333</v>
      </c>
      <c r="J23" s="171">
        <f t="shared" si="0"/>
        <v>4.999999999883585</v>
      </c>
      <c r="K23" s="172">
        <f t="shared" si="1"/>
        <v>300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3.1181361749999996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3.1181361749999996</v>
      </c>
      <c r="AA23" s="186">
        <v>2.43411</v>
      </c>
      <c r="AB23" s="186">
        <f t="shared" si="17"/>
        <v>0.6840261749999996</v>
      </c>
      <c r="AC23" s="187"/>
    </row>
    <row r="24" spans="2:29" ht="16.5" customHeight="1">
      <c r="B24" s="130"/>
      <c r="C24" s="154">
        <v>4</v>
      </c>
      <c r="D24" s="154" t="s">
        <v>8</v>
      </c>
      <c r="E24" s="167">
        <v>132</v>
      </c>
      <c r="F24" s="168">
        <v>75.1</v>
      </c>
      <c r="G24" s="537">
        <f t="shared" si="16"/>
        <v>44.60419557</v>
      </c>
      <c r="H24" s="170">
        <v>36110.26111111111</v>
      </c>
      <c r="I24" s="170">
        <v>36110.26527777778</v>
      </c>
      <c r="J24" s="171">
        <f t="shared" si="0"/>
        <v>0.09999999997671694</v>
      </c>
      <c r="K24" s="172">
        <f t="shared" si="1"/>
        <v>6</v>
      </c>
      <c r="L24" s="173" t="s">
        <v>122</v>
      </c>
      <c r="M24" s="173" t="str">
        <f t="shared" si="2"/>
        <v>--</v>
      </c>
      <c r="N24" s="174" t="str">
        <f t="shared" si="3"/>
        <v>NO</v>
      </c>
      <c r="O24" s="175" t="str">
        <f t="shared" si="4"/>
        <v>--</v>
      </c>
      <c r="P24" s="176" t="str">
        <f t="shared" si="5"/>
        <v>--</v>
      </c>
      <c r="Q24" s="177">
        <f t="shared" si="6"/>
        <v>1338.13</v>
      </c>
      <c r="R24" s="178" t="str">
        <f t="shared" si="7"/>
        <v>--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1338.13</v>
      </c>
      <c r="AA24" s="186">
        <v>1044.58</v>
      </c>
      <c r="AB24" s="186">
        <f t="shared" si="17"/>
        <v>293.5500000000002</v>
      </c>
      <c r="AC24" s="187"/>
    </row>
    <row r="25" spans="2:29" ht="16.5" customHeight="1">
      <c r="B25" s="130"/>
      <c r="C25" s="154">
        <v>5</v>
      </c>
      <c r="D25" s="154" t="s">
        <v>9</v>
      </c>
      <c r="E25" s="167">
        <v>132</v>
      </c>
      <c r="F25" s="168">
        <v>25.5</v>
      </c>
      <c r="G25" s="537">
        <f t="shared" si="16"/>
        <v>15.145232850000001</v>
      </c>
      <c r="H25" s="170">
        <v>36110.26111111111</v>
      </c>
      <c r="I25" s="170">
        <v>36110.26736111111</v>
      </c>
      <c r="J25" s="171">
        <f t="shared" si="0"/>
        <v>0.1499999999650754</v>
      </c>
      <c r="K25" s="172">
        <f t="shared" si="1"/>
        <v>9</v>
      </c>
      <c r="L25" s="173" t="s">
        <v>122</v>
      </c>
      <c r="M25" s="173" t="str">
        <f t="shared" si="2"/>
        <v>--</v>
      </c>
      <c r="N25" s="174" t="str">
        <f t="shared" si="3"/>
        <v>NO</v>
      </c>
      <c r="O25" s="175" t="str">
        <f t="shared" si="4"/>
        <v>--</v>
      </c>
      <c r="P25" s="176" t="str">
        <f t="shared" si="5"/>
        <v>--</v>
      </c>
      <c r="Q25" s="177">
        <f t="shared" si="6"/>
        <v>454.36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454.36</v>
      </c>
      <c r="AA25" s="186">
        <v>354.68</v>
      </c>
      <c r="AB25" s="186">
        <f t="shared" si="17"/>
        <v>99.68</v>
      </c>
      <c r="AC25" s="187"/>
    </row>
    <row r="26" spans="2:29" ht="16.5" customHeight="1">
      <c r="B26" s="130"/>
      <c r="C26" s="154">
        <v>7</v>
      </c>
      <c r="D26" s="154" t="s">
        <v>4</v>
      </c>
      <c r="E26" s="167">
        <v>132</v>
      </c>
      <c r="F26" s="168">
        <v>3.5</v>
      </c>
      <c r="G26" s="537">
        <f t="shared" si="16"/>
        <v>2.07875745</v>
      </c>
      <c r="H26" s="170">
        <v>36110.39097222222</v>
      </c>
      <c r="I26" s="170">
        <v>36110.615277777775</v>
      </c>
      <c r="J26" s="171">
        <f t="shared" si="0"/>
        <v>5.383333333244082</v>
      </c>
      <c r="K26" s="172">
        <f t="shared" si="1"/>
        <v>323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3.3551145243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3.3551145243</v>
      </c>
      <c r="AA26" s="186">
        <v>2.61910236</v>
      </c>
      <c r="AB26" s="186">
        <f t="shared" si="17"/>
        <v>0.7360121642999999</v>
      </c>
      <c r="AC26" s="187"/>
    </row>
    <row r="27" spans="2:29" ht="16.5" customHeight="1">
      <c r="B27" s="130"/>
      <c r="C27" s="154">
        <v>8</v>
      </c>
      <c r="D27" s="154" t="s">
        <v>5</v>
      </c>
      <c r="E27" s="167">
        <v>132</v>
      </c>
      <c r="F27" s="168">
        <v>16.8</v>
      </c>
      <c r="G27" s="537">
        <f t="shared" si="16"/>
        <v>9.978035760000001</v>
      </c>
      <c r="H27" s="170">
        <v>36111.38263888889</v>
      </c>
      <c r="I27" s="170">
        <v>36111.67291666667</v>
      </c>
      <c r="J27" s="171">
        <f t="shared" si="0"/>
        <v>6.966666666674428</v>
      </c>
      <c r="K27" s="172">
        <f t="shared" si="1"/>
        <v>418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20.864072774160004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20.864072774160004</v>
      </c>
      <c r="AA27" s="186">
        <v>16.287116832</v>
      </c>
      <c r="AB27" s="186">
        <f t="shared" si="17"/>
        <v>4.576955942160005</v>
      </c>
      <c r="AC27" s="187"/>
    </row>
    <row r="28" spans="2:29" ht="16.5" customHeight="1">
      <c r="B28" s="130"/>
      <c r="C28" s="154">
        <v>9</v>
      </c>
      <c r="D28" s="154" t="s">
        <v>10</v>
      </c>
      <c r="E28" s="167">
        <v>132</v>
      </c>
      <c r="F28" s="168">
        <v>44.7</v>
      </c>
      <c r="G28" s="537">
        <f t="shared" si="16"/>
        <v>26.54870229</v>
      </c>
      <c r="H28" s="170">
        <v>36112.279861111114</v>
      </c>
      <c r="I28" s="170">
        <v>36112.427777777775</v>
      </c>
      <c r="J28" s="171">
        <f t="shared" si="0"/>
        <v>3.549999999871943</v>
      </c>
      <c r="K28" s="172">
        <f t="shared" si="1"/>
        <v>213</v>
      </c>
      <c r="L28" s="173" t="s">
        <v>121</v>
      </c>
      <c r="M28" s="173" t="str">
        <f t="shared" si="2"/>
        <v>--</v>
      </c>
      <c r="N28" s="174" t="str">
        <f t="shared" si="3"/>
        <v>--</v>
      </c>
      <c r="O28" s="175">
        <f t="shared" si="4"/>
        <v>28.274367938850002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28.274367938850002</v>
      </c>
      <c r="AA28" s="186">
        <v>22.07181402</v>
      </c>
      <c r="AB28" s="186">
        <f t="shared" si="17"/>
        <v>6.2025539188500005</v>
      </c>
      <c r="AC28" s="187"/>
    </row>
    <row r="29" spans="2:29" ht="16.5" customHeight="1">
      <c r="B29" s="130"/>
      <c r="C29" s="154">
        <v>10</v>
      </c>
      <c r="D29" s="188" t="s">
        <v>11</v>
      </c>
      <c r="E29" s="167">
        <v>132</v>
      </c>
      <c r="F29" s="168">
        <v>80.8</v>
      </c>
      <c r="G29" s="537">
        <f t="shared" si="16"/>
        <v>47.98960056</v>
      </c>
      <c r="H29" s="170">
        <v>36117.45</v>
      </c>
      <c r="I29" s="170">
        <v>36117.509722222225</v>
      </c>
      <c r="J29" s="171">
        <f t="shared" si="0"/>
        <v>1.4333333334652707</v>
      </c>
      <c r="K29" s="172">
        <f t="shared" si="1"/>
        <v>86</v>
      </c>
      <c r="L29" s="173" t="s">
        <v>121</v>
      </c>
      <c r="M29" s="173" t="str">
        <f t="shared" si="2"/>
        <v>--</v>
      </c>
      <c r="N29" s="174" t="str">
        <f t="shared" si="3"/>
        <v>--</v>
      </c>
      <c r="O29" s="175">
        <f t="shared" si="4"/>
        <v>20.587538640240002</v>
      </c>
      <c r="P29" s="176" t="str">
        <f t="shared" si="5"/>
        <v>--</v>
      </c>
      <c r="Q29" s="177" t="str">
        <f t="shared" si="6"/>
        <v>--</v>
      </c>
      <c r="R29" s="178" t="str">
        <f t="shared" si="7"/>
        <v>--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20.587538640240002</v>
      </c>
      <c r="AA29" s="186">
        <v>16.071246048</v>
      </c>
      <c r="AB29" s="186">
        <f t="shared" si="17"/>
        <v>4.516292592240003</v>
      </c>
      <c r="AC29" s="187"/>
    </row>
    <row r="30" spans="2:29" ht="16.5" customHeight="1">
      <c r="B30" s="130"/>
      <c r="C30" s="154">
        <v>11</v>
      </c>
      <c r="D30" s="188" t="s">
        <v>5</v>
      </c>
      <c r="E30" s="167">
        <v>132</v>
      </c>
      <c r="F30" s="168">
        <v>16.8</v>
      </c>
      <c r="G30" s="537">
        <f t="shared" si="16"/>
        <v>9.978035760000001</v>
      </c>
      <c r="H30" s="170">
        <v>36118.37847222222</v>
      </c>
      <c r="I30" s="170">
        <v>36118.67152777778</v>
      </c>
      <c r="J30" s="171">
        <f t="shared" si="0"/>
        <v>7.03333333338378</v>
      </c>
      <c r="K30" s="172">
        <f t="shared" si="1"/>
        <v>422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21.043677417840005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21.043677417840005</v>
      </c>
      <c r="AA30" s="186">
        <v>16.427321568000004</v>
      </c>
      <c r="AB30" s="186">
        <f t="shared" si="17"/>
        <v>4.6163558498400015</v>
      </c>
      <c r="AC30" s="187"/>
    </row>
    <row r="31" spans="2:29" ht="16.5" customHeight="1">
      <c r="B31" s="130"/>
      <c r="C31" s="154">
        <v>12</v>
      </c>
      <c r="D31" s="188" t="s">
        <v>10</v>
      </c>
      <c r="E31" s="167">
        <v>132</v>
      </c>
      <c r="F31" s="168">
        <v>44.7</v>
      </c>
      <c r="G31" s="537">
        <f t="shared" si="16"/>
        <v>26.54870229</v>
      </c>
      <c r="H31" s="170">
        <v>36126.33611111111</v>
      </c>
      <c r="I31" s="170">
        <v>36126.549305555556</v>
      </c>
      <c r="J31" s="171">
        <f t="shared" si="0"/>
        <v>5.116666666755918</v>
      </c>
      <c r="K31" s="172">
        <f t="shared" si="1"/>
        <v>307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40.778806717440006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40.778806717440006</v>
      </c>
      <c r="AA31" s="186">
        <v>31.833151488</v>
      </c>
      <c r="AB31" s="186">
        <f t="shared" si="17"/>
        <v>8.945655229440007</v>
      </c>
      <c r="AC31" s="187"/>
    </row>
    <row r="32" spans="2:29" ht="16.5" customHeight="1">
      <c r="B32" s="130"/>
      <c r="C32" s="154">
        <v>13</v>
      </c>
      <c r="D32" s="188" t="s">
        <v>7</v>
      </c>
      <c r="E32" s="167">
        <v>132</v>
      </c>
      <c r="F32" s="168">
        <v>30</v>
      </c>
      <c r="G32" s="537">
        <f t="shared" si="16"/>
        <v>17.817921000000002</v>
      </c>
      <c r="H32" s="170">
        <v>36128.33888888889</v>
      </c>
      <c r="I32" s="170">
        <v>36128.41875</v>
      </c>
      <c r="J32" s="171">
        <f t="shared" si="0"/>
        <v>1.9166666666278616</v>
      </c>
      <c r="K32" s="172">
        <f t="shared" si="1"/>
        <v>115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10.263122496000001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10.263122496000001</v>
      </c>
      <c r="AA32" s="186">
        <v>8.011699199999999</v>
      </c>
      <c r="AB32" s="186">
        <f t="shared" si="17"/>
        <v>2.2514232960000022</v>
      </c>
      <c r="AC32" s="187"/>
    </row>
    <row r="33" spans="2:29" ht="16.5" customHeight="1" thickBot="1">
      <c r="B33" s="130"/>
      <c r="C33" s="188"/>
      <c r="D33" s="188"/>
      <c r="E33" s="556"/>
      <c r="F33" s="557"/>
      <c r="G33" s="537">
        <f t="shared" si="16"/>
        <v>0</v>
      </c>
      <c r="H33" s="558"/>
      <c r="I33" s="558"/>
      <c r="J33" s="559">
        <f t="shared" si="0"/>
      </c>
      <c r="K33" s="560">
        <f t="shared" si="1"/>
      </c>
      <c r="L33" s="561"/>
      <c r="M33" s="561">
        <f t="shared" si="2"/>
      </c>
      <c r="N33" s="562">
        <f t="shared" si="3"/>
      </c>
      <c r="O33" s="563" t="str">
        <f t="shared" si="4"/>
        <v>--</v>
      </c>
      <c r="P33" s="564" t="str">
        <f t="shared" si="5"/>
        <v>--</v>
      </c>
      <c r="Q33" s="565" t="str">
        <f t="shared" si="6"/>
        <v>--</v>
      </c>
      <c r="R33" s="566" t="str">
        <f t="shared" si="7"/>
        <v>--</v>
      </c>
      <c r="S33" s="567" t="str">
        <f t="shared" si="8"/>
        <v>--</v>
      </c>
      <c r="T33" s="568" t="str">
        <f t="shared" si="9"/>
        <v>--</v>
      </c>
      <c r="U33" s="569" t="str">
        <f t="shared" si="10"/>
        <v>--</v>
      </c>
      <c r="V33" s="570" t="str">
        <f t="shared" si="11"/>
        <v>--</v>
      </c>
      <c r="W33" s="571" t="str">
        <f t="shared" si="12"/>
        <v>--</v>
      </c>
      <c r="X33" s="572" t="str">
        <f t="shared" si="13"/>
        <v>--</v>
      </c>
      <c r="Y33" s="573">
        <f t="shared" si="14"/>
      </c>
      <c r="Z33" s="574">
        <f t="shared" si="15"/>
      </c>
      <c r="AA33" s="574" t="s">
        <v>126</v>
      </c>
      <c r="AB33" s="574"/>
      <c r="AC33" s="187"/>
    </row>
    <row r="34" spans="2:29" ht="16.5" customHeight="1" thickBot="1" thickTop="1">
      <c r="B34" s="130"/>
      <c r="C34" s="605" t="s">
        <v>224</v>
      </c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7"/>
      <c r="AC34" s="187"/>
    </row>
    <row r="35" spans="2:29" ht="16.5" customHeight="1" thickTop="1">
      <c r="B35" s="130"/>
      <c r="C35" s="534">
        <v>1</v>
      </c>
      <c r="D35" s="575" t="s">
        <v>5</v>
      </c>
      <c r="E35" s="535">
        <v>132</v>
      </c>
      <c r="F35" s="536">
        <v>16.8</v>
      </c>
      <c r="G35" s="537">
        <f aca="true" t="shared" si="18" ref="G35:G40">F35*$E$14/100*$E$15</f>
        <v>9.978035760000001</v>
      </c>
      <c r="H35" s="538">
        <v>36130.37708333333</v>
      </c>
      <c r="I35" s="538">
        <v>36130.60208333333</v>
      </c>
      <c r="J35" s="539">
        <f t="shared" si="0"/>
        <v>5.399999999965075</v>
      </c>
      <c r="K35" s="540">
        <f t="shared" si="1"/>
        <v>324</v>
      </c>
      <c r="L35" s="541" t="s">
        <v>121</v>
      </c>
      <c r="M35" s="541" t="str">
        <f t="shared" si="2"/>
        <v>--</v>
      </c>
      <c r="N35" s="542" t="str">
        <f t="shared" si="3"/>
        <v>--</v>
      </c>
      <c r="O35" s="543">
        <f t="shared" si="4"/>
        <v>16.164417931200003</v>
      </c>
      <c r="P35" s="544" t="str">
        <f t="shared" si="5"/>
        <v>--</v>
      </c>
      <c r="Q35" s="545" t="str">
        <f t="shared" si="6"/>
        <v>--</v>
      </c>
      <c r="R35" s="546" t="str">
        <f t="shared" si="7"/>
        <v>--</v>
      </c>
      <c r="S35" s="547" t="str">
        <f t="shared" si="8"/>
        <v>--</v>
      </c>
      <c r="T35" s="548" t="str">
        <f t="shared" si="9"/>
        <v>--</v>
      </c>
      <c r="U35" s="549" t="str">
        <f t="shared" si="10"/>
        <v>--</v>
      </c>
      <c r="V35" s="550" t="str">
        <f t="shared" si="11"/>
        <v>--</v>
      </c>
      <c r="W35" s="551" t="str">
        <f t="shared" si="12"/>
        <v>--</v>
      </c>
      <c r="X35" s="552" t="str">
        <f t="shared" si="13"/>
        <v>--</v>
      </c>
      <c r="Y35" s="553" t="str">
        <f t="shared" si="14"/>
        <v>SI</v>
      </c>
      <c r="Z35" s="554">
        <f t="shared" si="15"/>
        <v>16.164417931200003</v>
      </c>
      <c r="AA35" s="554">
        <v>12.618426240000003</v>
      </c>
      <c r="AB35" s="554">
        <f aca="true" t="shared" si="19" ref="AB35:AB40">+Z35-AA35</f>
        <v>3.5459916911999994</v>
      </c>
      <c r="AC35" s="187"/>
    </row>
    <row r="36" spans="2:29" ht="16.5" customHeight="1">
      <c r="B36" s="130"/>
      <c r="C36" s="154">
        <v>2</v>
      </c>
      <c r="D36" s="188" t="s">
        <v>10</v>
      </c>
      <c r="E36" s="167">
        <v>132</v>
      </c>
      <c r="F36" s="168">
        <v>44.7</v>
      </c>
      <c r="G36" s="537">
        <f t="shared" si="18"/>
        <v>26.54870229</v>
      </c>
      <c r="H36" s="170">
        <v>36135.76388888889</v>
      </c>
      <c r="I36" s="170">
        <v>36135.88263888889</v>
      </c>
      <c r="J36" s="171">
        <f t="shared" si="0"/>
        <v>2.8500000000349246</v>
      </c>
      <c r="K36" s="172">
        <f t="shared" si="1"/>
        <v>171</v>
      </c>
      <c r="L36" s="173" t="s">
        <v>122</v>
      </c>
      <c r="M36" s="173" t="str">
        <f t="shared" si="2"/>
        <v>--</v>
      </c>
      <c r="N36" s="174" t="str">
        <f t="shared" si="3"/>
        <v>NO</v>
      </c>
      <c r="O36" s="175" t="str">
        <f t="shared" si="4"/>
        <v>--</v>
      </c>
      <c r="P36" s="176" t="str">
        <f t="shared" si="5"/>
        <v>--</v>
      </c>
      <c r="Q36" s="177">
        <f t="shared" si="6"/>
        <v>796.46</v>
      </c>
      <c r="R36" s="178">
        <f t="shared" si="7"/>
        <v>2269.914045795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 t="str">
        <f t="shared" si="14"/>
        <v>SI</v>
      </c>
      <c r="Z36" s="186">
        <f t="shared" si="15"/>
        <v>3066.3740457950003</v>
      </c>
      <c r="AA36" s="186">
        <v>2393.702534</v>
      </c>
      <c r="AB36" s="186">
        <f t="shared" si="19"/>
        <v>672.6715117950002</v>
      </c>
      <c r="AC36" s="187"/>
    </row>
    <row r="37" spans="2:29" ht="16.5" customHeight="1">
      <c r="B37" s="130"/>
      <c r="C37" s="154">
        <v>3</v>
      </c>
      <c r="D37" s="188" t="s">
        <v>128</v>
      </c>
      <c r="E37" s="167">
        <v>132</v>
      </c>
      <c r="F37" s="168">
        <v>40.3</v>
      </c>
      <c r="G37" s="537">
        <f t="shared" si="18"/>
        <v>23.93540721</v>
      </c>
      <c r="H37" s="170">
        <v>36144.38888888889</v>
      </c>
      <c r="I37" s="170">
        <v>36144.46666666667</v>
      </c>
      <c r="J37" s="171">
        <f t="shared" si="0"/>
        <v>1.866666666639503</v>
      </c>
      <c r="K37" s="172">
        <f t="shared" si="1"/>
        <v>112</v>
      </c>
      <c r="L37" s="173" t="s">
        <v>121</v>
      </c>
      <c r="M37" s="173" t="str">
        <f t="shared" si="2"/>
        <v>--</v>
      </c>
      <c r="N37" s="174" t="str">
        <f t="shared" si="3"/>
        <v>--</v>
      </c>
      <c r="O37" s="175">
        <f t="shared" si="4"/>
        <v>13.427763444810001</v>
      </c>
      <c r="P37" s="176" t="str">
        <f t="shared" si="5"/>
        <v>--</v>
      </c>
      <c r="Q37" s="177" t="str">
        <f t="shared" si="6"/>
        <v>--</v>
      </c>
      <c r="R37" s="178" t="str">
        <f t="shared" si="7"/>
        <v>--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 t="str">
        <f t="shared" si="14"/>
        <v>SI</v>
      </c>
      <c r="Z37" s="186">
        <f t="shared" si="15"/>
        <v>13.427763444810001</v>
      </c>
      <c r="AA37" s="186">
        <v>10.482112212</v>
      </c>
      <c r="AB37" s="186">
        <f t="shared" si="19"/>
        <v>2.9456512328100004</v>
      </c>
      <c r="AC37" s="187"/>
    </row>
    <row r="38" spans="2:29" ht="16.5" customHeight="1">
      <c r="B38" s="130"/>
      <c r="C38" s="154">
        <v>4</v>
      </c>
      <c r="D38" s="188" t="s">
        <v>8</v>
      </c>
      <c r="E38" s="167">
        <v>132</v>
      </c>
      <c r="F38" s="168">
        <v>75.1</v>
      </c>
      <c r="G38" s="537">
        <f t="shared" si="18"/>
        <v>44.60419557</v>
      </c>
      <c r="H38" s="170">
        <v>36146.649305555555</v>
      </c>
      <c r="I38" s="170">
        <v>36146.652083333334</v>
      </c>
      <c r="J38" s="171">
        <f t="shared" si="0"/>
        <v>0.06666666670935228</v>
      </c>
      <c r="K38" s="172">
        <f t="shared" si="1"/>
        <v>4</v>
      </c>
      <c r="L38" s="173" t="s">
        <v>122</v>
      </c>
      <c r="M38" s="173" t="str">
        <f t="shared" si="2"/>
        <v>--</v>
      </c>
      <c r="N38" s="174" t="str">
        <f t="shared" si="3"/>
        <v>NO</v>
      </c>
      <c r="O38" s="175" t="str">
        <f t="shared" si="4"/>
        <v>--</v>
      </c>
      <c r="P38" s="176" t="str">
        <f t="shared" si="5"/>
        <v>--</v>
      </c>
      <c r="Q38" s="177">
        <f t="shared" si="6"/>
        <v>1338.13</v>
      </c>
      <c r="R38" s="178" t="str">
        <f t="shared" si="7"/>
        <v>--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 t="str">
        <f t="shared" si="14"/>
        <v>SI</v>
      </c>
      <c r="Z38" s="186">
        <f t="shared" si="15"/>
        <v>1338.13</v>
      </c>
      <c r="AA38" s="186">
        <v>1044.58</v>
      </c>
      <c r="AB38" s="186">
        <f t="shared" si="19"/>
        <v>293.5500000000002</v>
      </c>
      <c r="AC38" s="187"/>
    </row>
    <row r="39" spans="2:29" ht="16.5" customHeight="1">
      <c r="B39" s="130"/>
      <c r="C39" s="154">
        <v>5</v>
      </c>
      <c r="D39" s="188" t="s">
        <v>9</v>
      </c>
      <c r="E39" s="167">
        <v>132</v>
      </c>
      <c r="F39" s="168">
        <v>25.5</v>
      </c>
      <c r="G39" s="537">
        <f t="shared" si="18"/>
        <v>15.145232850000001</v>
      </c>
      <c r="H39" s="170">
        <v>36146.649305555555</v>
      </c>
      <c r="I39" s="170">
        <v>36146.652083333334</v>
      </c>
      <c r="J39" s="171">
        <f t="shared" si="0"/>
        <v>0.06666666670935228</v>
      </c>
      <c r="K39" s="172">
        <f t="shared" si="1"/>
        <v>4</v>
      </c>
      <c r="L39" s="173" t="s">
        <v>122</v>
      </c>
      <c r="M39" s="173" t="str">
        <f t="shared" si="2"/>
        <v>--</v>
      </c>
      <c r="N39" s="174" t="str">
        <f t="shared" si="3"/>
        <v>NO</v>
      </c>
      <c r="O39" s="175" t="str">
        <f t="shared" si="4"/>
        <v>--</v>
      </c>
      <c r="P39" s="176" t="str">
        <f t="shared" si="5"/>
        <v>--</v>
      </c>
      <c r="Q39" s="177">
        <f t="shared" si="6"/>
        <v>454.36</v>
      </c>
      <c r="R39" s="178" t="str">
        <f t="shared" si="7"/>
        <v>--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 t="str">
        <f t="shared" si="14"/>
        <v>SI</v>
      </c>
      <c r="Z39" s="186">
        <f t="shared" si="15"/>
        <v>454.36</v>
      </c>
      <c r="AA39" s="186">
        <v>354.68</v>
      </c>
      <c r="AB39" s="186">
        <f t="shared" si="19"/>
        <v>99.68</v>
      </c>
      <c r="AC39" s="187"/>
    </row>
    <row r="40" spans="2:29" ht="16.5" customHeight="1">
      <c r="B40" s="130"/>
      <c r="C40" s="154">
        <v>6</v>
      </c>
      <c r="D40" s="188" t="s">
        <v>8</v>
      </c>
      <c r="E40" s="167">
        <v>132</v>
      </c>
      <c r="F40" s="168">
        <v>75.1</v>
      </c>
      <c r="G40" s="537">
        <f t="shared" si="18"/>
        <v>44.60419557</v>
      </c>
      <c r="H40" s="170">
        <v>36147.256944444445</v>
      </c>
      <c r="I40" s="170">
        <v>36147.259722222225</v>
      </c>
      <c r="J40" s="171">
        <f t="shared" si="0"/>
        <v>0.06666666670935228</v>
      </c>
      <c r="K40" s="172">
        <f t="shared" si="1"/>
        <v>4</v>
      </c>
      <c r="L40" s="173" t="s">
        <v>122</v>
      </c>
      <c r="M40" s="173" t="str">
        <f t="shared" si="2"/>
        <v>--</v>
      </c>
      <c r="N40" s="174" t="str">
        <f t="shared" si="3"/>
        <v>NO</v>
      </c>
      <c r="O40" s="175" t="str">
        <f t="shared" si="4"/>
        <v>--</v>
      </c>
      <c r="P40" s="176" t="str">
        <f t="shared" si="5"/>
        <v>--</v>
      </c>
      <c r="Q40" s="177">
        <f t="shared" si="6"/>
        <v>1338.13</v>
      </c>
      <c r="R40" s="178" t="str">
        <f t="shared" si="7"/>
        <v>--</v>
      </c>
      <c r="S40" s="179" t="str">
        <f t="shared" si="8"/>
        <v>--</v>
      </c>
      <c r="T40" s="180" t="str">
        <f t="shared" si="9"/>
        <v>--</v>
      </c>
      <c r="U40" s="181" t="str">
        <f t="shared" si="10"/>
        <v>--</v>
      </c>
      <c r="V40" s="182" t="str">
        <f t="shared" si="11"/>
        <v>--</v>
      </c>
      <c r="W40" s="183" t="str">
        <f t="shared" si="12"/>
        <v>--</v>
      </c>
      <c r="X40" s="184" t="str">
        <f t="shared" si="13"/>
        <v>--</v>
      </c>
      <c r="Y40" s="185" t="str">
        <f t="shared" si="14"/>
        <v>SI</v>
      </c>
      <c r="Z40" s="186">
        <f t="shared" si="15"/>
        <v>1338.13</v>
      </c>
      <c r="AA40" s="186">
        <v>1044.58</v>
      </c>
      <c r="AB40" s="186">
        <f t="shared" si="19"/>
        <v>293.5500000000002</v>
      </c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472"/>
      <c r="AA41" s="472"/>
      <c r="AB41" s="472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43146.99</v>
      </c>
      <c r="AA42" s="442">
        <f>ROUND(SUM(AA18:AA41),2)</f>
        <v>33510.57</v>
      </c>
      <c r="AB42" s="442">
        <f>ROUND(SUM(AB18:AB41),2)</f>
        <v>9636.42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2">
    <mergeCell ref="C34:AB34"/>
    <mergeCell ref="C20:AB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AC58"/>
  <sheetViews>
    <sheetView zoomScale="75" zoomScaleNormal="75" workbookViewId="0" topLeftCell="C10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240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59.993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217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(4)'!Z42</f>
        <v>43146.99</v>
      </c>
      <c r="AA18" s="148">
        <f>+'LI (4)'!AA42</f>
        <v>33510.57</v>
      </c>
      <c r="AB18" s="148">
        <f>+'LI (4)'!AB42</f>
        <v>9636.42</v>
      </c>
      <c r="AC18" s="88"/>
    </row>
    <row r="19" spans="2:29" s="149" customFormat="1" ht="16.5" customHeight="1">
      <c r="B19" s="130"/>
      <c r="C19" s="150"/>
      <c r="D19" s="151"/>
      <c r="E19" s="150"/>
      <c r="F19" s="150"/>
      <c r="G19" s="152"/>
      <c r="H19" s="150"/>
      <c r="I19" s="153"/>
      <c r="J19" s="154"/>
      <c r="K19" s="153"/>
      <c r="L19" s="150"/>
      <c r="M19" s="151"/>
      <c r="N19" s="154"/>
      <c r="O19" s="155"/>
      <c r="P19" s="156"/>
      <c r="Q19" s="157"/>
      <c r="R19" s="158"/>
      <c r="S19" s="159"/>
      <c r="T19" s="160"/>
      <c r="U19" s="161"/>
      <c r="V19" s="162"/>
      <c r="W19" s="163"/>
      <c r="X19" s="164"/>
      <c r="Y19" s="154"/>
      <c r="Z19" s="165"/>
      <c r="AA19" s="165"/>
      <c r="AB19" s="165"/>
      <c r="AC19" s="166"/>
    </row>
    <row r="20" spans="2:29" ht="16.5" customHeight="1">
      <c r="B20" s="130"/>
      <c r="C20" s="154">
        <v>7</v>
      </c>
      <c r="D20" s="154" t="s">
        <v>9</v>
      </c>
      <c r="E20" s="167">
        <v>132</v>
      </c>
      <c r="F20" s="168">
        <v>25.5</v>
      </c>
      <c r="G20" s="169">
        <f>F20*$E$14/100*$E$15</f>
        <v>15.145232850000001</v>
      </c>
      <c r="H20" s="170">
        <v>36147.256944444445</v>
      </c>
      <c r="I20" s="170">
        <v>36147.26111111111</v>
      </c>
      <c r="J20" s="171">
        <f aca="true" t="shared" si="0" ref="J20:J33">IF(H20="","",(I20-H20)*24)</f>
        <v>0.09999999997671694</v>
      </c>
      <c r="K20" s="172">
        <f aca="true" t="shared" si="1" ref="K20:K33">IF(I20="","",ROUND((I20-H20)*24*60,0))</f>
        <v>6</v>
      </c>
      <c r="L20" s="173" t="s">
        <v>122</v>
      </c>
      <c r="M20" s="173" t="str">
        <f aca="true" t="shared" si="2" ref="M20:M33">IF(D20="","","--")</f>
        <v>--</v>
      </c>
      <c r="N20" s="174" t="str">
        <f aca="true" t="shared" si="3" ref="N20:N33">IF(D20="","",IF(OR(L20="P",L20="RP"),"--","NO"))</f>
        <v>NO</v>
      </c>
      <c r="O20" s="175" t="str">
        <f aca="true" t="shared" si="4" ref="O20:O33">IF(L20="P",ROUND(K20/60,2)*G20*$J$14*0.01,"--")</f>
        <v>--</v>
      </c>
      <c r="P20" s="176" t="str">
        <f aca="true" t="shared" si="5" ref="P20:P33">IF(L20="RP",ROUND(K20/60,2)*G20*$J$14*0.01*M20/100,"--")</f>
        <v>--</v>
      </c>
      <c r="Q20" s="177">
        <f aca="true" t="shared" si="6" ref="Q20:Q33">IF(N20="SI","--",IF(L20="F",ROUND(G20*$J$14,2),"--"))</f>
        <v>454.36</v>
      </c>
      <c r="R20" s="178" t="str">
        <f aca="true" t="shared" si="7" ref="R20:R33">IF(L20="F",IF(K20&lt;10,"--",IF(K20&gt;180,ROUND(G20*$J$14*3,2),G20*$J$14*ROUND(K20/60,2))),"--")</f>
        <v>--</v>
      </c>
      <c r="S20" s="179" t="str">
        <f aca="true" t="shared" si="8" ref="S20:S33">IF(AND(L20="F",K20&gt;180),G20*$J$14*0.1*(ROUND(K20/60,2)-3),"--")</f>
        <v>--</v>
      </c>
      <c r="T20" s="180" t="str">
        <f aca="true" t="shared" si="9" ref="T20:T33">IF(N20="SI","--",IF(L20="R",ROUND(G20*$J$14*M20/100,2),"--"))</f>
        <v>--</v>
      </c>
      <c r="U20" s="181" t="str">
        <f aca="true" t="shared" si="10" ref="U20:U33">IF(L20="R",IF(K20&lt;10,"--",IF(K20&gt;180,ROUND(G20*$J$14*3*M20/100,2),G20*$J$14*M20/100*ROUND(K20/60,2))),"--")</f>
        <v>--</v>
      </c>
      <c r="V20" s="182" t="str">
        <f aca="true" t="shared" si="11" ref="V20:V33">IF(AND(L20="R",K20&gt;180),G20*$J$14*M20/100*0.1*(ROUND(K20/60,2)-3),"--")</f>
        <v>--</v>
      </c>
      <c r="W20" s="183" t="str">
        <f aca="true" t="shared" si="12" ref="W20:W33">IF(L20="RF",G20*$J$14*0.1*ROUND(K20/60,2),"--")</f>
        <v>--</v>
      </c>
      <c r="X20" s="184" t="str">
        <f aca="true" t="shared" si="13" ref="X20:X33">IF(L20="RR",G20*$J$14*0.1*M20/100*ROUND(K20/60,2),"--")</f>
        <v>--</v>
      </c>
      <c r="Y20" s="185" t="str">
        <f aca="true" t="shared" si="14" ref="Y20:Y33">IF(D20="","","SI")</f>
        <v>SI</v>
      </c>
      <c r="Z20" s="186">
        <f aca="true" t="shared" si="15" ref="Z20:Z33">IF(D20="","",IF(Y20="SI",SUM(O20:X20),2*SUM(O20:X20)))</f>
        <v>454.36</v>
      </c>
      <c r="AA20" s="186">
        <v>354.68</v>
      </c>
      <c r="AB20" s="186">
        <f aca="true" t="shared" si="16" ref="AB20:AB32">+Z20-AA20</f>
        <v>99.68</v>
      </c>
      <c r="AC20" s="187"/>
    </row>
    <row r="21" spans="2:29" ht="16.5" customHeight="1">
      <c r="B21" s="130"/>
      <c r="C21" s="154">
        <v>8</v>
      </c>
      <c r="D21" s="154" t="s">
        <v>9</v>
      </c>
      <c r="E21" s="167">
        <v>132</v>
      </c>
      <c r="F21" s="168">
        <v>25.5</v>
      </c>
      <c r="G21" s="169">
        <f aca="true" t="shared" si="17" ref="G21:G33">F21*$E$14/100*$E$15</f>
        <v>15.145232850000001</v>
      </c>
      <c r="H21" s="170">
        <v>36147.478472222225</v>
      </c>
      <c r="I21" s="170">
        <v>36147.51527777778</v>
      </c>
      <c r="J21" s="171">
        <f t="shared" si="0"/>
        <v>0.8833333332440816</v>
      </c>
      <c r="K21" s="172">
        <f t="shared" si="1"/>
        <v>53</v>
      </c>
      <c r="L21" s="173" t="s">
        <v>122</v>
      </c>
      <c r="M21" s="173" t="str">
        <f t="shared" si="2"/>
        <v>--</v>
      </c>
      <c r="N21" s="174" t="s">
        <v>129</v>
      </c>
      <c r="O21" s="175" t="str">
        <f t="shared" si="4"/>
        <v>--</v>
      </c>
      <c r="P21" s="176" t="str">
        <f t="shared" si="5"/>
        <v>--</v>
      </c>
      <c r="Q21" s="177" t="str">
        <f t="shared" si="6"/>
        <v>--</v>
      </c>
      <c r="R21" s="178">
        <f t="shared" si="7"/>
        <v>399.83414724</v>
      </c>
      <c r="S21" s="179" t="str">
        <f t="shared" si="8"/>
        <v>--</v>
      </c>
      <c r="T21" s="180" t="str">
        <f t="shared" si="9"/>
        <v>--</v>
      </c>
      <c r="U21" s="181" t="str">
        <f t="shared" si="10"/>
        <v>--</v>
      </c>
      <c r="V21" s="182" t="str">
        <f t="shared" si="11"/>
        <v>--</v>
      </c>
      <c r="W21" s="183" t="str">
        <f t="shared" si="12"/>
        <v>--</v>
      </c>
      <c r="X21" s="184" t="str">
        <f t="shared" si="13"/>
        <v>--</v>
      </c>
      <c r="Y21" s="185" t="str">
        <f t="shared" si="14"/>
        <v>SI</v>
      </c>
      <c r="Z21" s="186">
        <f t="shared" si="15"/>
        <v>399.83414724</v>
      </c>
      <c r="AA21" s="186">
        <v>312.122448</v>
      </c>
      <c r="AB21" s="186">
        <f t="shared" si="16"/>
        <v>87.71169923999997</v>
      </c>
      <c r="AC21" s="187"/>
    </row>
    <row r="22" spans="2:29" ht="16.5" customHeight="1">
      <c r="B22" s="130"/>
      <c r="C22" s="154">
        <v>9</v>
      </c>
      <c r="D22" s="154" t="s">
        <v>8</v>
      </c>
      <c r="E22" s="167">
        <v>132</v>
      </c>
      <c r="F22" s="168">
        <v>75.1</v>
      </c>
      <c r="G22" s="169">
        <f t="shared" si="17"/>
        <v>44.60419557</v>
      </c>
      <c r="H22" s="170">
        <v>36147.479166666664</v>
      </c>
      <c r="I22" s="170">
        <v>36147.51388888889</v>
      </c>
      <c r="J22" s="171">
        <f t="shared" si="0"/>
        <v>0.8333333334303461</v>
      </c>
      <c r="K22" s="172">
        <f t="shared" si="1"/>
        <v>50</v>
      </c>
      <c r="L22" s="173" t="s">
        <v>122</v>
      </c>
      <c r="M22" s="173" t="str">
        <f t="shared" si="2"/>
        <v>--</v>
      </c>
      <c r="N22" s="174" t="s">
        <v>129</v>
      </c>
      <c r="O22" s="175" t="str">
        <f t="shared" si="4"/>
        <v>--</v>
      </c>
      <c r="P22" s="176" t="str">
        <f t="shared" si="5"/>
        <v>--</v>
      </c>
      <c r="Q22" s="177" t="str">
        <f t="shared" si="6"/>
        <v>--</v>
      </c>
      <c r="R22" s="178">
        <f t="shared" si="7"/>
        <v>1110.644469693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1110.644469693</v>
      </c>
      <c r="AA22" s="186">
        <v>867.0021635999999</v>
      </c>
      <c r="AB22" s="186">
        <f t="shared" si="16"/>
        <v>243.64230609300012</v>
      </c>
      <c r="AC22" s="187"/>
    </row>
    <row r="23" spans="2:29" ht="16.5" customHeight="1">
      <c r="B23" s="130"/>
      <c r="C23" s="154">
        <v>10</v>
      </c>
      <c r="D23" s="188" t="s">
        <v>130</v>
      </c>
      <c r="E23" s="167">
        <v>132</v>
      </c>
      <c r="F23" s="168">
        <v>41</v>
      </c>
      <c r="G23" s="169">
        <f t="shared" si="17"/>
        <v>24.351158700000003</v>
      </c>
      <c r="H23" s="170">
        <v>36148.62569444445</v>
      </c>
      <c r="I23" s="170">
        <v>36148.62986111111</v>
      </c>
      <c r="J23" s="171">
        <f t="shared" si="0"/>
        <v>0.09999999997671694</v>
      </c>
      <c r="K23" s="172">
        <f t="shared" si="1"/>
        <v>6</v>
      </c>
      <c r="L23" s="173" t="s">
        <v>122</v>
      </c>
      <c r="M23" s="173" t="str">
        <f t="shared" si="2"/>
        <v>--</v>
      </c>
      <c r="N23" s="174" t="str">
        <f t="shared" si="3"/>
        <v>NO</v>
      </c>
      <c r="O23" s="175" t="str">
        <f t="shared" si="4"/>
        <v>--</v>
      </c>
      <c r="P23" s="176" t="str">
        <f t="shared" si="5"/>
        <v>--</v>
      </c>
      <c r="Q23" s="177">
        <f t="shared" si="6"/>
        <v>730.53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730.53</v>
      </c>
      <c r="AA23" s="186">
        <v>570.28</v>
      </c>
      <c r="AB23" s="186">
        <f t="shared" si="16"/>
        <v>160.25</v>
      </c>
      <c r="AC23" s="187"/>
    </row>
    <row r="24" spans="2:29" ht="16.5" customHeight="1">
      <c r="B24" s="130"/>
      <c r="C24" s="154">
        <v>11</v>
      </c>
      <c r="D24" s="188" t="s">
        <v>131</v>
      </c>
      <c r="E24" s="167">
        <v>132</v>
      </c>
      <c r="F24" s="168">
        <v>89</v>
      </c>
      <c r="G24" s="169">
        <f t="shared" si="17"/>
        <v>52.8598323</v>
      </c>
      <c r="H24" s="170">
        <v>36148.62569444445</v>
      </c>
      <c r="I24" s="170">
        <v>36148.67569444444</v>
      </c>
      <c r="J24" s="171">
        <f t="shared" si="0"/>
        <v>1.1999999998952262</v>
      </c>
      <c r="K24" s="172">
        <f t="shared" si="1"/>
        <v>72</v>
      </c>
      <c r="L24" s="173" t="s">
        <v>122</v>
      </c>
      <c r="M24" s="173" t="str">
        <f t="shared" si="2"/>
        <v>--</v>
      </c>
      <c r="N24" s="174" t="str">
        <f t="shared" si="3"/>
        <v>NO</v>
      </c>
      <c r="O24" s="175" t="str">
        <f t="shared" si="4"/>
        <v>--</v>
      </c>
      <c r="P24" s="176" t="str">
        <f t="shared" si="5"/>
        <v>--</v>
      </c>
      <c r="Q24" s="177">
        <f t="shared" si="6"/>
        <v>1585.79</v>
      </c>
      <c r="R24" s="178">
        <f t="shared" si="7"/>
        <v>1902.9539628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3488.7439628</v>
      </c>
      <c r="AA24" s="186">
        <v>2723.42256</v>
      </c>
      <c r="AB24" s="186">
        <f t="shared" si="16"/>
        <v>765.3214028000002</v>
      </c>
      <c r="AC24" s="187"/>
    </row>
    <row r="25" spans="2:29" ht="16.5" customHeight="1">
      <c r="B25" s="130"/>
      <c r="C25" s="154">
        <v>12</v>
      </c>
      <c r="D25" s="188" t="s">
        <v>132</v>
      </c>
      <c r="E25" s="167">
        <v>132</v>
      </c>
      <c r="F25" s="168">
        <v>18</v>
      </c>
      <c r="G25" s="169">
        <f t="shared" si="17"/>
        <v>10.6907526</v>
      </c>
      <c r="H25" s="170">
        <v>36148.62569444445</v>
      </c>
      <c r="I25" s="170">
        <v>36148.62986111111</v>
      </c>
      <c r="J25" s="171">
        <f t="shared" si="0"/>
        <v>0.09999999997671694</v>
      </c>
      <c r="K25" s="172">
        <f t="shared" si="1"/>
        <v>6</v>
      </c>
      <c r="L25" s="173" t="s">
        <v>122</v>
      </c>
      <c r="M25" s="173" t="str">
        <f t="shared" si="2"/>
        <v>--</v>
      </c>
      <c r="N25" s="174" t="str">
        <f t="shared" si="3"/>
        <v>NO</v>
      </c>
      <c r="O25" s="175" t="str">
        <f t="shared" si="4"/>
        <v>--</v>
      </c>
      <c r="P25" s="176" t="str">
        <f t="shared" si="5"/>
        <v>--</v>
      </c>
      <c r="Q25" s="177">
        <f t="shared" si="6"/>
        <v>320.72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320.72</v>
      </c>
      <c r="AA25" s="186">
        <v>250.37</v>
      </c>
      <c r="AB25" s="186">
        <f t="shared" si="16"/>
        <v>70.35000000000002</v>
      </c>
      <c r="AC25" s="187"/>
    </row>
    <row r="26" spans="2:29" ht="16.5" customHeight="1">
      <c r="B26" s="130"/>
      <c r="C26" s="154">
        <v>13</v>
      </c>
      <c r="D26" s="188" t="s">
        <v>7</v>
      </c>
      <c r="E26" s="167">
        <v>132</v>
      </c>
      <c r="F26" s="168">
        <v>30</v>
      </c>
      <c r="G26" s="169">
        <f t="shared" si="17"/>
        <v>17.817921000000002</v>
      </c>
      <c r="H26" s="170">
        <v>36149.25</v>
      </c>
      <c r="I26" s="170">
        <v>36149.39513888889</v>
      </c>
      <c r="J26" s="171">
        <f t="shared" si="0"/>
        <v>3.483333333337214</v>
      </c>
      <c r="K26" s="172">
        <f t="shared" si="1"/>
        <v>209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18.601909524000003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18.601909524000003</v>
      </c>
      <c r="AA26" s="186">
        <v>14.521204799999998</v>
      </c>
      <c r="AB26" s="186">
        <f t="shared" si="16"/>
        <v>4.080704724000006</v>
      </c>
      <c r="AC26" s="187"/>
    </row>
    <row r="27" spans="2:29" ht="16.5" customHeight="1">
      <c r="B27" s="130"/>
      <c r="C27" s="154">
        <v>14</v>
      </c>
      <c r="D27" s="188" t="s">
        <v>8</v>
      </c>
      <c r="E27" s="167">
        <v>132</v>
      </c>
      <c r="F27" s="168">
        <v>75.1</v>
      </c>
      <c r="G27" s="169">
        <f t="shared" si="17"/>
        <v>44.60419557</v>
      </c>
      <c r="H27" s="170">
        <v>36152.41875</v>
      </c>
      <c r="I27" s="170">
        <v>36152.59305555555</v>
      </c>
      <c r="J27" s="171">
        <f t="shared" si="0"/>
        <v>4.183333333348855</v>
      </c>
      <c r="K27" s="172">
        <f t="shared" si="1"/>
        <v>251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55.93366124478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55.93366124478</v>
      </c>
      <c r="AA27" s="186">
        <v>43.66348245599998</v>
      </c>
      <c r="AB27" s="186">
        <f t="shared" si="16"/>
        <v>12.270178788780015</v>
      </c>
      <c r="AC27" s="187"/>
    </row>
    <row r="28" spans="2:29" ht="16.5" customHeight="1">
      <c r="B28" s="130"/>
      <c r="C28" s="154">
        <v>15</v>
      </c>
      <c r="D28" s="188" t="s">
        <v>9</v>
      </c>
      <c r="E28" s="167">
        <v>132</v>
      </c>
      <c r="F28" s="168">
        <v>25.5</v>
      </c>
      <c r="G28" s="169">
        <f t="shared" si="17"/>
        <v>15.145232850000001</v>
      </c>
      <c r="H28" s="170">
        <v>36152.419444444444</v>
      </c>
      <c r="I28" s="170">
        <v>36152.59375</v>
      </c>
      <c r="J28" s="171">
        <f t="shared" si="0"/>
        <v>4.183333333348855</v>
      </c>
      <c r="K28" s="172">
        <f t="shared" si="1"/>
        <v>251</v>
      </c>
      <c r="L28" s="173" t="s">
        <v>121</v>
      </c>
      <c r="M28" s="173" t="str">
        <f t="shared" si="2"/>
        <v>--</v>
      </c>
      <c r="N28" s="174" t="str">
        <f t="shared" si="3"/>
        <v>--</v>
      </c>
      <c r="O28" s="175">
        <f t="shared" si="4"/>
        <v>18.9921219939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18.9921219939</v>
      </c>
      <c r="AA28" s="186">
        <v>14.82581628</v>
      </c>
      <c r="AB28" s="186">
        <f t="shared" si="16"/>
        <v>4.1663057139</v>
      </c>
      <c r="AC28" s="187"/>
    </row>
    <row r="29" spans="2:29" ht="16.5" customHeight="1">
      <c r="B29" s="130"/>
      <c r="C29" s="154">
        <v>16</v>
      </c>
      <c r="D29" s="188" t="s">
        <v>128</v>
      </c>
      <c r="E29" s="167">
        <v>132</v>
      </c>
      <c r="F29" s="168">
        <v>40.3</v>
      </c>
      <c r="G29" s="169">
        <f t="shared" si="17"/>
        <v>23.93540721</v>
      </c>
      <c r="H29" s="170">
        <v>36153.37708333333</v>
      </c>
      <c r="I29" s="170">
        <v>36153.43194444444</v>
      </c>
      <c r="J29" s="171">
        <f t="shared" si="0"/>
        <v>1.316666666592937</v>
      </c>
      <c r="K29" s="172">
        <f t="shared" si="1"/>
        <v>79</v>
      </c>
      <c r="L29" s="173" t="s">
        <v>121</v>
      </c>
      <c r="M29" s="173" t="str">
        <f t="shared" si="2"/>
        <v>--</v>
      </c>
      <c r="N29" s="174" t="str">
        <f t="shared" si="3"/>
        <v>--</v>
      </c>
      <c r="O29" s="175">
        <f t="shared" si="4"/>
        <v>9.47842125516</v>
      </c>
      <c r="P29" s="176" t="str">
        <f t="shared" si="5"/>
        <v>--</v>
      </c>
      <c r="Q29" s="177" t="str">
        <f t="shared" si="6"/>
        <v>--</v>
      </c>
      <c r="R29" s="178" t="str">
        <f t="shared" si="7"/>
        <v>--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9.47842125516</v>
      </c>
      <c r="AA29" s="186">
        <v>7.399138032</v>
      </c>
      <c r="AB29" s="186">
        <f t="shared" si="16"/>
        <v>2.079283223160001</v>
      </c>
      <c r="AC29" s="187"/>
    </row>
    <row r="30" spans="2:29" ht="16.5" customHeight="1">
      <c r="B30" s="130"/>
      <c r="C30" s="154">
        <v>17</v>
      </c>
      <c r="D30" s="188" t="s">
        <v>133</v>
      </c>
      <c r="E30" s="167">
        <v>132</v>
      </c>
      <c r="F30" s="168">
        <v>10</v>
      </c>
      <c r="G30" s="169">
        <f t="shared" si="17"/>
        <v>5.939307</v>
      </c>
      <c r="H30" s="170">
        <v>36157.354166666664</v>
      </c>
      <c r="I30" s="170">
        <v>36157.5375</v>
      </c>
      <c r="J30" s="171">
        <f t="shared" si="0"/>
        <v>4.400000000023283</v>
      </c>
      <c r="K30" s="172">
        <f t="shared" si="1"/>
        <v>264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7.839885240000001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7.839885240000001</v>
      </c>
      <c r="AA30" s="186">
        <v>6.120048000000001</v>
      </c>
      <c r="AB30" s="186">
        <f t="shared" si="16"/>
        <v>1.7198372400000004</v>
      </c>
      <c r="AC30" s="187"/>
    </row>
    <row r="31" spans="2:29" ht="16.5" customHeight="1">
      <c r="B31" s="130"/>
      <c r="C31" s="154">
        <v>18</v>
      </c>
      <c r="D31" s="188" t="s">
        <v>6</v>
      </c>
      <c r="E31" s="167">
        <v>132</v>
      </c>
      <c r="F31" s="168">
        <v>40.6</v>
      </c>
      <c r="G31" s="169">
        <f t="shared" si="17"/>
        <v>24.113586419999997</v>
      </c>
      <c r="H31" s="170">
        <v>36159.23055555556</v>
      </c>
      <c r="I31" s="170">
        <v>36159.30625</v>
      </c>
      <c r="J31" s="171">
        <f t="shared" si="0"/>
        <v>1.8166666666511446</v>
      </c>
      <c r="K31" s="172">
        <f t="shared" si="1"/>
        <v>109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13.166018185319999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13.166018185319999</v>
      </c>
      <c r="AA31" s="186">
        <v>10.277786063999999</v>
      </c>
      <c r="AB31" s="186">
        <f t="shared" si="16"/>
        <v>2.8882321213199997</v>
      </c>
      <c r="AC31" s="187"/>
    </row>
    <row r="32" spans="2:29" ht="16.5" customHeight="1">
      <c r="B32" s="130"/>
      <c r="C32" s="154">
        <v>19</v>
      </c>
      <c r="D32" s="188" t="s">
        <v>134</v>
      </c>
      <c r="E32" s="167">
        <v>132</v>
      </c>
      <c r="F32" s="168">
        <v>10.2</v>
      </c>
      <c r="G32" s="169">
        <f t="shared" si="17"/>
        <v>6.0580931399999995</v>
      </c>
      <c r="H32" s="170">
        <v>36159.251388888886</v>
      </c>
      <c r="I32" s="170">
        <v>36159.308333333334</v>
      </c>
      <c r="J32" s="171">
        <f t="shared" si="0"/>
        <v>1.3666666667559184</v>
      </c>
      <c r="K32" s="172">
        <f t="shared" si="1"/>
        <v>82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2.4898762805400003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2.4898762805400003</v>
      </c>
      <c r="AA32" s="186">
        <v>1.943671608</v>
      </c>
      <c r="AB32" s="186">
        <f t="shared" si="16"/>
        <v>0.5462046725400003</v>
      </c>
      <c r="AC32" s="187"/>
    </row>
    <row r="33" spans="2:29" ht="16.5" customHeight="1" thickBot="1">
      <c r="B33" s="130"/>
      <c r="C33" s="188"/>
      <c r="D33" s="188"/>
      <c r="E33" s="556"/>
      <c r="F33" s="557"/>
      <c r="G33" s="169">
        <f t="shared" si="17"/>
        <v>0</v>
      </c>
      <c r="H33" s="558"/>
      <c r="I33" s="558"/>
      <c r="J33" s="559">
        <f t="shared" si="0"/>
      </c>
      <c r="K33" s="560">
        <f t="shared" si="1"/>
      </c>
      <c r="L33" s="561"/>
      <c r="M33" s="561">
        <f t="shared" si="2"/>
      </c>
      <c r="N33" s="562">
        <f t="shared" si="3"/>
      </c>
      <c r="O33" s="563" t="str">
        <f t="shared" si="4"/>
        <v>--</v>
      </c>
      <c r="P33" s="564" t="str">
        <f t="shared" si="5"/>
        <v>--</v>
      </c>
      <c r="Q33" s="565" t="str">
        <f t="shared" si="6"/>
        <v>--</v>
      </c>
      <c r="R33" s="566" t="str">
        <f t="shared" si="7"/>
        <v>--</v>
      </c>
      <c r="S33" s="567" t="str">
        <f t="shared" si="8"/>
        <v>--</v>
      </c>
      <c r="T33" s="568" t="str">
        <f t="shared" si="9"/>
        <v>--</v>
      </c>
      <c r="U33" s="569" t="str">
        <f t="shared" si="10"/>
        <v>--</v>
      </c>
      <c r="V33" s="570" t="str">
        <f t="shared" si="11"/>
        <v>--</v>
      </c>
      <c r="W33" s="571" t="str">
        <f t="shared" si="12"/>
        <v>--</v>
      </c>
      <c r="X33" s="572" t="str">
        <f t="shared" si="13"/>
        <v>--</v>
      </c>
      <c r="Y33" s="573">
        <f t="shared" si="14"/>
      </c>
      <c r="Z33" s="574">
        <f t="shared" si="15"/>
      </c>
      <c r="AA33" s="574" t="s">
        <v>126</v>
      </c>
      <c r="AB33" s="574"/>
      <c r="AC33" s="187"/>
    </row>
    <row r="34" spans="2:29" ht="16.5" customHeight="1" thickBot="1" thickTop="1">
      <c r="B34" s="130"/>
      <c r="C34" s="605" t="s">
        <v>228</v>
      </c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7"/>
      <c r="AC34" s="187"/>
    </row>
    <row r="35" spans="2:29" ht="16.5" customHeight="1" thickTop="1">
      <c r="B35" s="130"/>
      <c r="C35" s="534">
        <v>1</v>
      </c>
      <c r="D35" s="575" t="s">
        <v>142</v>
      </c>
      <c r="E35" s="535">
        <v>132</v>
      </c>
      <c r="F35" s="536">
        <v>56.5</v>
      </c>
      <c r="G35" s="169">
        <f aca="true" t="shared" si="18" ref="G35:G40">F35*$E$14/100*$E$15</f>
        <v>33.55708455</v>
      </c>
      <c r="H35" s="538">
        <v>36167.433333333334</v>
      </c>
      <c r="I35" s="538">
        <v>36167.64375</v>
      </c>
      <c r="J35" s="539">
        <f aca="true" t="shared" si="19" ref="J35:J40">IF(H35="","",(I35-H35)*24)</f>
        <v>5.050000000046566</v>
      </c>
      <c r="K35" s="540">
        <f aca="true" t="shared" si="20" ref="K35:K40">IF(I35="","",ROUND((I35-H35)*24*60,0))</f>
        <v>303</v>
      </c>
      <c r="L35" s="541" t="s">
        <v>121</v>
      </c>
      <c r="M35" s="541" t="str">
        <f aca="true" t="shared" si="21" ref="M35:M40">IF(D35="","","--")</f>
        <v>--</v>
      </c>
      <c r="N35" s="542" t="str">
        <f aca="true" t="shared" si="22" ref="N35:N40">IF(D35="","",IF(OR(L35="P",L35="RP"),"--","NO"))</f>
        <v>--</v>
      </c>
      <c r="O35" s="543">
        <f aca="true" t="shared" si="23" ref="O35:O40">IF(L35="P",ROUND(K35/60,2)*G35*$J$14*0.01,"--")</f>
        <v>50.83898309325</v>
      </c>
      <c r="P35" s="544" t="str">
        <f aca="true" t="shared" si="24" ref="P35:P40">IF(L35="RP",ROUND(K35/60,2)*G35*$J$14*0.01*M35/100,"--")</f>
        <v>--</v>
      </c>
      <c r="Q35" s="545" t="str">
        <f aca="true" t="shared" si="25" ref="Q35:Q40">IF(N35="SI","--",IF(L35="F",ROUND(G35*$J$14,2),"--"))</f>
        <v>--</v>
      </c>
      <c r="R35" s="546" t="str">
        <f aca="true" t="shared" si="26" ref="R35:R40">IF(L35="F",IF(K35&lt;10,"--",IF(K35&gt;180,ROUND(G35*$J$14*3,2),G35*$J$14*ROUND(K35/60,2))),"--")</f>
        <v>--</v>
      </c>
      <c r="S35" s="547" t="str">
        <f aca="true" t="shared" si="27" ref="S35:S40">IF(AND(L35="F",K35&gt;180),G35*$J$14*0.1*(ROUND(K35/60,2)-3),"--")</f>
        <v>--</v>
      </c>
      <c r="T35" s="548" t="str">
        <f aca="true" t="shared" si="28" ref="T35:T40">IF(N35="SI","--",IF(L35="R",ROUND(G35*$J$14*M35/100,2),"--"))</f>
        <v>--</v>
      </c>
      <c r="U35" s="549" t="str">
        <f aca="true" t="shared" si="29" ref="U35:U40">IF(L35="R",IF(K35&lt;10,"--",IF(K35&gt;180,ROUND(G35*$J$14*3*M35/100,2),G35*$J$14*M35/100*ROUND(K35/60,2))),"--")</f>
        <v>--</v>
      </c>
      <c r="V35" s="550" t="str">
        <f aca="true" t="shared" si="30" ref="V35:V40">IF(AND(L35="R",K35&gt;180),G35*$J$14*M35/100*0.1*(ROUND(K35/60,2)-3),"--")</f>
        <v>--</v>
      </c>
      <c r="W35" s="551" t="str">
        <f aca="true" t="shared" si="31" ref="W35:W40">IF(L35="RF",G35*$J$14*0.1*ROUND(K35/60,2),"--")</f>
        <v>--</v>
      </c>
      <c r="X35" s="552" t="str">
        <f aca="true" t="shared" si="32" ref="X35:X40">IF(L35="RR",G35*$J$14*0.1*M35/100*ROUND(K35/60,2),"--")</f>
        <v>--</v>
      </c>
      <c r="Y35" s="553" t="str">
        <f aca="true" t="shared" si="33" ref="Y35:Y40">IF(D35="","","SI")</f>
        <v>SI</v>
      </c>
      <c r="Z35" s="554">
        <f aca="true" t="shared" si="34" ref="Z35:Z40">IF(D35="","",IF(Y35="SI",SUM(O35:X35),2*SUM(O35:X35)))</f>
        <v>50.83898309325</v>
      </c>
      <c r="AA35" s="554">
        <v>39.68642489999999</v>
      </c>
      <c r="AB35" s="554">
        <f aca="true" t="shared" si="35" ref="AB35:AB40">+Z35-AA35</f>
        <v>11.152558193250009</v>
      </c>
      <c r="AC35" s="187"/>
    </row>
    <row r="36" spans="2:29" ht="16.5" customHeight="1">
      <c r="B36" s="130"/>
      <c r="C36" s="154">
        <v>2</v>
      </c>
      <c r="D36" s="188" t="s">
        <v>3</v>
      </c>
      <c r="E36" s="167">
        <v>132</v>
      </c>
      <c r="F36" s="168">
        <v>16.6</v>
      </c>
      <c r="G36" s="169">
        <f t="shared" si="18"/>
        <v>9.85924962</v>
      </c>
      <c r="H36" s="170">
        <v>36168.34861111111</v>
      </c>
      <c r="I36" s="170">
        <v>36168.47222222222</v>
      </c>
      <c r="J36" s="171">
        <f t="shared" si="19"/>
        <v>2.9666666665580124</v>
      </c>
      <c r="K36" s="172">
        <f t="shared" si="20"/>
        <v>178</v>
      </c>
      <c r="L36" s="173" t="s">
        <v>121</v>
      </c>
      <c r="M36" s="173" t="str">
        <f t="shared" si="21"/>
        <v>--</v>
      </c>
      <c r="N36" s="174" t="str">
        <f t="shared" si="22"/>
        <v>--</v>
      </c>
      <c r="O36" s="175">
        <f t="shared" si="23"/>
        <v>8.784591411420001</v>
      </c>
      <c r="P36" s="176" t="str">
        <f t="shared" si="24"/>
        <v>--</v>
      </c>
      <c r="Q36" s="177" t="str">
        <f t="shared" si="25"/>
        <v>--</v>
      </c>
      <c r="R36" s="178" t="str">
        <f t="shared" si="26"/>
        <v>--</v>
      </c>
      <c r="S36" s="179" t="str">
        <f t="shared" si="27"/>
        <v>--</v>
      </c>
      <c r="T36" s="180" t="str">
        <f t="shared" si="28"/>
        <v>--</v>
      </c>
      <c r="U36" s="181" t="str">
        <f t="shared" si="29"/>
        <v>--</v>
      </c>
      <c r="V36" s="182" t="str">
        <f t="shared" si="30"/>
        <v>--</v>
      </c>
      <c r="W36" s="183" t="str">
        <f t="shared" si="31"/>
        <v>--</v>
      </c>
      <c r="X36" s="184" t="str">
        <f t="shared" si="32"/>
        <v>--</v>
      </c>
      <c r="Y36" s="185" t="str">
        <f t="shared" si="33"/>
        <v>SI</v>
      </c>
      <c r="Z36" s="186">
        <f t="shared" si="34"/>
        <v>8.784591411420001</v>
      </c>
      <c r="AA36" s="186">
        <v>6.857513784</v>
      </c>
      <c r="AB36" s="186">
        <f t="shared" si="35"/>
        <v>1.927077627420001</v>
      </c>
      <c r="AC36" s="187"/>
    </row>
    <row r="37" spans="2:29" ht="16.5" customHeight="1">
      <c r="B37" s="130"/>
      <c r="C37" s="154">
        <v>3</v>
      </c>
      <c r="D37" s="188" t="s">
        <v>143</v>
      </c>
      <c r="E37" s="167">
        <v>132</v>
      </c>
      <c r="F37" s="168">
        <v>15.5</v>
      </c>
      <c r="G37" s="169">
        <f t="shared" si="18"/>
        <v>9.205925850000002</v>
      </c>
      <c r="H37" s="170">
        <v>36172.35625</v>
      </c>
      <c r="I37" s="170">
        <v>36172.524305555555</v>
      </c>
      <c r="J37" s="171">
        <f t="shared" si="19"/>
        <v>4.03333333338378</v>
      </c>
      <c r="K37" s="172">
        <f t="shared" si="20"/>
        <v>242</v>
      </c>
      <c r="L37" s="173" t="s">
        <v>121</v>
      </c>
      <c r="M37" s="173" t="str">
        <f t="shared" si="21"/>
        <v>--</v>
      </c>
      <c r="N37" s="174" t="str">
        <f t="shared" si="22"/>
        <v>--</v>
      </c>
      <c r="O37" s="175">
        <f t="shared" si="23"/>
        <v>11.129964352650003</v>
      </c>
      <c r="P37" s="176" t="str">
        <f t="shared" si="24"/>
        <v>--</v>
      </c>
      <c r="Q37" s="177" t="str">
        <f t="shared" si="25"/>
        <v>--</v>
      </c>
      <c r="R37" s="178" t="str">
        <f t="shared" si="26"/>
        <v>--</v>
      </c>
      <c r="S37" s="179" t="str">
        <f t="shared" si="27"/>
        <v>--</v>
      </c>
      <c r="T37" s="180" t="str">
        <f t="shared" si="28"/>
        <v>--</v>
      </c>
      <c r="U37" s="181" t="str">
        <f t="shared" si="29"/>
        <v>--</v>
      </c>
      <c r="V37" s="182" t="str">
        <f t="shared" si="30"/>
        <v>--</v>
      </c>
      <c r="W37" s="183" t="str">
        <f t="shared" si="31"/>
        <v>--</v>
      </c>
      <c r="X37" s="184" t="str">
        <f t="shared" si="32"/>
        <v>--</v>
      </c>
      <c r="Y37" s="185" t="str">
        <f t="shared" si="33"/>
        <v>SI</v>
      </c>
      <c r="Z37" s="186">
        <f t="shared" si="34"/>
        <v>11.129964352650003</v>
      </c>
      <c r="AA37" s="186">
        <v>8.68838178</v>
      </c>
      <c r="AB37" s="186">
        <f t="shared" si="35"/>
        <v>2.4415825726500024</v>
      </c>
      <c r="AC37" s="187"/>
    </row>
    <row r="38" spans="2:29" ht="16.5" customHeight="1">
      <c r="B38" s="130"/>
      <c r="C38" s="154">
        <v>4</v>
      </c>
      <c r="D38" s="188" t="s">
        <v>5</v>
      </c>
      <c r="E38" s="167">
        <v>132</v>
      </c>
      <c r="F38" s="168">
        <v>16.8</v>
      </c>
      <c r="G38" s="169">
        <f t="shared" si="18"/>
        <v>9.978035760000001</v>
      </c>
      <c r="H38" s="170">
        <v>36173.376388888886</v>
      </c>
      <c r="I38" s="170">
        <v>36173.467361111114</v>
      </c>
      <c r="J38" s="171">
        <f t="shared" si="19"/>
        <v>2.1833333334652707</v>
      </c>
      <c r="K38" s="172">
        <f t="shared" si="20"/>
        <v>131</v>
      </c>
      <c r="L38" s="173" t="s">
        <v>121</v>
      </c>
      <c r="M38" s="173" t="str">
        <f t="shared" si="21"/>
        <v>--</v>
      </c>
      <c r="N38" s="174" t="str">
        <f t="shared" si="22"/>
        <v>--</v>
      </c>
      <c r="O38" s="175">
        <f t="shared" si="23"/>
        <v>6.52563538704</v>
      </c>
      <c r="P38" s="176" t="str">
        <f t="shared" si="24"/>
        <v>--</v>
      </c>
      <c r="Q38" s="177" t="str">
        <f t="shared" si="25"/>
        <v>--</v>
      </c>
      <c r="R38" s="178" t="str">
        <f t="shared" si="26"/>
        <v>--</v>
      </c>
      <c r="S38" s="179" t="str">
        <f t="shared" si="27"/>
        <v>--</v>
      </c>
      <c r="T38" s="180" t="str">
        <f t="shared" si="28"/>
        <v>--</v>
      </c>
      <c r="U38" s="181" t="str">
        <f t="shared" si="29"/>
        <v>--</v>
      </c>
      <c r="V38" s="182" t="str">
        <f t="shared" si="30"/>
        <v>--</v>
      </c>
      <c r="W38" s="183" t="str">
        <f t="shared" si="31"/>
        <v>--</v>
      </c>
      <c r="X38" s="184" t="str">
        <f t="shared" si="32"/>
        <v>--</v>
      </c>
      <c r="Y38" s="185" t="str">
        <f t="shared" si="33"/>
        <v>SI</v>
      </c>
      <c r="Z38" s="186">
        <f t="shared" si="34"/>
        <v>6.52563538704</v>
      </c>
      <c r="AA38" s="186">
        <v>5.094105408000001</v>
      </c>
      <c r="AB38" s="186">
        <f t="shared" si="35"/>
        <v>1.4315299790399996</v>
      </c>
      <c r="AC38" s="187"/>
    </row>
    <row r="39" spans="2:29" ht="16.5" customHeight="1">
      <c r="B39" s="130"/>
      <c r="C39" s="154">
        <v>5</v>
      </c>
      <c r="D39" s="188" t="s">
        <v>144</v>
      </c>
      <c r="E39" s="167">
        <v>132</v>
      </c>
      <c r="F39" s="168">
        <v>43.4</v>
      </c>
      <c r="G39" s="169">
        <f t="shared" si="18"/>
        <v>25.77659238</v>
      </c>
      <c r="H39" s="170">
        <v>36174.37430555555</v>
      </c>
      <c r="I39" s="170">
        <v>36174.54791666667</v>
      </c>
      <c r="J39" s="171">
        <f t="shared" si="19"/>
        <v>4.1666666668024845</v>
      </c>
      <c r="K39" s="172">
        <f t="shared" si="20"/>
        <v>250</v>
      </c>
      <c r="L39" s="173" t="s">
        <v>121</v>
      </c>
      <c r="M39" s="173" t="str">
        <f t="shared" si="21"/>
        <v>--</v>
      </c>
      <c r="N39" s="174" t="str">
        <f t="shared" si="22"/>
        <v>--</v>
      </c>
      <c r="O39" s="175">
        <f t="shared" si="23"/>
        <v>32.24651706738</v>
      </c>
      <c r="P39" s="176" t="str">
        <f t="shared" si="24"/>
        <v>--</v>
      </c>
      <c r="Q39" s="177" t="str">
        <f t="shared" si="25"/>
        <v>--</v>
      </c>
      <c r="R39" s="178" t="str">
        <f t="shared" si="26"/>
        <v>--</v>
      </c>
      <c r="S39" s="179" t="str">
        <f t="shared" si="27"/>
        <v>--</v>
      </c>
      <c r="T39" s="180" t="str">
        <f t="shared" si="28"/>
        <v>--</v>
      </c>
      <c r="U39" s="181" t="str">
        <f t="shared" si="29"/>
        <v>--</v>
      </c>
      <c r="V39" s="182" t="str">
        <f t="shared" si="30"/>
        <v>--</v>
      </c>
      <c r="W39" s="183" t="str">
        <f t="shared" si="31"/>
        <v>--</v>
      </c>
      <c r="X39" s="184" t="str">
        <f t="shared" si="32"/>
        <v>--</v>
      </c>
      <c r="Y39" s="185" t="str">
        <f t="shared" si="33"/>
        <v>SI</v>
      </c>
      <c r="Z39" s="186">
        <f t="shared" si="34"/>
        <v>32.24651706738</v>
      </c>
      <c r="AA39" s="186">
        <v>25.172591975999996</v>
      </c>
      <c r="AB39" s="186">
        <f t="shared" si="35"/>
        <v>7.073925091380001</v>
      </c>
      <c r="AC39" s="187"/>
    </row>
    <row r="40" spans="2:29" ht="16.5" customHeight="1">
      <c r="B40" s="130"/>
      <c r="C40" s="154">
        <v>6</v>
      </c>
      <c r="D40" s="188" t="s">
        <v>142</v>
      </c>
      <c r="E40" s="167">
        <v>132</v>
      </c>
      <c r="F40" s="168">
        <v>56.5</v>
      </c>
      <c r="G40" s="169">
        <f t="shared" si="18"/>
        <v>33.55708455</v>
      </c>
      <c r="H40" s="170">
        <v>36175.4125</v>
      </c>
      <c r="I40" s="170">
        <v>36175.51527777778</v>
      </c>
      <c r="J40" s="171">
        <f t="shared" si="19"/>
        <v>2.4666666666744277</v>
      </c>
      <c r="K40" s="172">
        <f t="shared" si="20"/>
        <v>148</v>
      </c>
      <c r="L40" s="173" t="s">
        <v>121</v>
      </c>
      <c r="M40" s="173" t="str">
        <f t="shared" si="21"/>
        <v>--</v>
      </c>
      <c r="N40" s="174" t="str">
        <f t="shared" si="22"/>
        <v>--</v>
      </c>
      <c r="O40" s="175">
        <f t="shared" si="23"/>
        <v>24.865799651550002</v>
      </c>
      <c r="P40" s="176" t="str">
        <f t="shared" si="24"/>
        <v>--</v>
      </c>
      <c r="Q40" s="177" t="str">
        <f t="shared" si="25"/>
        <v>--</v>
      </c>
      <c r="R40" s="178" t="str">
        <f t="shared" si="26"/>
        <v>--</v>
      </c>
      <c r="S40" s="179" t="str">
        <f t="shared" si="27"/>
        <v>--</v>
      </c>
      <c r="T40" s="180" t="str">
        <f t="shared" si="28"/>
        <v>--</v>
      </c>
      <c r="U40" s="181" t="str">
        <f t="shared" si="29"/>
        <v>--</v>
      </c>
      <c r="V40" s="182" t="str">
        <f t="shared" si="30"/>
        <v>--</v>
      </c>
      <c r="W40" s="183" t="str">
        <f t="shared" si="31"/>
        <v>--</v>
      </c>
      <c r="X40" s="184" t="str">
        <f t="shared" si="32"/>
        <v>--</v>
      </c>
      <c r="Y40" s="185" t="str">
        <f t="shared" si="33"/>
        <v>SI</v>
      </c>
      <c r="Z40" s="186">
        <f t="shared" si="34"/>
        <v>24.865799651550002</v>
      </c>
      <c r="AA40" s="186">
        <v>19.41098406</v>
      </c>
      <c r="AB40" s="186">
        <f t="shared" si="35"/>
        <v>5.454815591550002</v>
      </c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472"/>
      <c r="AA41" s="472"/>
      <c r="AB41" s="472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49912.72</v>
      </c>
      <c r="AA42" s="442">
        <f>ROUND(SUM(AA18:AA41),2)</f>
        <v>38792.11</v>
      </c>
      <c r="AB42" s="442">
        <f>ROUND(SUM(AB18:AB41),2)</f>
        <v>11120.61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34:AB3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2">
    <pageSetUpPr fitToPage="1"/>
  </sheetPr>
  <dimension ref="A1:AC57"/>
  <sheetViews>
    <sheetView zoomScale="75" zoomScaleNormal="75" workbookViewId="0" topLeftCell="C11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240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59.993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218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(5)'!Z42</f>
        <v>49912.72</v>
      </c>
      <c r="AA18" s="148">
        <f>+'LI (5)'!AA42</f>
        <v>38792.11</v>
      </c>
      <c r="AB18" s="148">
        <f>+'LI (5)'!AB42</f>
        <v>11120.61</v>
      </c>
      <c r="AC18" s="88"/>
    </row>
    <row r="19" spans="2:29" s="149" customFormat="1" ht="16.5" customHeight="1">
      <c r="B19" s="130"/>
      <c r="C19" s="150"/>
      <c r="D19" s="151"/>
      <c r="E19" s="150"/>
      <c r="F19" s="150"/>
      <c r="G19" s="152"/>
      <c r="H19" s="150"/>
      <c r="I19" s="153"/>
      <c r="J19" s="154"/>
      <c r="K19" s="153"/>
      <c r="L19" s="150"/>
      <c r="M19" s="151"/>
      <c r="N19" s="154"/>
      <c r="O19" s="155"/>
      <c r="P19" s="156"/>
      <c r="Q19" s="157"/>
      <c r="R19" s="158"/>
      <c r="S19" s="159"/>
      <c r="T19" s="160"/>
      <c r="U19" s="161"/>
      <c r="V19" s="162"/>
      <c r="W19" s="163"/>
      <c r="X19" s="164"/>
      <c r="Y19" s="154"/>
      <c r="Z19" s="165"/>
      <c r="AA19" s="165"/>
      <c r="AB19" s="165"/>
      <c r="AC19" s="166"/>
    </row>
    <row r="20" spans="2:29" ht="16.5" customHeight="1">
      <c r="B20" s="130"/>
      <c r="C20" s="154">
        <v>7</v>
      </c>
      <c r="D20" s="154" t="s">
        <v>128</v>
      </c>
      <c r="E20" s="167">
        <v>132</v>
      </c>
      <c r="F20" s="168">
        <v>40.3</v>
      </c>
      <c r="G20" s="169">
        <f>F20*$E$14/100*$E$15</f>
        <v>23.93540721</v>
      </c>
      <c r="H20" s="170">
        <v>36179.43125</v>
      </c>
      <c r="I20" s="170">
        <v>36179.501388888886</v>
      </c>
      <c r="J20" s="171">
        <f aca="true" t="shared" si="0" ref="J20:J33">IF(H20="","",(I20-H20)*24)</f>
        <v>1.68333333323244</v>
      </c>
      <c r="K20" s="172">
        <f aca="true" t="shared" si="1" ref="K20:K33">IF(I20="","",ROUND((I20-H20)*24*60,0))</f>
        <v>101</v>
      </c>
      <c r="L20" s="173" t="s">
        <v>121</v>
      </c>
      <c r="M20" s="173" t="str">
        <f aca="true" t="shared" si="2" ref="M20:M33">IF(D20="","","--")</f>
        <v>--</v>
      </c>
      <c r="N20" s="174" t="str">
        <f aca="true" t="shared" si="3" ref="N20:N33">IF(D20="","",IF(OR(L20="P",L20="RP"),"--","NO"))</f>
        <v>--</v>
      </c>
      <c r="O20" s="175">
        <f aca="true" t="shared" si="4" ref="O20:O33">IF(L20="P",ROUND(K20/60,2)*G20*$J$14*0.01,"--")</f>
        <v>12.06344523384</v>
      </c>
      <c r="P20" s="176" t="str">
        <f aca="true" t="shared" si="5" ref="P20:P33">IF(L20="RP",ROUND(K20/60,2)*G20*$J$14*0.01*M20/100,"--")</f>
        <v>--</v>
      </c>
      <c r="Q20" s="177" t="str">
        <f aca="true" t="shared" si="6" ref="Q20:Q33">IF(N20="SI","--",IF(L20="F",ROUND(G20*$J$14,2),"--"))</f>
        <v>--</v>
      </c>
      <c r="R20" s="178" t="str">
        <f aca="true" t="shared" si="7" ref="R20:R33">IF(L20="F",IF(K20&lt;10,"--",IF(K20&gt;180,ROUND(G20*$J$14*3,2),G20*$J$14*ROUND(K20/60,2))),"--")</f>
        <v>--</v>
      </c>
      <c r="S20" s="179" t="str">
        <f aca="true" t="shared" si="8" ref="S20:S33">IF(AND(L20="F",K20&gt;180),G20*$J$14*0.1*(ROUND(K20/60,2)-3),"--")</f>
        <v>--</v>
      </c>
      <c r="T20" s="180" t="str">
        <f aca="true" t="shared" si="9" ref="T20:T33">IF(N20="SI","--",IF(L20="R",ROUND(G20*$J$14*M20/100,2),"--"))</f>
        <v>--</v>
      </c>
      <c r="U20" s="181" t="str">
        <f aca="true" t="shared" si="10" ref="U20:U33">IF(L20="R",IF(K20&lt;10,"--",IF(K20&gt;180,ROUND(G20*$J$14*3*M20/100,2),G20*$J$14*M20/100*ROUND(K20/60,2))),"--")</f>
        <v>--</v>
      </c>
      <c r="V20" s="182" t="str">
        <f aca="true" t="shared" si="11" ref="V20:V33">IF(AND(L20="R",K20&gt;180),G20*$J$14*M20/100*0.1*(ROUND(K20/60,2)-3),"--")</f>
        <v>--</v>
      </c>
      <c r="W20" s="183" t="str">
        <f aca="true" t="shared" si="12" ref="W20:W33">IF(L20="RF",G20*$J$14*0.1*ROUND(K20/60,2),"--")</f>
        <v>--</v>
      </c>
      <c r="X20" s="184" t="str">
        <f aca="true" t="shared" si="13" ref="X20:X33">IF(L20="RR",G20*$J$14*0.1*M20/100*ROUND(K20/60,2),"--")</f>
        <v>--</v>
      </c>
      <c r="Y20" s="185" t="str">
        <f aca="true" t="shared" si="14" ref="Y20:Y33">IF(D20="","","SI")</f>
        <v>SI</v>
      </c>
      <c r="Z20" s="186">
        <f aca="true" t="shared" si="15" ref="Z20:Z33">IF(D20="","",IF(Y20="SI",SUM(O20:X20),2*SUM(O20:X20)))</f>
        <v>12.06344523384</v>
      </c>
      <c r="AA20" s="186">
        <v>9.417084767999999</v>
      </c>
      <c r="AB20" s="186">
        <f aca="true" t="shared" si="16" ref="AB20:AB28">+Z20-AA20</f>
        <v>2.646360465840001</v>
      </c>
      <c r="AC20" s="187"/>
    </row>
    <row r="21" spans="2:29" ht="16.5" customHeight="1">
      <c r="B21" s="130"/>
      <c r="C21" s="154">
        <v>8</v>
      </c>
      <c r="D21" s="154" t="s">
        <v>3</v>
      </c>
      <c r="E21" s="167">
        <v>132</v>
      </c>
      <c r="F21" s="168">
        <v>16.6</v>
      </c>
      <c r="G21" s="169">
        <f aca="true" t="shared" si="17" ref="G21:G29">F21*$E$14/100*$E$15</f>
        <v>9.85924962</v>
      </c>
      <c r="H21" s="170">
        <v>36180.35833333333</v>
      </c>
      <c r="I21" s="170">
        <v>36180.458333333336</v>
      </c>
      <c r="J21" s="171">
        <f t="shared" si="0"/>
        <v>2.4000000001396984</v>
      </c>
      <c r="K21" s="172">
        <f t="shared" si="1"/>
        <v>144</v>
      </c>
      <c r="L21" s="173" t="s">
        <v>121</v>
      </c>
      <c r="M21" s="173" t="str">
        <f t="shared" si="2"/>
        <v>--</v>
      </c>
      <c r="N21" s="174" t="str">
        <f t="shared" si="3"/>
        <v>--</v>
      </c>
      <c r="O21" s="175">
        <f t="shared" si="4"/>
        <v>7.098659726399999</v>
      </c>
      <c r="P21" s="176" t="str">
        <f t="shared" si="5"/>
        <v>--</v>
      </c>
      <c r="Q21" s="177" t="str">
        <f t="shared" si="6"/>
        <v>--</v>
      </c>
      <c r="R21" s="178" t="str">
        <f t="shared" si="7"/>
        <v>--</v>
      </c>
      <c r="S21" s="179" t="str">
        <f t="shared" si="8"/>
        <v>--</v>
      </c>
      <c r="T21" s="180" t="str">
        <f t="shared" si="9"/>
        <v>--</v>
      </c>
      <c r="U21" s="181" t="str">
        <f t="shared" si="10"/>
        <v>--</v>
      </c>
      <c r="V21" s="182" t="str">
        <f t="shared" si="11"/>
        <v>--</v>
      </c>
      <c r="W21" s="183" t="str">
        <f t="shared" si="12"/>
        <v>--</v>
      </c>
      <c r="X21" s="184" t="str">
        <f t="shared" si="13"/>
        <v>--</v>
      </c>
      <c r="Y21" s="185" t="str">
        <f t="shared" si="14"/>
        <v>SI</v>
      </c>
      <c r="Z21" s="186">
        <f t="shared" si="15"/>
        <v>7.098659726399999</v>
      </c>
      <c r="AA21" s="186">
        <v>5.5414252799999995</v>
      </c>
      <c r="AB21" s="186">
        <f t="shared" si="16"/>
        <v>1.5572344463999999</v>
      </c>
      <c r="AC21" s="187"/>
    </row>
    <row r="22" spans="2:29" ht="16.5" customHeight="1">
      <c r="B22" s="130"/>
      <c r="C22" s="154">
        <v>9</v>
      </c>
      <c r="D22" s="154" t="s">
        <v>11</v>
      </c>
      <c r="E22" s="167">
        <v>132</v>
      </c>
      <c r="F22" s="168">
        <v>80.8</v>
      </c>
      <c r="G22" s="169">
        <f t="shared" si="17"/>
        <v>47.98960056</v>
      </c>
      <c r="H22" s="170">
        <v>36186.35972222222</v>
      </c>
      <c r="I22" s="170">
        <v>36186.53194444445</v>
      </c>
      <c r="J22" s="171">
        <f t="shared" si="0"/>
        <v>4.133333333360497</v>
      </c>
      <c r="K22" s="172">
        <f t="shared" si="1"/>
        <v>248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59.459115093840005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59.459115093840005</v>
      </c>
      <c r="AA22" s="186">
        <v>46.415556767999995</v>
      </c>
      <c r="AB22" s="186">
        <f t="shared" si="16"/>
        <v>13.04355832584001</v>
      </c>
      <c r="AC22" s="187"/>
    </row>
    <row r="23" spans="2:29" ht="16.5" customHeight="1">
      <c r="B23" s="130"/>
      <c r="C23" s="154">
        <v>11</v>
      </c>
      <c r="D23" s="188" t="s">
        <v>145</v>
      </c>
      <c r="E23" s="167">
        <v>132</v>
      </c>
      <c r="F23" s="168">
        <v>1</v>
      </c>
      <c r="G23" s="169">
        <f t="shared" si="17"/>
        <v>0.5939307</v>
      </c>
      <c r="H23" s="170">
        <v>36187.368055555555</v>
      </c>
      <c r="I23" s="170">
        <v>36187.501388888886</v>
      </c>
      <c r="J23" s="171">
        <f t="shared" si="0"/>
        <v>3.199999999953434</v>
      </c>
      <c r="K23" s="172">
        <f t="shared" si="1"/>
        <v>192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0.570173472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0.570173472</v>
      </c>
      <c r="AA23" s="186">
        <v>0.44509440000000006</v>
      </c>
      <c r="AB23" s="186">
        <f t="shared" si="16"/>
        <v>0.12507907199999996</v>
      </c>
      <c r="AC23" s="187"/>
    </row>
    <row r="24" spans="2:29" ht="16.5" customHeight="1">
      <c r="B24" s="130"/>
      <c r="C24" s="154">
        <v>12</v>
      </c>
      <c r="D24" s="188" t="s">
        <v>146</v>
      </c>
      <c r="E24" s="167">
        <v>132</v>
      </c>
      <c r="F24" s="168">
        <v>1</v>
      </c>
      <c r="G24" s="169">
        <f t="shared" si="17"/>
        <v>0.5939307</v>
      </c>
      <c r="H24" s="170">
        <v>36188.373611111114</v>
      </c>
      <c r="I24" s="170">
        <v>36188.51527777778</v>
      </c>
      <c r="J24" s="171">
        <f t="shared" si="0"/>
        <v>3.3999999999068677</v>
      </c>
      <c r="K24" s="172">
        <f t="shared" si="1"/>
        <v>204</v>
      </c>
      <c r="L24" s="173" t="s">
        <v>121</v>
      </c>
      <c r="M24" s="173" t="str">
        <f t="shared" si="2"/>
        <v>--</v>
      </c>
      <c r="N24" s="174" t="str">
        <f t="shared" si="3"/>
        <v>--</v>
      </c>
      <c r="O24" s="175">
        <f t="shared" si="4"/>
        <v>0.6058093139999999</v>
      </c>
      <c r="P24" s="176" t="str">
        <f t="shared" si="5"/>
        <v>--</v>
      </c>
      <c r="Q24" s="177" t="str">
        <f t="shared" si="6"/>
        <v>--</v>
      </c>
      <c r="R24" s="178" t="str">
        <f t="shared" si="7"/>
        <v>--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0.6058093139999999</v>
      </c>
      <c r="AA24" s="186">
        <v>0.4729128</v>
      </c>
      <c r="AB24" s="186">
        <f t="shared" si="16"/>
        <v>0.1328965139999999</v>
      </c>
      <c r="AC24" s="187"/>
    </row>
    <row r="25" spans="2:29" ht="16.5" customHeight="1">
      <c r="B25" s="130"/>
      <c r="C25" s="154">
        <v>13</v>
      </c>
      <c r="D25" s="188" t="s">
        <v>4</v>
      </c>
      <c r="E25" s="167">
        <v>132</v>
      </c>
      <c r="F25" s="168">
        <v>3.5</v>
      </c>
      <c r="G25" s="169">
        <f t="shared" si="17"/>
        <v>2.07875745</v>
      </c>
      <c r="H25" s="170">
        <v>36189.36944444444</v>
      </c>
      <c r="I25" s="170">
        <v>36189.59652777778</v>
      </c>
      <c r="J25" s="171">
        <f t="shared" si="0"/>
        <v>5.450000000128057</v>
      </c>
      <c r="K25" s="172">
        <f t="shared" si="1"/>
        <v>327</v>
      </c>
      <c r="L25" s="173" t="s">
        <v>121</v>
      </c>
      <c r="M25" s="173" t="str">
        <f t="shared" si="2"/>
        <v>--</v>
      </c>
      <c r="N25" s="174" t="str">
        <f t="shared" si="3"/>
        <v>--</v>
      </c>
      <c r="O25" s="175">
        <f t="shared" si="4"/>
        <v>3.39876843075</v>
      </c>
      <c r="P25" s="176" t="str">
        <f t="shared" si="5"/>
        <v>--</v>
      </c>
      <c r="Q25" s="177" t="str">
        <f t="shared" si="6"/>
        <v>--</v>
      </c>
      <c r="R25" s="178" t="str">
        <f t="shared" si="7"/>
        <v>--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3.39876843075</v>
      </c>
      <c r="AA25" s="186">
        <v>2.6531799</v>
      </c>
      <c r="AB25" s="186">
        <f t="shared" si="16"/>
        <v>0.7455885307500001</v>
      </c>
      <c r="AC25" s="187"/>
    </row>
    <row r="26" spans="2:29" ht="16.5" customHeight="1">
      <c r="B26" s="130"/>
      <c r="C26" s="154">
        <v>14</v>
      </c>
      <c r="D26" s="188" t="s">
        <v>147</v>
      </c>
      <c r="E26" s="167">
        <v>132</v>
      </c>
      <c r="F26" s="168">
        <v>1</v>
      </c>
      <c r="G26" s="169">
        <f t="shared" si="17"/>
        <v>0.5939307</v>
      </c>
      <c r="H26" s="170">
        <v>36189.39375</v>
      </c>
      <c r="I26" s="170">
        <v>36189.55</v>
      </c>
      <c r="J26" s="171">
        <f t="shared" si="0"/>
        <v>3.75</v>
      </c>
      <c r="K26" s="172">
        <f t="shared" si="1"/>
        <v>225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0.6681720375000001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0.6681720375000001</v>
      </c>
      <c r="AA26" s="186">
        <v>0.521595</v>
      </c>
      <c r="AB26" s="186">
        <f t="shared" si="16"/>
        <v>0.14657703750000006</v>
      </c>
      <c r="AC26" s="187"/>
    </row>
    <row r="27" spans="2:29" ht="16.5" customHeight="1">
      <c r="B27" s="130"/>
      <c r="C27" s="154">
        <v>15</v>
      </c>
      <c r="D27" s="188" t="s">
        <v>4</v>
      </c>
      <c r="E27" s="167">
        <v>132</v>
      </c>
      <c r="F27" s="168">
        <v>3.5</v>
      </c>
      <c r="G27" s="169">
        <f t="shared" si="17"/>
        <v>2.07875745</v>
      </c>
      <c r="H27" s="170">
        <v>36190.37430555555</v>
      </c>
      <c r="I27" s="170">
        <v>36190.53402777778</v>
      </c>
      <c r="J27" s="171">
        <f t="shared" si="0"/>
        <v>3.833333333430346</v>
      </c>
      <c r="K27" s="172">
        <f t="shared" si="1"/>
        <v>230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2.3884923100499997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2.3884923100499997</v>
      </c>
      <c r="AA27" s="186">
        <v>1.8645282600000002</v>
      </c>
      <c r="AB27" s="186">
        <f t="shared" si="16"/>
        <v>0.5239640500499996</v>
      </c>
      <c r="AC27" s="187"/>
    </row>
    <row r="28" spans="2:29" ht="16.5" customHeight="1">
      <c r="B28" s="130"/>
      <c r="C28" s="154">
        <v>16</v>
      </c>
      <c r="D28" s="188" t="s">
        <v>10</v>
      </c>
      <c r="E28" s="167">
        <v>132</v>
      </c>
      <c r="F28" s="168">
        <v>44.7</v>
      </c>
      <c r="G28" s="169">
        <f t="shared" si="17"/>
        <v>26.54870229</v>
      </c>
      <c r="H28" s="170">
        <v>36190.72708333333</v>
      </c>
      <c r="I28" s="170">
        <v>36190.79791666667</v>
      </c>
      <c r="J28" s="171">
        <f t="shared" si="0"/>
        <v>1.7000000001280569</v>
      </c>
      <c r="K28" s="172">
        <f t="shared" si="1"/>
        <v>102</v>
      </c>
      <c r="L28" s="173" t="s">
        <v>122</v>
      </c>
      <c r="M28" s="173" t="str">
        <f t="shared" si="2"/>
        <v>--</v>
      </c>
      <c r="N28" s="174" t="s">
        <v>129</v>
      </c>
      <c r="O28" s="175" t="str">
        <f t="shared" si="4"/>
        <v>--</v>
      </c>
      <c r="P28" s="176" t="str">
        <f t="shared" si="5"/>
        <v>--</v>
      </c>
      <c r="Q28" s="177" t="str">
        <f t="shared" si="6"/>
        <v>--</v>
      </c>
      <c r="R28" s="178">
        <f t="shared" si="7"/>
        <v>1353.98381679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1353.98381679</v>
      </c>
      <c r="AA28" s="186">
        <v>1056.960108</v>
      </c>
      <c r="AB28" s="186">
        <f t="shared" si="16"/>
        <v>297.02370879</v>
      </c>
      <c r="AC28" s="187"/>
    </row>
    <row r="29" spans="2:29" ht="16.5" customHeight="1" thickBot="1">
      <c r="B29" s="130"/>
      <c r="C29" s="188"/>
      <c r="D29" s="188"/>
      <c r="E29" s="556"/>
      <c r="F29" s="557"/>
      <c r="G29" s="169">
        <f t="shared" si="17"/>
        <v>0</v>
      </c>
      <c r="H29" s="558"/>
      <c r="I29" s="558"/>
      <c r="J29" s="559">
        <f t="shared" si="0"/>
      </c>
      <c r="K29" s="560">
        <f t="shared" si="1"/>
      </c>
      <c r="L29" s="561"/>
      <c r="M29" s="561">
        <f t="shared" si="2"/>
      </c>
      <c r="N29" s="562">
        <f t="shared" si="3"/>
      </c>
      <c r="O29" s="563" t="str">
        <f t="shared" si="4"/>
        <v>--</v>
      </c>
      <c r="P29" s="564" t="str">
        <f t="shared" si="5"/>
        <v>--</v>
      </c>
      <c r="Q29" s="565" t="str">
        <f t="shared" si="6"/>
        <v>--</v>
      </c>
      <c r="R29" s="566" t="str">
        <f t="shared" si="7"/>
        <v>--</v>
      </c>
      <c r="S29" s="567" t="str">
        <f t="shared" si="8"/>
        <v>--</v>
      </c>
      <c r="T29" s="568" t="str">
        <f t="shared" si="9"/>
        <v>--</v>
      </c>
      <c r="U29" s="569" t="str">
        <f t="shared" si="10"/>
        <v>--</v>
      </c>
      <c r="V29" s="570" t="str">
        <f t="shared" si="11"/>
        <v>--</v>
      </c>
      <c r="W29" s="571" t="str">
        <f t="shared" si="12"/>
        <v>--</v>
      </c>
      <c r="X29" s="572" t="str">
        <f t="shared" si="13"/>
        <v>--</v>
      </c>
      <c r="Y29" s="573">
        <f t="shared" si="14"/>
      </c>
      <c r="Z29" s="574">
        <f t="shared" si="15"/>
      </c>
      <c r="AA29" s="574" t="s">
        <v>126</v>
      </c>
      <c r="AB29" s="574"/>
      <c r="AC29" s="187"/>
    </row>
    <row r="30" spans="2:29" ht="16.5" customHeight="1" thickBot="1" thickTop="1">
      <c r="B30" s="130"/>
      <c r="C30" s="605" t="s">
        <v>229</v>
      </c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7"/>
      <c r="AC30" s="187"/>
    </row>
    <row r="31" spans="2:29" ht="16.5" customHeight="1" thickTop="1">
      <c r="B31" s="130"/>
      <c r="C31" s="534">
        <v>1</v>
      </c>
      <c r="D31" s="575" t="s">
        <v>6</v>
      </c>
      <c r="E31" s="535">
        <v>132</v>
      </c>
      <c r="F31" s="536">
        <v>40.6</v>
      </c>
      <c r="G31" s="169">
        <f aca="true" t="shared" si="18" ref="G31:G39">F31*$E$14/100*$E$15</f>
        <v>24.113586419999997</v>
      </c>
      <c r="H31" s="538">
        <v>36193.42013888889</v>
      </c>
      <c r="I31" s="538">
        <v>36193.53194444445</v>
      </c>
      <c r="J31" s="539">
        <f t="shared" si="0"/>
        <v>2.6833333333488554</v>
      </c>
      <c r="K31" s="540">
        <f t="shared" si="1"/>
        <v>161</v>
      </c>
      <c r="L31" s="541" t="s">
        <v>122</v>
      </c>
      <c r="M31" s="541" t="str">
        <f t="shared" si="2"/>
        <v>--</v>
      </c>
      <c r="N31" s="542" t="s">
        <v>129</v>
      </c>
      <c r="O31" s="543" t="str">
        <f t="shared" si="4"/>
        <v>--</v>
      </c>
      <c r="P31" s="544" t="str">
        <f t="shared" si="5"/>
        <v>--</v>
      </c>
      <c r="Q31" s="545" t="str">
        <f t="shared" si="6"/>
        <v>--</v>
      </c>
      <c r="R31" s="546">
        <f t="shared" si="7"/>
        <v>1938.7323481679998</v>
      </c>
      <c r="S31" s="547" t="str">
        <f t="shared" si="8"/>
        <v>--</v>
      </c>
      <c r="T31" s="548" t="str">
        <f t="shared" si="9"/>
        <v>--</v>
      </c>
      <c r="U31" s="549" t="str">
        <f t="shared" si="10"/>
        <v>--</v>
      </c>
      <c r="V31" s="550" t="str">
        <f t="shared" si="11"/>
        <v>--</v>
      </c>
      <c r="W31" s="551" t="str">
        <f t="shared" si="12"/>
        <v>--</v>
      </c>
      <c r="X31" s="552" t="str">
        <f t="shared" si="13"/>
        <v>--</v>
      </c>
      <c r="Y31" s="553" t="str">
        <f t="shared" si="14"/>
        <v>SI</v>
      </c>
      <c r="Z31" s="554">
        <f t="shared" si="15"/>
        <v>1938.7323481679998</v>
      </c>
      <c r="AA31" s="554">
        <v>1513.4322336000002</v>
      </c>
      <c r="AB31" s="554">
        <f aca="true" t="shared" si="19" ref="AB31:AB38">+Z31-AA31</f>
        <v>425.3001145679996</v>
      </c>
      <c r="AC31" s="187"/>
    </row>
    <row r="32" spans="2:29" ht="16.5" customHeight="1">
      <c r="B32" s="130"/>
      <c r="C32" s="154">
        <v>2</v>
      </c>
      <c r="D32" s="188" t="s">
        <v>150</v>
      </c>
      <c r="E32" s="167">
        <v>132</v>
      </c>
      <c r="F32" s="168">
        <v>1.6</v>
      </c>
      <c r="G32" s="169">
        <f t="shared" si="18"/>
        <v>0.9502891200000001</v>
      </c>
      <c r="H32" s="170">
        <v>36200.467361111114</v>
      </c>
      <c r="I32" s="170">
        <v>36200.54583333333</v>
      </c>
      <c r="J32" s="171">
        <f t="shared" si="0"/>
        <v>1.883333333185874</v>
      </c>
      <c r="K32" s="172">
        <f t="shared" si="1"/>
        <v>113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0.53596306368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0.53596306368</v>
      </c>
      <c r="AA32" s="186">
        <v>0.418388736</v>
      </c>
      <c r="AB32" s="186">
        <f t="shared" si="19"/>
        <v>0.11757432768000003</v>
      </c>
      <c r="AC32" s="187"/>
    </row>
    <row r="33" spans="2:29" ht="16.5" customHeight="1">
      <c r="B33" s="130"/>
      <c r="C33" s="154">
        <v>3</v>
      </c>
      <c r="D33" s="188" t="s">
        <v>10</v>
      </c>
      <c r="E33" s="167">
        <v>132</v>
      </c>
      <c r="F33" s="168">
        <v>44.7</v>
      </c>
      <c r="G33" s="169">
        <f t="shared" si="18"/>
        <v>26.54870229</v>
      </c>
      <c r="H33" s="170">
        <v>36205.29583333333</v>
      </c>
      <c r="I33" s="170">
        <v>36205.60763888889</v>
      </c>
      <c r="J33" s="171">
        <f t="shared" si="0"/>
        <v>7.483333333453629</v>
      </c>
      <c r="K33" s="172">
        <f t="shared" si="1"/>
        <v>449</v>
      </c>
      <c r="L33" s="173" t="s">
        <v>121</v>
      </c>
      <c r="M33" s="173" t="str">
        <f t="shared" si="2"/>
        <v>--</v>
      </c>
      <c r="N33" s="174" t="str">
        <f t="shared" si="3"/>
        <v>--</v>
      </c>
      <c r="O33" s="175">
        <f t="shared" si="4"/>
        <v>59.57528793876001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 t="str">
        <f t="shared" si="14"/>
        <v>SI</v>
      </c>
      <c r="Z33" s="186">
        <f t="shared" si="15"/>
        <v>59.57528793876001</v>
      </c>
      <c r="AA33" s="186">
        <v>46.506244752</v>
      </c>
      <c r="AB33" s="186">
        <f t="shared" si="19"/>
        <v>13.069043186760013</v>
      </c>
      <c r="AC33" s="187"/>
    </row>
    <row r="34" spans="2:29" ht="16.5" customHeight="1">
      <c r="B34" s="130"/>
      <c r="C34" s="154">
        <v>4</v>
      </c>
      <c r="D34" s="188" t="s">
        <v>151</v>
      </c>
      <c r="E34" s="167">
        <v>132</v>
      </c>
      <c r="F34" s="168">
        <v>24.9</v>
      </c>
      <c r="G34" s="169">
        <f t="shared" si="18"/>
        <v>14.788874429999998</v>
      </c>
      <c r="H34" s="170">
        <v>36207.3875</v>
      </c>
      <c r="I34" s="170">
        <v>36207.561111111114</v>
      </c>
      <c r="J34" s="171">
        <f aca="true" t="shared" si="20" ref="J34:J39">IF(H34="","",(I34-H34)*24)</f>
        <v>4.1666666668024845</v>
      </c>
      <c r="K34" s="172">
        <f aca="true" t="shared" si="21" ref="K34:K39">IF(I34="","",ROUND((I34-H34)*24*60,0))</f>
        <v>250</v>
      </c>
      <c r="L34" s="173" t="s">
        <v>121</v>
      </c>
      <c r="M34" s="173" t="str">
        <f aca="true" t="shared" si="22" ref="M34:M39">IF(D34="","","--")</f>
        <v>--</v>
      </c>
      <c r="N34" s="174" t="str">
        <f aca="true" t="shared" si="23" ref="N34:N39">IF(D34="","",IF(OR(L34="P",L34="RP"),"--","NO"))</f>
        <v>--</v>
      </c>
      <c r="O34" s="175">
        <f aca="true" t="shared" si="24" ref="O34:O39">IF(L34="P",ROUND(K34/60,2)*G34*$J$14*0.01,"--")</f>
        <v>18.500881911929998</v>
      </c>
      <c r="P34" s="176" t="str">
        <f aca="true" t="shared" si="25" ref="P34:P39">IF(L34="RP",ROUND(K34/60,2)*G34*$J$14*0.01*M34/100,"--")</f>
        <v>--</v>
      </c>
      <c r="Q34" s="177" t="str">
        <f aca="true" t="shared" si="26" ref="Q34:Q39">IF(N34="SI","--",IF(L34="F",ROUND(G34*$J$14,2),"--"))</f>
        <v>--</v>
      </c>
      <c r="R34" s="178" t="str">
        <f aca="true" t="shared" si="27" ref="R34:R39">IF(L34="F",IF(K34&lt;10,"--",IF(K34&gt;180,ROUND(G34*$J$14*3,2),G34*$J$14*ROUND(K34/60,2))),"--")</f>
        <v>--</v>
      </c>
      <c r="S34" s="179" t="str">
        <f aca="true" t="shared" si="28" ref="S34:S39">IF(AND(L34="F",K34&gt;180),G34*$J$14*0.1*(ROUND(K34/60,2)-3),"--")</f>
        <v>--</v>
      </c>
      <c r="T34" s="180" t="str">
        <f aca="true" t="shared" si="29" ref="T34:T39">IF(N34="SI","--",IF(L34="R",ROUND(G34*$J$14*M34/100,2),"--"))</f>
        <v>--</v>
      </c>
      <c r="U34" s="181" t="str">
        <f aca="true" t="shared" si="30" ref="U34:U39">IF(L34="R",IF(K34&lt;10,"--",IF(K34&gt;180,ROUND(G34*$J$14*3*M34/100,2),G34*$J$14*M34/100*ROUND(K34/60,2))),"--")</f>
        <v>--</v>
      </c>
      <c r="V34" s="182" t="str">
        <f aca="true" t="shared" si="31" ref="V34:V39">IF(AND(L34="R",K34&gt;180),G34*$J$14*M34/100*0.1*(ROUND(K34/60,2)-3),"--")</f>
        <v>--</v>
      </c>
      <c r="W34" s="183" t="str">
        <f aca="true" t="shared" si="32" ref="W34:W39">IF(L34="RF",G34*$J$14*0.1*ROUND(K34/60,2),"--")</f>
        <v>--</v>
      </c>
      <c r="X34" s="184" t="str">
        <f aca="true" t="shared" si="33" ref="X34:X39">IF(L34="RR",G34*$J$14*0.1*M34/100*ROUND(K34/60,2),"--")</f>
        <v>--</v>
      </c>
      <c r="Y34" s="185" t="str">
        <f aca="true" t="shared" si="34" ref="Y34:Y39">IF(D34="","","SI")</f>
        <v>SI</v>
      </c>
      <c r="Z34" s="186">
        <f aca="true" t="shared" si="35" ref="Z34:Z39">IF(D34="","",IF(Y34="SI",SUM(O34:X34),2*SUM(O34:X34)))</f>
        <v>18.500881911929998</v>
      </c>
      <c r="AA34" s="186">
        <v>14.442339636</v>
      </c>
      <c r="AB34" s="186">
        <f t="shared" si="19"/>
        <v>4.058542275929998</v>
      </c>
      <c r="AC34" s="187"/>
    </row>
    <row r="35" spans="2:29" ht="16.5" customHeight="1">
      <c r="B35" s="130"/>
      <c r="C35" s="154">
        <v>5</v>
      </c>
      <c r="D35" s="188" t="s">
        <v>11</v>
      </c>
      <c r="E35" s="167">
        <v>132</v>
      </c>
      <c r="F35" s="168">
        <v>80.8</v>
      </c>
      <c r="G35" s="169">
        <f t="shared" si="18"/>
        <v>47.98960056</v>
      </c>
      <c r="H35" s="170">
        <v>36208.39861111111</v>
      </c>
      <c r="I35" s="170">
        <v>36208.535416666666</v>
      </c>
      <c r="J35" s="171">
        <f t="shared" si="20"/>
        <v>3.28333333338378</v>
      </c>
      <c r="K35" s="172">
        <f t="shared" si="21"/>
        <v>197</v>
      </c>
      <c r="L35" s="173" t="s">
        <v>121</v>
      </c>
      <c r="M35" s="173" t="str">
        <f t="shared" si="22"/>
        <v>--</v>
      </c>
      <c r="N35" s="174" t="str">
        <f t="shared" si="23"/>
        <v>--</v>
      </c>
      <c r="O35" s="175">
        <f t="shared" si="24"/>
        <v>47.22176695104</v>
      </c>
      <c r="P35" s="176" t="str">
        <f t="shared" si="25"/>
        <v>--</v>
      </c>
      <c r="Q35" s="177" t="str">
        <f t="shared" si="26"/>
        <v>--</v>
      </c>
      <c r="R35" s="178" t="str">
        <f t="shared" si="27"/>
        <v>--</v>
      </c>
      <c r="S35" s="179" t="str">
        <f t="shared" si="28"/>
        <v>--</v>
      </c>
      <c r="T35" s="180" t="str">
        <f t="shared" si="29"/>
        <v>--</v>
      </c>
      <c r="U35" s="181" t="str">
        <f t="shared" si="30"/>
        <v>--</v>
      </c>
      <c r="V35" s="182" t="str">
        <f t="shared" si="31"/>
        <v>--</v>
      </c>
      <c r="W35" s="183" t="str">
        <f t="shared" si="32"/>
        <v>--</v>
      </c>
      <c r="X35" s="184" t="str">
        <f t="shared" si="33"/>
        <v>--</v>
      </c>
      <c r="Y35" s="185" t="str">
        <f t="shared" si="34"/>
        <v>SI</v>
      </c>
      <c r="Z35" s="186">
        <f t="shared" si="35"/>
        <v>47.22176695104</v>
      </c>
      <c r="AA35" s="186">
        <v>36.862718208</v>
      </c>
      <c r="AB35" s="186">
        <f t="shared" si="19"/>
        <v>10.359048743040006</v>
      </c>
      <c r="AC35" s="187"/>
    </row>
    <row r="36" spans="2:29" ht="16.5" customHeight="1">
      <c r="B36" s="130"/>
      <c r="C36" s="154">
        <v>6</v>
      </c>
      <c r="D36" s="188" t="s">
        <v>152</v>
      </c>
      <c r="E36" s="167">
        <v>132</v>
      </c>
      <c r="F36" s="168">
        <v>24.9</v>
      </c>
      <c r="G36" s="169">
        <f t="shared" si="18"/>
        <v>14.788874429999998</v>
      </c>
      <c r="H36" s="170">
        <v>36209.388194444444</v>
      </c>
      <c r="I36" s="170">
        <v>36209.57152777778</v>
      </c>
      <c r="J36" s="171">
        <f t="shared" si="20"/>
        <v>4.400000000023283</v>
      </c>
      <c r="K36" s="172">
        <f t="shared" si="21"/>
        <v>264</v>
      </c>
      <c r="L36" s="173" t="s">
        <v>121</v>
      </c>
      <c r="M36" s="173" t="str">
        <f t="shared" si="22"/>
        <v>--</v>
      </c>
      <c r="N36" s="174" t="str">
        <f t="shared" si="23"/>
        <v>--</v>
      </c>
      <c r="O36" s="175">
        <f t="shared" si="24"/>
        <v>19.5213142476</v>
      </c>
      <c r="P36" s="176" t="str">
        <f t="shared" si="25"/>
        <v>--</v>
      </c>
      <c r="Q36" s="177" t="str">
        <f t="shared" si="26"/>
        <v>--</v>
      </c>
      <c r="R36" s="178" t="str">
        <f t="shared" si="27"/>
        <v>--</v>
      </c>
      <c r="S36" s="179" t="str">
        <f t="shared" si="28"/>
        <v>--</v>
      </c>
      <c r="T36" s="180" t="str">
        <f t="shared" si="29"/>
        <v>--</v>
      </c>
      <c r="U36" s="181" t="str">
        <f t="shared" si="30"/>
        <v>--</v>
      </c>
      <c r="V36" s="182" t="str">
        <f t="shared" si="31"/>
        <v>--</v>
      </c>
      <c r="W36" s="183" t="str">
        <f t="shared" si="32"/>
        <v>--</v>
      </c>
      <c r="X36" s="184" t="str">
        <f t="shared" si="33"/>
        <v>--</v>
      </c>
      <c r="Y36" s="185" t="str">
        <f t="shared" si="34"/>
        <v>SI</v>
      </c>
      <c r="Z36" s="186">
        <f t="shared" si="35"/>
        <v>19.5213142476</v>
      </c>
      <c r="AA36" s="186">
        <v>15.23891952</v>
      </c>
      <c r="AB36" s="186">
        <f t="shared" si="19"/>
        <v>4.2823947276</v>
      </c>
      <c r="AC36" s="187"/>
    </row>
    <row r="37" spans="2:29" ht="16.5" customHeight="1">
      <c r="B37" s="130"/>
      <c r="C37" s="154">
        <v>7</v>
      </c>
      <c r="D37" s="188" t="s">
        <v>8</v>
      </c>
      <c r="E37" s="167">
        <v>132</v>
      </c>
      <c r="F37" s="168">
        <v>75.1</v>
      </c>
      <c r="G37" s="169">
        <f t="shared" si="18"/>
        <v>44.60419557</v>
      </c>
      <c r="H37" s="170">
        <v>36219.65833333333</v>
      </c>
      <c r="I37" s="170">
        <v>36219.6625</v>
      </c>
      <c r="J37" s="171">
        <f t="shared" si="20"/>
        <v>0.09999999997671694</v>
      </c>
      <c r="K37" s="172">
        <f t="shared" si="21"/>
        <v>6</v>
      </c>
      <c r="L37" s="173" t="s">
        <v>122</v>
      </c>
      <c r="M37" s="173" t="str">
        <f t="shared" si="22"/>
        <v>--</v>
      </c>
      <c r="N37" s="174" t="str">
        <f t="shared" si="23"/>
        <v>NO</v>
      </c>
      <c r="O37" s="175" t="str">
        <f t="shared" si="24"/>
        <v>--</v>
      </c>
      <c r="P37" s="176" t="str">
        <f t="shared" si="25"/>
        <v>--</v>
      </c>
      <c r="Q37" s="177">
        <f t="shared" si="26"/>
        <v>1338.13</v>
      </c>
      <c r="R37" s="178" t="str">
        <f t="shared" si="27"/>
        <v>--</v>
      </c>
      <c r="S37" s="179" t="str">
        <f t="shared" si="28"/>
        <v>--</v>
      </c>
      <c r="T37" s="180" t="str">
        <f t="shared" si="29"/>
        <v>--</v>
      </c>
      <c r="U37" s="181" t="str">
        <f t="shared" si="30"/>
        <v>--</v>
      </c>
      <c r="V37" s="182" t="str">
        <f t="shared" si="31"/>
        <v>--</v>
      </c>
      <c r="W37" s="183" t="str">
        <f t="shared" si="32"/>
        <v>--</v>
      </c>
      <c r="X37" s="184" t="str">
        <f t="shared" si="33"/>
        <v>--</v>
      </c>
      <c r="Y37" s="185" t="str">
        <f t="shared" si="34"/>
        <v>SI</v>
      </c>
      <c r="Z37" s="186">
        <f t="shared" si="35"/>
        <v>1338.13</v>
      </c>
      <c r="AA37" s="186">
        <v>1044.58</v>
      </c>
      <c r="AB37" s="186">
        <f t="shared" si="19"/>
        <v>293.5500000000002</v>
      </c>
      <c r="AC37" s="187"/>
    </row>
    <row r="38" spans="2:29" ht="16.5" customHeight="1">
      <c r="B38" s="130"/>
      <c r="C38" s="154">
        <v>8</v>
      </c>
      <c r="D38" s="188" t="s">
        <v>9</v>
      </c>
      <c r="E38" s="167">
        <v>132</v>
      </c>
      <c r="F38" s="168">
        <v>25.5</v>
      </c>
      <c r="G38" s="169">
        <f t="shared" si="18"/>
        <v>15.145232850000001</v>
      </c>
      <c r="H38" s="170">
        <v>36219.65833333333</v>
      </c>
      <c r="I38" s="170">
        <v>36219.66805555556</v>
      </c>
      <c r="J38" s="171">
        <f t="shared" si="20"/>
        <v>0.2333333333954215</v>
      </c>
      <c r="K38" s="172">
        <f t="shared" si="21"/>
        <v>14</v>
      </c>
      <c r="L38" s="173" t="s">
        <v>122</v>
      </c>
      <c r="M38" s="173" t="str">
        <f t="shared" si="22"/>
        <v>--</v>
      </c>
      <c r="N38" s="174" t="str">
        <f t="shared" si="23"/>
        <v>NO</v>
      </c>
      <c r="O38" s="175" t="str">
        <f t="shared" si="24"/>
        <v>--</v>
      </c>
      <c r="P38" s="176" t="str">
        <f t="shared" si="25"/>
        <v>--</v>
      </c>
      <c r="Q38" s="177">
        <f t="shared" si="26"/>
        <v>454.36</v>
      </c>
      <c r="R38" s="178">
        <f t="shared" si="27"/>
        <v>104.502106665</v>
      </c>
      <c r="S38" s="179" t="str">
        <f t="shared" si="28"/>
        <v>--</v>
      </c>
      <c r="T38" s="180" t="str">
        <f t="shared" si="29"/>
        <v>--</v>
      </c>
      <c r="U38" s="181" t="str">
        <f t="shared" si="30"/>
        <v>--</v>
      </c>
      <c r="V38" s="182" t="str">
        <f t="shared" si="31"/>
        <v>--</v>
      </c>
      <c r="W38" s="183" t="str">
        <f t="shared" si="32"/>
        <v>--</v>
      </c>
      <c r="X38" s="184" t="str">
        <f t="shared" si="33"/>
        <v>--</v>
      </c>
      <c r="Y38" s="185" t="str">
        <f t="shared" si="34"/>
        <v>SI</v>
      </c>
      <c r="Z38" s="186">
        <f t="shared" si="35"/>
        <v>558.862106665</v>
      </c>
      <c r="AA38" s="186">
        <v>436.25745800000004</v>
      </c>
      <c r="AB38" s="186">
        <f t="shared" si="19"/>
        <v>122.60464866500001</v>
      </c>
      <c r="AC38" s="187"/>
    </row>
    <row r="39" spans="2:29" ht="16.5" customHeight="1">
      <c r="B39" s="130"/>
      <c r="C39" s="154"/>
      <c r="D39" s="188"/>
      <c r="E39" s="167"/>
      <c r="F39" s="168"/>
      <c r="G39" s="169">
        <f t="shared" si="18"/>
        <v>0</v>
      </c>
      <c r="H39" s="170"/>
      <c r="I39" s="170"/>
      <c r="J39" s="171">
        <f t="shared" si="20"/>
      </c>
      <c r="K39" s="172">
        <f t="shared" si="21"/>
      </c>
      <c r="L39" s="173"/>
      <c r="M39" s="173">
        <f t="shared" si="22"/>
      </c>
      <c r="N39" s="174">
        <f t="shared" si="23"/>
      </c>
      <c r="O39" s="175" t="str">
        <f t="shared" si="24"/>
        <v>--</v>
      </c>
      <c r="P39" s="176" t="str">
        <f t="shared" si="25"/>
        <v>--</v>
      </c>
      <c r="Q39" s="177" t="str">
        <f t="shared" si="26"/>
        <v>--</v>
      </c>
      <c r="R39" s="178" t="str">
        <f t="shared" si="27"/>
        <v>--</v>
      </c>
      <c r="S39" s="179" t="str">
        <f t="shared" si="28"/>
        <v>--</v>
      </c>
      <c r="T39" s="180" t="str">
        <f t="shared" si="29"/>
        <v>--</v>
      </c>
      <c r="U39" s="181" t="str">
        <f t="shared" si="30"/>
        <v>--</v>
      </c>
      <c r="V39" s="182" t="str">
        <f t="shared" si="31"/>
        <v>--</v>
      </c>
      <c r="W39" s="183" t="str">
        <f t="shared" si="32"/>
        <v>--</v>
      </c>
      <c r="X39" s="184" t="str">
        <f t="shared" si="33"/>
        <v>--</v>
      </c>
      <c r="Y39" s="185">
        <f t="shared" si="34"/>
      </c>
      <c r="Z39" s="186">
        <f t="shared" si="35"/>
      </c>
      <c r="AA39" s="186" t="s">
        <v>126</v>
      </c>
      <c r="AB39" s="186"/>
      <c r="AC39" s="187"/>
    </row>
    <row r="40" spans="2:29" ht="16.5" customHeight="1" thickBot="1">
      <c r="B40" s="130"/>
      <c r="C40" s="189"/>
      <c r="D40" s="190"/>
      <c r="E40" s="189"/>
      <c r="F40" s="191"/>
      <c r="G40" s="192"/>
      <c r="H40" s="193"/>
      <c r="I40" s="193"/>
      <c r="J40" s="194"/>
      <c r="K40" s="194"/>
      <c r="L40" s="193"/>
      <c r="M40" s="193"/>
      <c r="N40" s="195"/>
      <c r="O40" s="196"/>
      <c r="P40" s="197"/>
      <c r="Q40" s="198"/>
      <c r="R40" s="199"/>
      <c r="S40" s="200"/>
      <c r="T40" s="201"/>
      <c r="U40" s="202"/>
      <c r="V40" s="203"/>
      <c r="W40" s="204"/>
      <c r="X40" s="205"/>
      <c r="Y40" s="206"/>
      <c r="Z40" s="472"/>
      <c r="AA40" s="472"/>
      <c r="AB40" s="472"/>
      <c r="AC40" s="187"/>
    </row>
    <row r="41" spans="2:29" ht="16.5" customHeight="1" thickBot="1" thickTop="1">
      <c r="B41" s="85"/>
      <c r="C41" s="208" t="s">
        <v>120</v>
      </c>
      <c r="D41" s="209" t="s">
        <v>92</v>
      </c>
      <c r="E41" s="98"/>
      <c r="F41" s="210"/>
      <c r="G41" s="211"/>
      <c r="H41" s="211"/>
      <c r="I41" s="211"/>
      <c r="J41" s="211"/>
      <c r="K41" s="211"/>
      <c r="L41" s="211"/>
      <c r="M41" s="211"/>
      <c r="N41" s="212"/>
      <c r="O41" s="213"/>
      <c r="P41" s="213"/>
      <c r="Q41" s="214"/>
      <c r="R41" s="214"/>
      <c r="S41" s="215"/>
      <c r="T41" s="214"/>
      <c r="U41" s="214"/>
      <c r="V41" s="215"/>
      <c r="W41" s="215"/>
      <c r="X41" s="215"/>
      <c r="Y41" s="216"/>
      <c r="Z41" s="442">
        <f>ROUND(SUM(Z18:Z40),2)</f>
        <v>55334.04</v>
      </c>
      <c r="AA41" s="442">
        <f>ROUND(SUM(AA18:AA40),2)</f>
        <v>43024.14</v>
      </c>
      <c r="AB41" s="442">
        <f>ROUND(SUM(AB18:AB40),2)</f>
        <v>12309.9</v>
      </c>
      <c r="AC41" s="187"/>
    </row>
    <row r="42" spans="2:29" s="217" customFormat="1" ht="9.75" thickTop="1">
      <c r="B42" s="218"/>
      <c r="C42" s="219"/>
      <c r="D42" s="220" t="s">
        <v>93</v>
      </c>
      <c r="AC42" s="221"/>
    </row>
    <row r="43" spans="2:29" ht="16.5" customHeight="1" thickBot="1"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4"/>
    </row>
    <row r="44" ht="13.5" thickTop="1"/>
    <row r="53" ht="12.75">
      <c r="H53" s="225"/>
    </row>
    <row r="54" ht="12.75">
      <c r="H54" s="225"/>
    </row>
    <row r="55" ht="12.75">
      <c r="H55" s="225"/>
    </row>
    <row r="56" spans="8:9" ht="12.75">
      <c r="H56" s="226"/>
      <c r="I56" s="227"/>
    </row>
    <row r="57" ht="12.75">
      <c r="H57" s="225"/>
    </row>
  </sheetData>
  <mergeCells count="1">
    <mergeCell ref="C30:AB3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14">
    <pageSetUpPr fitToPage="1"/>
  </sheetPr>
  <dimension ref="A1:AC57"/>
  <sheetViews>
    <sheetView zoomScale="75" zoomScaleNormal="75" workbookViewId="0" topLeftCell="A10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240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59.993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219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(6)'!Z41</f>
        <v>55334.04</v>
      </c>
      <c r="AA18" s="148">
        <f>+'LI (6)'!AA41</f>
        <v>43024.14</v>
      </c>
      <c r="AB18" s="148">
        <f>+'LI (6)'!AB41</f>
        <v>12309.9</v>
      </c>
      <c r="AC18" s="88"/>
    </row>
    <row r="19" spans="2:29" s="149" customFormat="1" ht="16.5" customHeight="1" thickBot="1">
      <c r="B19" s="130"/>
      <c r="C19" s="518"/>
      <c r="D19" s="519"/>
      <c r="E19" s="518"/>
      <c r="F19" s="518"/>
      <c r="G19" s="520"/>
      <c r="H19" s="518"/>
      <c r="I19" s="521"/>
      <c r="J19" s="188"/>
      <c r="K19" s="521"/>
      <c r="L19" s="518"/>
      <c r="M19" s="519"/>
      <c r="N19" s="188"/>
      <c r="O19" s="522"/>
      <c r="P19" s="523"/>
      <c r="Q19" s="524"/>
      <c r="R19" s="525"/>
      <c r="S19" s="526"/>
      <c r="T19" s="527"/>
      <c r="U19" s="528"/>
      <c r="V19" s="529"/>
      <c r="W19" s="530"/>
      <c r="X19" s="531"/>
      <c r="Y19" s="188"/>
      <c r="Z19" s="532"/>
      <c r="AA19" s="532"/>
      <c r="AB19" s="532"/>
      <c r="AC19" s="166"/>
    </row>
    <row r="20" spans="2:29" ht="16.5" customHeight="1" thickBot="1" thickTop="1">
      <c r="B20" s="130"/>
      <c r="C20" s="605" t="s">
        <v>230</v>
      </c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7"/>
      <c r="AC20" s="187"/>
    </row>
    <row r="21" spans="2:29" ht="16.5" customHeight="1" thickTop="1">
      <c r="B21" s="130"/>
      <c r="C21" s="534">
        <v>1</v>
      </c>
      <c r="D21" s="534" t="s">
        <v>142</v>
      </c>
      <c r="E21" s="535">
        <v>132</v>
      </c>
      <c r="F21" s="536">
        <v>56.5</v>
      </c>
      <c r="G21" s="537">
        <f>F21*$E$14/100*$E$15</f>
        <v>33.55708455</v>
      </c>
      <c r="H21" s="538">
        <v>36223.43541666667</v>
      </c>
      <c r="I21" s="538">
        <v>36223.48819444444</v>
      </c>
      <c r="J21" s="539">
        <f aca="true" t="shared" si="0" ref="J21:J39">IF(H21="","",(I21-H21)*24)</f>
        <v>1.2666666666045785</v>
      </c>
      <c r="K21" s="540">
        <f aca="true" t="shared" si="1" ref="K21:K39">IF(I21="","",ROUND((I21-H21)*24*60,0))</f>
        <v>76</v>
      </c>
      <c r="L21" s="541" t="s">
        <v>121</v>
      </c>
      <c r="M21" s="541" t="str">
        <f aca="true" t="shared" si="2" ref="M21:M39">IF(D21="","","--")</f>
        <v>--</v>
      </c>
      <c r="N21" s="542" t="str">
        <f aca="true" t="shared" si="3" ref="N21:N39">IF(D21="","",IF(OR(L21="P",L21="RP"),"--","NO"))</f>
        <v>--</v>
      </c>
      <c r="O21" s="543">
        <f aca="true" t="shared" si="4" ref="O21:O39">IF(L21="P",ROUND(K21/60,2)*G21*$J$14*0.01,"--")</f>
        <v>12.78524921355</v>
      </c>
      <c r="P21" s="544" t="str">
        <f aca="true" t="shared" si="5" ref="P21:P39">IF(L21="RP",ROUND(K21/60,2)*G21*$J$14*0.01*M21/100,"--")</f>
        <v>--</v>
      </c>
      <c r="Q21" s="545" t="str">
        <f aca="true" t="shared" si="6" ref="Q21:Q39">IF(N21="SI","--",IF(L21="F",ROUND(G21*$J$14,2),"--"))</f>
        <v>--</v>
      </c>
      <c r="R21" s="546" t="str">
        <f aca="true" t="shared" si="7" ref="R21:R39">IF(L21="F",IF(K21&lt;10,"--",IF(K21&gt;180,ROUND(G21*$J$14*3,2),G21*$J$14*ROUND(K21/60,2))),"--")</f>
        <v>--</v>
      </c>
      <c r="S21" s="547" t="str">
        <f aca="true" t="shared" si="8" ref="S21:S39">IF(AND(L21="F",K21&gt;180),G21*$J$14*0.1*(ROUND(K21/60,2)-3),"--")</f>
        <v>--</v>
      </c>
      <c r="T21" s="548" t="str">
        <f aca="true" t="shared" si="9" ref="T21:T39">IF(N21="SI","--",IF(L21="R",ROUND(G21*$J$14*M21/100,2),"--"))</f>
        <v>--</v>
      </c>
      <c r="U21" s="549" t="str">
        <f aca="true" t="shared" si="10" ref="U21:U39">IF(L21="R",IF(K21&lt;10,"--",IF(K21&gt;180,ROUND(G21*$J$14*3*M21/100,2),G21*$J$14*M21/100*ROUND(K21/60,2))),"--")</f>
        <v>--</v>
      </c>
      <c r="V21" s="550" t="str">
        <f aca="true" t="shared" si="11" ref="V21:V39">IF(AND(L21="R",K21&gt;180),G21*$J$14*M21/100*0.1*(ROUND(K21/60,2)-3),"--")</f>
        <v>--</v>
      </c>
      <c r="W21" s="551" t="str">
        <f aca="true" t="shared" si="12" ref="W21:W39">IF(L21="RF",G21*$J$14*0.1*ROUND(K21/60,2),"--")</f>
        <v>--</v>
      </c>
      <c r="X21" s="552" t="str">
        <f aca="true" t="shared" si="13" ref="X21:X39">IF(L21="RR",G21*$J$14*0.1*M21/100*ROUND(K21/60,2),"--")</f>
        <v>--</v>
      </c>
      <c r="Y21" s="553" t="str">
        <f aca="true" t="shared" si="14" ref="Y21:Y39">IF(D21="","","SI")</f>
        <v>SI</v>
      </c>
      <c r="Z21" s="554">
        <f aca="true" t="shared" si="15" ref="Z21:Z39">IF(D21="","",IF(Y21="SI",SUM(O21:X21),2*SUM(O21:X21)))</f>
        <v>12.78524921355</v>
      </c>
      <c r="AA21" s="554">
        <v>9.980546459999998</v>
      </c>
      <c r="AB21" s="554">
        <f>+Z21-AA21</f>
        <v>2.8047027535500018</v>
      </c>
      <c r="AC21" s="187"/>
    </row>
    <row r="22" spans="2:29" ht="16.5" customHeight="1">
      <c r="B22" s="130"/>
      <c r="C22" s="154">
        <v>2</v>
      </c>
      <c r="D22" s="154" t="s">
        <v>6</v>
      </c>
      <c r="E22" s="167">
        <v>132</v>
      </c>
      <c r="F22" s="168">
        <v>40.6</v>
      </c>
      <c r="G22" s="537">
        <f aca="true" t="shared" si="16" ref="G22:G39">F22*$E$14/100*$E$15</f>
        <v>24.113586419999997</v>
      </c>
      <c r="H22" s="170">
        <v>36230.441666666666</v>
      </c>
      <c r="I22" s="170">
        <v>36230.50625</v>
      </c>
      <c r="J22" s="171">
        <f t="shared" si="0"/>
        <v>1.5499999999883585</v>
      </c>
      <c r="K22" s="172">
        <f t="shared" si="1"/>
        <v>93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11.2128176853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11.2128176853</v>
      </c>
      <c r="AA22" s="186">
        <v>8.75305956</v>
      </c>
      <c r="AB22" s="186">
        <f aca="true" t="shared" si="17" ref="AB22:AB39">+Z22-AA22</f>
        <v>2.4597581252999987</v>
      </c>
      <c r="AC22" s="187"/>
    </row>
    <row r="23" spans="2:29" ht="16.5" customHeight="1">
      <c r="B23" s="130"/>
      <c r="C23" s="154">
        <v>3</v>
      </c>
      <c r="D23" s="154" t="s">
        <v>133</v>
      </c>
      <c r="E23" s="167">
        <v>132</v>
      </c>
      <c r="F23" s="168">
        <v>10</v>
      </c>
      <c r="G23" s="537">
        <f t="shared" si="16"/>
        <v>5.939307</v>
      </c>
      <c r="H23" s="170">
        <v>36231.356944444444</v>
      </c>
      <c r="I23" s="170">
        <v>36231.541666666664</v>
      </c>
      <c r="J23" s="171">
        <f t="shared" si="0"/>
        <v>4.433333333290648</v>
      </c>
      <c r="K23" s="172">
        <f t="shared" si="1"/>
        <v>266</v>
      </c>
      <c r="L23" s="173" t="s">
        <v>121</v>
      </c>
      <c r="M23" s="173" t="str">
        <f t="shared" si="2"/>
        <v>--</v>
      </c>
      <c r="N23" s="174" t="str">
        <f t="shared" si="3"/>
        <v>--</v>
      </c>
      <c r="O23" s="175">
        <f t="shared" si="4"/>
        <v>7.893339003</v>
      </c>
      <c r="P23" s="176" t="str">
        <f t="shared" si="5"/>
        <v>--</v>
      </c>
      <c r="Q23" s="177" t="str">
        <f t="shared" si="6"/>
        <v>--</v>
      </c>
      <c r="R23" s="178" t="str">
        <f t="shared" si="7"/>
        <v>--</v>
      </c>
      <c r="S23" s="179" t="str">
        <f t="shared" si="8"/>
        <v>--</v>
      </c>
      <c r="T23" s="180" t="str">
        <f t="shared" si="9"/>
        <v>--</v>
      </c>
      <c r="U23" s="181" t="str">
        <f t="shared" si="10"/>
        <v>--</v>
      </c>
      <c r="V23" s="182" t="str">
        <f t="shared" si="11"/>
        <v>--</v>
      </c>
      <c r="W23" s="183" t="str">
        <f t="shared" si="12"/>
        <v>--</v>
      </c>
      <c r="X23" s="184" t="str">
        <f t="shared" si="13"/>
        <v>--</v>
      </c>
      <c r="Y23" s="185" t="str">
        <f t="shared" si="14"/>
        <v>SI</v>
      </c>
      <c r="Z23" s="186">
        <f t="shared" si="15"/>
        <v>7.893339003</v>
      </c>
      <c r="AA23" s="186">
        <v>6.1617755999999995</v>
      </c>
      <c r="AB23" s="186">
        <f t="shared" si="17"/>
        <v>1.731563403000001</v>
      </c>
      <c r="AC23" s="187"/>
    </row>
    <row r="24" spans="2:29" ht="16.5" customHeight="1">
      <c r="B24" s="130"/>
      <c r="C24" s="154">
        <v>4</v>
      </c>
      <c r="D24" s="154" t="s">
        <v>130</v>
      </c>
      <c r="E24" s="167">
        <v>132</v>
      </c>
      <c r="F24" s="168">
        <v>41</v>
      </c>
      <c r="G24" s="537">
        <f t="shared" si="16"/>
        <v>24.351158700000003</v>
      </c>
      <c r="H24" s="170">
        <v>36232.625</v>
      </c>
      <c r="I24" s="170">
        <v>36232.631944444445</v>
      </c>
      <c r="J24" s="171">
        <f t="shared" si="0"/>
        <v>0.16666666668606922</v>
      </c>
      <c r="K24" s="172">
        <f t="shared" si="1"/>
        <v>10</v>
      </c>
      <c r="L24" s="173" t="s">
        <v>122</v>
      </c>
      <c r="M24" s="173" t="str">
        <f t="shared" si="2"/>
        <v>--</v>
      </c>
      <c r="N24" s="174" t="str">
        <f t="shared" si="3"/>
        <v>NO</v>
      </c>
      <c r="O24" s="175" t="str">
        <f t="shared" si="4"/>
        <v>--</v>
      </c>
      <c r="P24" s="176" t="str">
        <f t="shared" si="5"/>
        <v>--</v>
      </c>
      <c r="Q24" s="177">
        <f t="shared" si="6"/>
        <v>730.53</v>
      </c>
      <c r="R24" s="178">
        <f t="shared" si="7"/>
        <v>124.19090937000003</v>
      </c>
      <c r="S24" s="179" t="str">
        <f t="shared" si="8"/>
        <v>--</v>
      </c>
      <c r="T24" s="180" t="str">
        <f t="shared" si="9"/>
        <v>--</v>
      </c>
      <c r="U24" s="181" t="str">
        <f t="shared" si="10"/>
        <v>--</v>
      </c>
      <c r="V24" s="182" t="str">
        <f t="shared" si="11"/>
        <v>--</v>
      </c>
      <c r="W24" s="183" t="str">
        <f t="shared" si="12"/>
        <v>--</v>
      </c>
      <c r="X24" s="184" t="str">
        <f t="shared" si="13"/>
        <v>--</v>
      </c>
      <c r="Y24" s="185" t="str">
        <f t="shared" si="14"/>
        <v>SI</v>
      </c>
      <c r="Z24" s="186">
        <f t="shared" si="15"/>
        <v>854.72090937</v>
      </c>
      <c r="AA24" s="186">
        <v>667.227124</v>
      </c>
      <c r="AB24" s="186">
        <f t="shared" si="17"/>
        <v>187.49378536999996</v>
      </c>
      <c r="AC24" s="187"/>
    </row>
    <row r="25" spans="2:29" ht="16.5" customHeight="1">
      <c r="B25" s="130"/>
      <c r="C25" s="154">
        <v>5</v>
      </c>
      <c r="D25" s="154" t="s">
        <v>131</v>
      </c>
      <c r="E25" s="167">
        <v>132</v>
      </c>
      <c r="F25" s="168">
        <v>89</v>
      </c>
      <c r="G25" s="537">
        <f t="shared" si="16"/>
        <v>52.8598323</v>
      </c>
      <c r="H25" s="170">
        <v>36232.625</v>
      </c>
      <c r="I25" s="170">
        <v>36232.64791666667</v>
      </c>
      <c r="J25" s="171">
        <f t="shared" si="0"/>
        <v>0.5500000000465661</v>
      </c>
      <c r="K25" s="172">
        <f t="shared" si="1"/>
        <v>33</v>
      </c>
      <c r="L25" s="173" t="s">
        <v>122</v>
      </c>
      <c r="M25" s="173" t="str">
        <f t="shared" si="2"/>
        <v>--</v>
      </c>
      <c r="N25" s="174" t="str">
        <f t="shared" si="3"/>
        <v>NO</v>
      </c>
      <c r="O25" s="175" t="str">
        <f t="shared" si="4"/>
        <v>--</v>
      </c>
      <c r="P25" s="176" t="str">
        <f t="shared" si="5"/>
        <v>--</v>
      </c>
      <c r="Q25" s="177">
        <f t="shared" si="6"/>
        <v>1585.79</v>
      </c>
      <c r="R25" s="178">
        <f t="shared" si="7"/>
        <v>872.1872329500001</v>
      </c>
      <c r="S25" s="179" t="str">
        <f t="shared" si="8"/>
        <v>--</v>
      </c>
      <c r="T25" s="180" t="str">
        <f t="shared" si="9"/>
        <v>--</v>
      </c>
      <c r="U25" s="181" t="str">
        <f t="shared" si="10"/>
        <v>--</v>
      </c>
      <c r="V25" s="182" t="str">
        <f t="shared" si="11"/>
        <v>--</v>
      </c>
      <c r="W25" s="183" t="str">
        <f t="shared" si="12"/>
        <v>--</v>
      </c>
      <c r="X25" s="184" t="str">
        <f t="shared" si="13"/>
        <v>--</v>
      </c>
      <c r="Y25" s="185" t="str">
        <f t="shared" si="14"/>
        <v>SI</v>
      </c>
      <c r="Z25" s="186">
        <f t="shared" si="15"/>
        <v>2457.97723295</v>
      </c>
      <c r="AA25" s="186">
        <v>1918.7753400000001</v>
      </c>
      <c r="AB25" s="186">
        <f t="shared" si="17"/>
        <v>539.20189295</v>
      </c>
      <c r="AC25" s="187"/>
    </row>
    <row r="26" spans="2:29" ht="16.5" customHeight="1">
      <c r="B26" s="130"/>
      <c r="C26" s="154">
        <v>7</v>
      </c>
      <c r="D26" s="154" t="s">
        <v>8</v>
      </c>
      <c r="E26" s="167">
        <v>132</v>
      </c>
      <c r="F26" s="168">
        <v>75.1</v>
      </c>
      <c r="G26" s="537">
        <f t="shared" si="16"/>
        <v>44.60419557</v>
      </c>
      <c r="H26" s="170">
        <v>36235.95138888889</v>
      </c>
      <c r="I26" s="170">
        <v>36235.95347222222</v>
      </c>
      <c r="J26" s="171">
        <f t="shared" si="0"/>
        <v>0.04999999998835847</v>
      </c>
      <c r="K26" s="172">
        <f t="shared" si="1"/>
        <v>3</v>
      </c>
      <c r="L26" s="173" t="s">
        <v>122</v>
      </c>
      <c r="M26" s="173" t="str">
        <f t="shared" si="2"/>
        <v>--</v>
      </c>
      <c r="N26" s="174" t="str">
        <f t="shared" si="3"/>
        <v>NO</v>
      </c>
      <c r="O26" s="175" t="str">
        <f t="shared" si="4"/>
        <v>--</v>
      </c>
      <c r="P26" s="176" t="str">
        <f t="shared" si="5"/>
        <v>--</v>
      </c>
      <c r="Q26" s="177">
        <f t="shared" si="6"/>
        <v>1338.13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1338.13</v>
      </c>
      <c r="AA26" s="186">
        <v>1044.58</v>
      </c>
      <c r="AB26" s="186">
        <f t="shared" si="17"/>
        <v>293.5500000000002</v>
      </c>
      <c r="AC26" s="187"/>
    </row>
    <row r="27" spans="2:29" ht="16.5" customHeight="1">
      <c r="B27" s="130"/>
      <c r="C27" s="154">
        <v>8</v>
      </c>
      <c r="D27" s="154" t="s">
        <v>9</v>
      </c>
      <c r="E27" s="167">
        <v>132</v>
      </c>
      <c r="F27" s="168">
        <v>25.5</v>
      </c>
      <c r="G27" s="537">
        <f t="shared" si="16"/>
        <v>15.145232850000001</v>
      </c>
      <c r="H27" s="170">
        <v>36235.95138888889</v>
      </c>
      <c r="I27" s="170">
        <v>36235.95486111111</v>
      </c>
      <c r="J27" s="171">
        <f t="shared" si="0"/>
        <v>0.08333333325572312</v>
      </c>
      <c r="K27" s="172">
        <f t="shared" si="1"/>
        <v>5</v>
      </c>
      <c r="L27" s="173" t="s">
        <v>122</v>
      </c>
      <c r="M27" s="173" t="str">
        <f t="shared" si="2"/>
        <v>--</v>
      </c>
      <c r="N27" s="174" t="str">
        <f t="shared" si="3"/>
        <v>NO</v>
      </c>
      <c r="O27" s="175" t="str">
        <f t="shared" si="4"/>
        <v>--</v>
      </c>
      <c r="P27" s="176" t="str">
        <f t="shared" si="5"/>
        <v>--</v>
      </c>
      <c r="Q27" s="177">
        <f t="shared" si="6"/>
        <v>454.36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454.36</v>
      </c>
      <c r="AA27" s="186">
        <v>354.68</v>
      </c>
      <c r="AB27" s="186">
        <f t="shared" si="17"/>
        <v>99.68</v>
      </c>
      <c r="AC27" s="187"/>
    </row>
    <row r="28" spans="2:29" ht="16.5" customHeight="1">
      <c r="B28" s="130"/>
      <c r="C28" s="154">
        <v>9</v>
      </c>
      <c r="D28" s="154" t="s">
        <v>131</v>
      </c>
      <c r="E28" s="167">
        <v>132</v>
      </c>
      <c r="F28" s="168">
        <v>89</v>
      </c>
      <c r="G28" s="537">
        <f t="shared" si="16"/>
        <v>52.8598323</v>
      </c>
      <c r="H28" s="170">
        <v>36237.43680555555</v>
      </c>
      <c r="I28" s="170">
        <v>36237.615277777775</v>
      </c>
      <c r="J28" s="171">
        <f t="shared" si="0"/>
        <v>4.283333333325572</v>
      </c>
      <c r="K28" s="172">
        <f t="shared" si="1"/>
        <v>257</v>
      </c>
      <c r="L28" s="173" t="s">
        <v>121</v>
      </c>
      <c r="M28" s="173" t="str">
        <f t="shared" si="2"/>
        <v>--</v>
      </c>
      <c r="N28" s="174" t="str">
        <f t="shared" si="3"/>
        <v>--</v>
      </c>
      <c r="O28" s="175">
        <f t="shared" si="4"/>
        <v>67.8720246732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67.8720246732</v>
      </c>
      <c r="AA28" s="186">
        <v>52.98292464</v>
      </c>
      <c r="AB28" s="186">
        <f t="shared" si="17"/>
        <v>14.889100033200002</v>
      </c>
      <c r="AC28" s="187"/>
    </row>
    <row r="29" spans="2:29" ht="16.5" customHeight="1">
      <c r="B29" s="130"/>
      <c r="C29" s="154">
        <v>10</v>
      </c>
      <c r="D29" s="188" t="s">
        <v>130</v>
      </c>
      <c r="E29" s="167">
        <v>132</v>
      </c>
      <c r="F29" s="168">
        <v>41</v>
      </c>
      <c r="G29" s="537">
        <f t="shared" si="16"/>
        <v>24.351158700000003</v>
      </c>
      <c r="H29" s="170">
        <v>36237.43819444445</v>
      </c>
      <c r="I29" s="170">
        <v>36237.614583333336</v>
      </c>
      <c r="J29" s="171">
        <f t="shared" si="0"/>
        <v>4.233333333337214</v>
      </c>
      <c r="K29" s="172">
        <f t="shared" si="1"/>
        <v>254</v>
      </c>
      <c r="L29" s="173" t="s">
        <v>121</v>
      </c>
      <c r="M29" s="173" t="str">
        <f t="shared" si="2"/>
        <v>--</v>
      </c>
      <c r="N29" s="174" t="str">
        <f t="shared" si="3"/>
        <v>--</v>
      </c>
      <c r="O29" s="175">
        <f t="shared" si="4"/>
        <v>30.901620390300003</v>
      </c>
      <c r="P29" s="176" t="str">
        <f t="shared" si="5"/>
        <v>--</v>
      </c>
      <c r="Q29" s="177" t="str">
        <f t="shared" si="6"/>
        <v>--</v>
      </c>
      <c r="R29" s="178" t="str">
        <f t="shared" si="7"/>
        <v>--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30.901620390300003</v>
      </c>
      <c r="AA29" s="186">
        <v>24.122725560000003</v>
      </c>
      <c r="AB29" s="186">
        <f t="shared" si="17"/>
        <v>6.7788948303000005</v>
      </c>
      <c r="AC29" s="187"/>
    </row>
    <row r="30" spans="2:29" ht="16.5" customHeight="1">
      <c r="B30" s="130"/>
      <c r="C30" s="154">
        <v>11</v>
      </c>
      <c r="D30" s="188" t="s">
        <v>132</v>
      </c>
      <c r="E30" s="167">
        <v>132</v>
      </c>
      <c r="F30" s="168">
        <v>18</v>
      </c>
      <c r="G30" s="537">
        <f t="shared" si="16"/>
        <v>10.6907526</v>
      </c>
      <c r="H30" s="170">
        <v>36237.43819444445</v>
      </c>
      <c r="I30" s="170">
        <v>36237.614583333336</v>
      </c>
      <c r="J30" s="171">
        <f t="shared" si="0"/>
        <v>4.233333333337214</v>
      </c>
      <c r="K30" s="172">
        <f t="shared" si="1"/>
        <v>254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13.566565049400001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13.566565049400001</v>
      </c>
      <c r="AA30" s="186">
        <v>10.590464879999999</v>
      </c>
      <c r="AB30" s="186">
        <f t="shared" si="17"/>
        <v>2.976100169400002</v>
      </c>
      <c r="AC30" s="187"/>
    </row>
    <row r="31" spans="2:29" ht="16.5" customHeight="1">
      <c r="B31" s="130"/>
      <c r="C31" s="154">
        <v>12</v>
      </c>
      <c r="D31" s="188" t="s">
        <v>4</v>
      </c>
      <c r="E31" s="167">
        <v>132</v>
      </c>
      <c r="F31" s="168">
        <v>3.5</v>
      </c>
      <c r="G31" s="537">
        <f t="shared" si="16"/>
        <v>2.07875745</v>
      </c>
      <c r="H31" s="170">
        <v>36243.316666666666</v>
      </c>
      <c r="I31" s="170">
        <v>36243.82638888889</v>
      </c>
      <c r="J31" s="171">
        <f t="shared" si="0"/>
        <v>12.233333333395422</v>
      </c>
      <c r="K31" s="172">
        <f t="shared" si="1"/>
        <v>734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7.62696108405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7.62696108405</v>
      </c>
      <c r="AA31" s="186">
        <v>5.953833060000001</v>
      </c>
      <c r="AB31" s="186">
        <f t="shared" si="17"/>
        <v>1.6731280240499995</v>
      </c>
      <c r="AC31" s="187"/>
    </row>
    <row r="32" spans="2:29" ht="16.5" customHeight="1">
      <c r="B32" s="130"/>
      <c r="C32" s="154">
        <v>13</v>
      </c>
      <c r="D32" s="188" t="s">
        <v>172</v>
      </c>
      <c r="E32" s="167">
        <v>132</v>
      </c>
      <c r="F32" s="168">
        <v>65.7</v>
      </c>
      <c r="G32" s="537">
        <f t="shared" si="16"/>
        <v>39.02124699</v>
      </c>
      <c r="H32" s="170">
        <v>36243.41736111111</v>
      </c>
      <c r="I32" s="170">
        <v>36243.521527777775</v>
      </c>
      <c r="J32" s="171">
        <f t="shared" si="0"/>
        <v>2.4999999999417923</v>
      </c>
      <c r="K32" s="172">
        <f t="shared" si="1"/>
        <v>150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29.265935242500007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29.265935242500007</v>
      </c>
      <c r="AA32" s="186">
        <v>22.845861</v>
      </c>
      <c r="AB32" s="186">
        <f t="shared" si="17"/>
        <v>6.420074242500007</v>
      </c>
      <c r="AC32" s="187"/>
    </row>
    <row r="33" spans="2:29" ht="16.5" customHeight="1">
      <c r="B33" s="130"/>
      <c r="C33" s="154">
        <v>14</v>
      </c>
      <c r="D33" s="188" t="s">
        <v>9</v>
      </c>
      <c r="E33" s="167">
        <v>132</v>
      </c>
      <c r="F33" s="168">
        <v>25.5</v>
      </c>
      <c r="G33" s="537">
        <f t="shared" si="16"/>
        <v>15.145232850000001</v>
      </c>
      <c r="H33" s="170">
        <v>36243.41736111111</v>
      </c>
      <c r="I33" s="170">
        <v>36243.521527777775</v>
      </c>
      <c r="J33" s="171">
        <f t="shared" si="0"/>
        <v>2.4999999999417923</v>
      </c>
      <c r="K33" s="172">
        <f t="shared" si="1"/>
        <v>150</v>
      </c>
      <c r="L33" s="173" t="s">
        <v>121</v>
      </c>
      <c r="M33" s="173" t="str">
        <f t="shared" si="2"/>
        <v>--</v>
      </c>
      <c r="N33" s="174" t="str">
        <f t="shared" si="3"/>
        <v>--</v>
      </c>
      <c r="O33" s="175">
        <f t="shared" si="4"/>
        <v>11.358924637500001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 t="str">
        <f t="shared" si="14"/>
        <v>SI</v>
      </c>
      <c r="Z33" s="186">
        <f t="shared" si="15"/>
        <v>11.358924637500001</v>
      </c>
      <c r="AA33" s="186">
        <v>8.867115</v>
      </c>
      <c r="AB33" s="186">
        <f t="shared" si="17"/>
        <v>2.491809637500001</v>
      </c>
      <c r="AC33" s="187"/>
    </row>
    <row r="34" spans="2:29" ht="16.5" customHeight="1">
      <c r="B34" s="130"/>
      <c r="C34" s="154">
        <v>15</v>
      </c>
      <c r="D34" s="188" t="s">
        <v>4</v>
      </c>
      <c r="E34" s="167">
        <v>132</v>
      </c>
      <c r="F34" s="168">
        <v>3.5</v>
      </c>
      <c r="G34" s="537">
        <f t="shared" si="16"/>
        <v>2.07875745</v>
      </c>
      <c r="H34" s="170">
        <v>36244.375</v>
      </c>
      <c r="I34" s="170">
        <v>36244.743055555555</v>
      </c>
      <c r="J34" s="171">
        <f t="shared" si="0"/>
        <v>8.83333333331393</v>
      </c>
      <c r="K34" s="172">
        <f t="shared" si="1"/>
        <v>530</v>
      </c>
      <c r="L34" s="173" t="s">
        <v>121</v>
      </c>
      <c r="M34" s="173" t="str">
        <f t="shared" si="2"/>
        <v>--</v>
      </c>
      <c r="N34" s="174" t="str">
        <f t="shared" si="3"/>
        <v>--</v>
      </c>
      <c r="O34" s="175">
        <f t="shared" si="4"/>
        <v>5.50662848505</v>
      </c>
      <c r="P34" s="176" t="str">
        <f t="shared" si="5"/>
        <v>--</v>
      </c>
      <c r="Q34" s="177" t="str">
        <f t="shared" si="6"/>
        <v>--</v>
      </c>
      <c r="R34" s="178" t="str">
        <f t="shared" si="7"/>
        <v>--</v>
      </c>
      <c r="S34" s="179" t="str">
        <f t="shared" si="8"/>
        <v>--</v>
      </c>
      <c r="T34" s="180" t="str">
        <f t="shared" si="9"/>
        <v>--</v>
      </c>
      <c r="U34" s="181" t="str">
        <f t="shared" si="10"/>
        <v>--</v>
      </c>
      <c r="V34" s="182" t="str">
        <f t="shared" si="11"/>
        <v>--</v>
      </c>
      <c r="W34" s="183" t="str">
        <f t="shared" si="12"/>
        <v>--</v>
      </c>
      <c r="X34" s="184" t="str">
        <f t="shared" si="13"/>
        <v>--</v>
      </c>
      <c r="Y34" s="185" t="str">
        <f t="shared" si="14"/>
        <v>SI</v>
      </c>
      <c r="Z34" s="186">
        <f t="shared" si="15"/>
        <v>5.50662848505</v>
      </c>
      <c r="AA34" s="186">
        <v>4.298638260000001</v>
      </c>
      <c r="AB34" s="186">
        <f t="shared" si="17"/>
        <v>1.2079902250499996</v>
      </c>
      <c r="AC34" s="187"/>
    </row>
    <row r="35" spans="2:29" ht="16.5" customHeight="1">
      <c r="B35" s="130"/>
      <c r="C35" s="154">
        <v>16</v>
      </c>
      <c r="D35" s="188" t="s">
        <v>4</v>
      </c>
      <c r="E35" s="167">
        <v>132</v>
      </c>
      <c r="F35" s="168">
        <v>3.5</v>
      </c>
      <c r="G35" s="537">
        <f t="shared" si="16"/>
        <v>2.07875745</v>
      </c>
      <c r="H35" s="170">
        <v>36245.33263888889</v>
      </c>
      <c r="I35" s="170">
        <v>36245.805555555555</v>
      </c>
      <c r="J35" s="171">
        <f t="shared" si="0"/>
        <v>11.349999999976717</v>
      </c>
      <c r="K35" s="172">
        <f t="shared" si="1"/>
        <v>681</v>
      </c>
      <c r="L35" s="173" t="s">
        <v>121</v>
      </c>
      <c r="M35" s="173" t="str">
        <f t="shared" si="2"/>
        <v>--</v>
      </c>
      <c r="N35" s="174" t="str">
        <f t="shared" si="3"/>
        <v>--</v>
      </c>
      <c r="O35" s="175">
        <f t="shared" si="4"/>
        <v>7.07816911725</v>
      </c>
      <c r="P35" s="176" t="str">
        <f t="shared" si="5"/>
        <v>--</v>
      </c>
      <c r="Q35" s="177" t="str">
        <f t="shared" si="6"/>
        <v>--</v>
      </c>
      <c r="R35" s="178" t="str">
        <f t="shared" si="7"/>
        <v>--</v>
      </c>
      <c r="S35" s="179" t="str">
        <f t="shared" si="8"/>
        <v>--</v>
      </c>
      <c r="T35" s="180" t="str">
        <f t="shared" si="9"/>
        <v>--</v>
      </c>
      <c r="U35" s="181" t="str">
        <f t="shared" si="10"/>
        <v>--</v>
      </c>
      <c r="V35" s="182" t="str">
        <f t="shared" si="11"/>
        <v>--</v>
      </c>
      <c r="W35" s="183" t="str">
        <f t="shared" si="12"/>
        <v>--</v>
      </c>
      <c r="X35" s="184" t="str">
        <f t="shared" si="13"/>
        <v>--</v>
      </c>
      <c r="Y35" s="185" t="str">
        <f t="shared" si="14"/>
        <v>SI</v>
      </c>
      <c r="Z35" s="186">
        <f t="shared" si="15"/>
        <v>7.07816911725</v>
      </c>
      <c r="AA35" s="186">
        <v>5.525429700000001</v>
      </c>
      <c r="AB35" s="186">
        <f t="shared" si="17"/>
        <v>1.5527394172499989</v>
      </c>
      <c r="AC35" s="187"/>
    </row>
    <row r="36" spans="2:29" ht="16.5" customHeight="1">
      <c r="B36" s="130"/>
      <c r="C36" s="154">
        <v>17</v>
      </c>
      <c r="D36" s="188" t="s">
        <v>173</v>
      </c>
      <c r="E36" s="167">
        <v>132</v>
      </c>
      <c r="F36" s="168">
        <v>58.9</v>
      </c>
      <c r="G36" s="537">
        <f t="shared" si="16"/>
        <v>34.982518230000004</v>
      </c>
      <c r="H36" s="170">
        <v>36246.1</v>
      </c>
      <c r="I36" s="170">
        <v>36246.10486111111</v>
      </c>
      <c r="J36" s="171">
        <f t="shared" si="0"/>
        <v>0.11666666669771075</v>
      </c>
      <c r="K36" s="172">
        <f t="shared" si="1"/>
        <v>7</v>
      </c>
      <c r="L36" s="173" t="s">
        <v>122</v>
      </c>
      <c r="M36" s="173" t="str">
        <f t="shared" si="2"/>
        <v>--</v>
      </c>
      <c r="N36" s="174" t="str">
        <f t="shared" si="3"/>
        <v>NO</v>
      </c>
      <c r="O36" s="175" t="str">
        <f t="shared" si="4"/>
        <v>--</v>
      </c>
      <c r="P36" s="176" t="str">
        <f t="shared" si="5"/>
        <v>--</v>
      </c>
      <c r="Q36" s="177">
        <f t="shared" si="6"/>
        <v>1049.48</v>
      </c>
      <c r="R36" s="178" t="str">
        <f t="shared" si="7"/>
        <v>--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 t="str">
        <f t="shared" si="14"/>
        <v>SI</v>
      </c>
      <c r="Z36" s="186">
        <f t="shared" si="15"/>
        <v>1049.48</v>
      </c>
      <c r="AA36" s="186">
        <v>819.25</v>
      </c>
      <c r="AB36" s="186">
        <f t="shared" si="17"/>
        <v>230.23000000000002</v>
      </c>
      <c r="AC36" s="187"/>
    </row>
    <row r="37" spans="2:29" ht="16.5" customHeight="1">
      <c r="B37" s="130"/>
      <c r="C37" s="154">
        <v>18</v>
      </c>
      <c r="D37" s="188" t="s">
        <v>8</v>
      </c>
      <c r="E37" s="167">
        <v>132</v>
      </c>
      <c r="F37" s="168">
        <v>75.1</v>
      </c>
      <c r="G37" s="537">
        <f t="shared" si="16"/>
        <v>44.60419557</v>
      </c>
      <c r="H37" s="170">
        <v>36246.395833333336</v>
      </c>
      <c r="I37" s="170">
        <v>36246.39791666667</v>
      </c>
      <c r="J37" s="171">
        <f t="shared" si="0"/>
        <v>0.04999999998835847</v>
      </c>
      <c r="K37" s="172">
        <f t="shared" si="1"/>
        <v>3</v>
      </c>
      <c r="L37" s="173" t="s">
        <v>122</v>
      </c>
      <c r="M37" s="173" t="str">
        <f t="shared" si="2"/>
        <v>--</v>
      </c>
      <c r="N37" s="174" t="str">
        <f t="shared" si="3"/>
        <v>NO</v>
      </c>
      <c r="O37" s="175" t="str">
        <f t="shared" si="4"/>
        <v>--</v>
      </c>
      <c r="P37" s="176" t="str">
        <f t="shared" si="5"/>
        <v>--</v>
      </c>
      <c r="Q37" s="177">
        <f t="shared" si="6"/>
        <v>1338.13</v>
      </c>
      <c r="R37" s="178" t="str">
        <f t="shared" si="7"/>
        <v>--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 t="str">
        <f t="shared" si="14"/>
        <v>SI</v>
      </c>
      <c r="Z37" s="186">
        <f t="shared" si="15"/>
        <v>1338.13</v>
      </c>
      <c r="AA37" s="186">
        <v>1044.58</v>
      </c>
      <c r="AB37" s="186">
        <f t="shared" si="17"/>
        <v>293.5500000000002</v>
      </c>
      <c r="AC37" s="187"/>
    </row>
    <row r="38" spans="2:29" ht="16.5" customHeight="1">
      <c r="B38" s="130"/>
      <c r="C38" s="154">
        <v>19</v>
      </c>
      <c r="D38" s="188" t="s">
        <v>9</v>
      </c>
      <c r="E38" s="167">
        <v>132</v>
      </c>
      <c r="F38" s="168">
        <v>25.5</v>
      </c>
      <c r="G38" s="537">
        <f t="shared" si="16"/>
        <v>15.145232850000001</v>
      </c>
      <c r="H38" s="170">
        <v>36246.395833333336</v>
      </c>
      <c r="I38" s="170">
        <v>36246.40138888889</v>
      </c>
      <c r="J38" s="171">
        <f t="shared" si="0"/>
        <v>0.1333333332440816</v>
      </c>
      <c r="K38" s="172">
        <f t="shared" si="1"/>
        <v>8</v>
      </c>
      <c r="L38" s="173" t="s">
        <v>122</v>
      </c>
      <c r="M38" s="173" t="str">
        <f t="shared" si="2"/>
        <v>--</v>
      </c>
      <c r="N38" s="174" t="str">
        <f t="shared" si="3"/>
        <v>NO</v>
      </c>
      <c r="O38" s="175" t="str">
        <f t="shared" si="4"/>
        <v>--</v>
      </c>
      <c r="P38" s="176" t="str">
        <f t="shared" si="5"/>
        <v>--</v>
      </c>
      <c r="Q38" s="177">
        <f t="shared" si="6"/>
        <v>454.36</v>
      </c>
      <c r="R38" s="178" t="str">
        <f t="shared" si="7"/>
        <v>--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 t="str">
        <f t="shared" si="14"/>
        <v>SI</v>
      </c>
      <c r="Z38" s="186">
        <f t="shared" si="15"/>
        <v>454.36</v>
      </c>
      <c r="AA38" s="186">
        <v>354.68</v>
      </c>
      <c r="AB38" s="186">
        <f t="shared" si="17"/>
        <v>99.68</v>
      </c>
      <c r="AC38" s="187"/>
    </row>
    <row r="39" spans="2:29" ht="16.5" customHeight="1">
      <c r="B39" s="130"/>
      <c r="C39" s="154">
        <v>20</v>
      </c>
      <c r="D39" s="188" t="s">
        <v>10</v>
      </c>
      <c r="E39" s="167">
        <v>132</v>
      </c>
      <c r="F39" s="168">
        <v>44.7</v>
      </c>
      <c r="G39" s="537">
        <f t="shared" si="16"/>
        <v>26.54870229</v>
      </c>
      <c r="H39" s="170">
        <v>36247.31527777778</v>
      </c>
      <c r="I39" s="170">
        <v>36247.48541666667</v>
      </c>
      <c r="J39" s="171">
        <f t="shared" si="0"/>
        <v>4.083333333372138</v>
      </c>
      <c r="K39" s="172">
        <f t="shared" si="1"/>
        <v>245</v>
      </c>
      <c r="L39" s="173" t="s">
        <v>121</v>
      </c>
      <c r="M39" s="173" t="str">
        <f t="shared" si="2"/>
        <v>--</v>
      </c>
      <c r="N39" s="174" t="str">
        <f t="shared" si="3"/>
        <v>--</v>
      </c>
      <c r="O39" s="175">
        <f t="shared" si="4"/>
        <v>32.495611602960004</v>
      </c>
      <c r="P39" s="176" t="str">
        <f t="shared" si="5"/>
        <v>--</v>
      </c>
      <c r="Q39" s="177" t="str">
        <f t="shared" si="6"/>
        <v>--</v>
      </c>
      <c r="R39" s="178" t="str">
        <f t="shared" si="7"/>
        <v>--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 t="str">
        <f t="shared" si="14"/>
        <v>SI</v>
      </c>
      <c r="Z39" s="186">
        <f t="shared" si="15"/>
        <v>32.495611602960004</v>
      </c>
      <c r="AA39" s="186">
        <v>25.367042591999997</v>
      </c>
      <c r="AB39" s="186">
        <f t="shared" si="17"/>
        <v>7.128569010960007</v>
      </c>
      <c r="AC39" s="187"/>
    </row>
    <row r="40" spans="2:29" ht="16.5" customHeight="1" thickBot="1">
      <c r="B40" s="130"/>
      <c r="C40" s="189"/>
      <c r="D40" s="190"/>
      <c r="E40" s="189"/>
      <c r="F40" s="191"/>
      <c r="G40" s="192"/>
      <c r="H40" s="193"/>
      <c r="I40" s="193"/>
      <c r="J40" s="194"/>
      <c r="K40" s="194"/>
      <c r="L40" s="193"/>
      <c r="M40" s="193"/>
      <c r="N40" s="195"/>
      <c r="O40" s="196"/>
      <c r="P40" s="197"/>
      <c r="Q40" s="198"/>
      <c r="R40" s="199"/>
      <c r="S40" s="200"/>
      <c r="T40" s="201"/>
      <c r="U40" s="202"/>
      <c r="V40" s="203"/>
      <c r="W40" s="204"/>
      <c r="X40" s="205"/>
      <c r="Y40" s="206"/>
      <c r="Z40" s="207"/>
      <c r="AA40" s="207"/>
      <c r="AB40" s="207"/>
      <c r="AC40" s="187"/>
    </row>
    <row r="41" spans="2:29" ht="16.5" customHeight="1" thickBot="1" thickTop="1">
      <c r="B41" s="85"/>
      <c r="C41" s="208" t="s">
        <v>120</v>
      </c>
      <c r="D41" s="209" t="s">
        <v>92</v>
      </c>
      <c r="E41" s="98"/>
      <c r="F41" s="210"/>
      <c r="G41" s="211"/>
      <c r="H41" s="211"/>
      <c r="I41" s="211"/>
      <c r="J41" s="211"/>
      <c r="K41" s="211"/>
      <c r="L41" s="211"/>
      <c r="M41" s="211"/>
      <c r="N41" s="212"/>
      <c r="O41" s="213"/>
      <c r="P41" s="213"/>
      <c r="Q41" s="214"/>
      <c r="R41" s="214"/>
      <c r="S41" s="215"/>
      <c r="T41" s="214"/>
      <c r="U41" s="214"/>
      <c r="V41" s="215"/>
      <c r="W41" s="215"/>
      <c r="X41" s="215"/>
      <c r="Y41" s="216"/>
      <c r="Z41" s="442">
        <f>ROUND(SUM(Z18:Z40),2)</f>
        <v>63518.76</v>
      </c>
      <c r="AA41" s="442">
        <f>ROUND(SUM(AA18:AA40),2)</f>
        <v>49413.36</v>
      </c>
      <c r="AB41" s="442">
        <f>ROUND(SUM(AB18:AB40),2)</f>
        <v>14105.4</v>
      </c>
      <c r="AC41" s="187"/>
    </row>
    <row r="42" spans="2:29" s="217" customFormat="1" ht="9.75" thickTop="1">
      <c r="B42" s="218"/>
      <c r="C42" s="219"/>
      <c r="D42" s="220" t="s">
        <v>93</v>
      </c>
      <c r="AC42" s="221"/>
    </row>
    <row r="43" spans="2:29" ht="16.5" customHeight="1" thickBot="1"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4"/>
    </row>
    <row r="44" ht="13.5" thickTop="1"/>
    <row r="53" ht="12.75">
      <c r="H53" s="225"/>
    </row>
    <row r="54" ht="12.75">
      <c r="H54" s="225"/>
    </row>
    <row r="55" ht="12.75">
      <c r="H55" s="225"/>
    </row>
    <row r="56" spans="8:9" ht="12.75">
      <c r="H56" s="226"/>
      <c r="I56" s="227"/>
    </row>
    <row r="57" ht="12.75">
      <c r="H57" s="225"/>
    </row>
  </sheetData>
  <mergeCells count="1">
    <mergeCell ref="C20:AB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AC58"/>
  <sheetViews>
    <sheetView zoomScale="75" zoomScaleNormal="75" workbookViewId="0" topLeftCell="C1">
      <selection activeCell="E14" sqref="E14"/>
    </sheetView>
  </sheetViews>
  <sheetFormatPr defaultColWidth="11.421875" defaultRowHeight="12.75"/>
  <cols>
    <col min="1" max="2" width="15.7109375" style="78" customWidth="1"/>
    <col min="3" max="3" width="4.7109375" style="78" customWidth="1"/>
    <col min="4" max="4" width="45.7109375" style="78" customWidth="1"/>
    <col min="5" max="5" width="8.421875" style="78" customWidth="1"/>
    <col min="6" max="6" width="8.7109375" style="78" customWidth="1"/>
    <col min="7" max="7" width="13.7109375" style="78" hidden="1" customWidth="1"/>
    <col min="8" max="9" width="15.7109375" style="78" customWidth="1"/>
    <col min="10" max="11" width="9.7109375" style="78" customWidth="1"/>
    <col min="12" max="12" width="8.7109375" style="78" customWidth="1"/>
    <col min="13" max="14" width="7.7109375" style="78" customWidth="1"/>
    <col min="15" max="15" width="14.421875" style="78" hidden="1" customWidth="1"/>
    <col min="16" max="16" width="14.00390625" style="78" hidden="1" customWidth="1"/>
    <col min="17" max="18" width="13.00390625" style="78" hidden="1" customWidth="1"/>
    <col min="19" max="19" width="14.57421875" style="78" hidden="1" customWidth="1"/>
    <col min="20" max="21" width="13.00390625" style="78" hidden="1" customWidth="1"/>
    <col min="22" max="22" width="14.57421875" style="78" hidden="1" customWidth="1"/>
    <col min="23" max="23" width="16.00390625" style="78" hidden="1" customWidth="1"/>
    <col min="24" max="24" width="17.140625" style="78" hidden="1" customWidth="1"/>
    <col min="25" max="25" width="9.421875" style="78" customWidth="1"/>
    <col min="26" max="29" width="15.7109375" style="78" customWidth="1"/>
    <col min="30" max="16384" width="11.421875" style="78" customWidth="1"/>
  </cols>
  <sheetData>
    <row r="1" spans="2:29" s="74" customFormat="1" ht="29.25" customHeight="1">
      <c r="B1" s="75"/>
      <c r="AC1" s="441" t="s">
        <v>125</v>
      </c>
    </row>
    <row r="2" spans="2:29" s="74" customFormat="1" ht="26.25">
      <c r="B2" s="76" t="str">
        <f>+total!B2</f>
        <v>ANEXO III A LA RESOLUCION ENRE N° 1227/99</v>
      </c>
      <c r="C2" s="77"/>
      <c r="D2" s="7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customHeight="1">
      <c r="B3" s="79"/>
    </row>
    <row r="4" spans="1:2" s="81" customFormat="1" ht="11.25">
      <c r="A4" s="11" t="s">
        <v>59</v>
      </c>
      <c r="B4" s="80"/>
    </row>
    <row r="5" spans="1:2" s="81" customFormat="1" ht="11.25">
      <c r="A5" s="11" t="s">
        <v>60</v>
      </c>
      <c r="B5" s="80"/>
    </row>
    <row r="6" ht="13.5" thickBot="1"/>
    <row r="7" spans="2:29" ht="13.5" thickTop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2:29" ht="20.25">
      <c r="B8" s="85"/>
      <c r="C8" s="86"/>
      <c r="D8" s="87" t="s">
        <v>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2:29" ht="12.7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8"/>
    </row>
    <row r="10" spans="2:29" ht="20.25">
      <c r="B10" s="85"/>
      <c r="C10" s="86"/>
      <c r="D10" s="89" t="s">
        <v>71</v>
      </c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</row>
    <row r="11" spans="2:29" ht="12.75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</row>
    <row r="12" spans="2:29" s="91" customFormat="1" ht="19.5">
      <c r="B12" s="92" t="s">
        <v>240</v>
      </c>
      <c r="C12" s="93"/>
      <c r="D12" s="94"/>
      <c r="E12" s="95"/>
      <c r="F12" s="95"/>
      <c r="G12" s="95"/>
      <c r="H12" s="96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7"/>
    </row>
    <row r="13" spans="2:29" ht="13.5" thickBot="1">
      <c r="B13" s="85"/>
      <c r="C13" s="86"/>
      <c r="D13" s="86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8"/>
    </row>
    <row r="14" spans="2:29" ht="16.5" customHeight="1" thickBot="1" thickTop="1">
      <c r="B14" s="85"/>
      <c r="C14" s="99"/>
      <c r="D14" s="100" t="s">
        <v>72</v>
      </c>
      <c r="E14" s="101">
        <v>59.993</v>
      </c>
      <c r="F14" s="102"/>
      <c r="G14" s="99"/>
      <c r="H14" s="103"/>
      <c r="I14" s="104" t="s">
        <v>73</v>
      </c>
      <c r="J14" s="105">
        <v>30</v>
      </c>
      <c r="K14" s="106" t="str">
        <f>IF(J14=30," ",IF(J14=60,"Coeficiente duplicado por tasa de falla &gt;4 Sal. x año/100 km.","REVISAR COEFICIENTE"))</f>
        <v> </v>
      </c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88"/>
    </row>
    <row r="15" spans="2:29" ht="16.5" customHeight="1" thickBot="1" thickTop="1">
      <c r="B15" s="85"/>
      <c r="C15" s="99"/>
      <c r="D15" s="100" t="s">
        <v>257</v>
      </c>
      <c r="E15" s="101">
        <v>0.99</v>
      </c>
      <c r="F15" s="102"/>
      <c r="G15" s="99"/>
      <c r="H15" s="103"/>
      <c r="I15" s="104"/>
      <c r="J15" s="105"/>
      <c r="K15" s="106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9"/>
      <c r="AB15" s="109"/>
      <c r="AC15" s="88"/>
    </row>
    <row r="16" spans="2:29" ht="16.5" customHeight="1" thickBot="1" thickTop="1">
      <c r="B16" s="85"/>
      <c r="C16" s="86"/>
      <c r="D16" s="86"/>
      <c r="E16" s="86"/>
      <c r="F16" s="86"/>
      <c r="G16" s="86"/>
      <c r="H16" s="110"/>
      <c r="I16" s="86"/>
      <c r="J16" s="86"/>
      <c r="K16" s="86"/>
      <c r="L16" s="86"/>
      <c r="M16" s="86"/>
      <c r="N16" s="86"/>
      <c r="O16" s="86"/>
      <c r="P16" s="86"/>
      <c r="Q16" s="86"/>
      <c r="R16" s="111"/>
      <c r="S16" s="86"/>
      <c r="T16" s="86"/>
      <c r="U16" s="111"/>
      <c r="V16" s="86"/>
      <c r="W16" s="86"/>
      <c r="X16" s="86"/>
      <c r="Y16" s="86"/>
      <c r="Z16" s="86"/>
      <c r="AA16" s="86"/>
      <c r="AB16" s="86"/>
      <c r="AC16" s="88"/>
    </row>
    <row r="17" spans="2:29" s="112" customFormat="1" ht="34.5" customHeight="1" thickBot="1" thickTop="1">
      <c r="B17" s="113"/>
      <c r="C17" s="114" t="s">
        <v>74</v>
      </c>
      <c r="D17" s="114" t="s">
        <v>2</v>
      </c>
      <c r="E17" s="115" t="s">
        <v>75</v>
      </c>
      <c r="F17" s="115" t="s">
        <v>76</v>
      </c>
      <c r="G17" s="116" t="s">
        <v>77</v>
      </c>
      <c r="H17" s="114" t="s">
        <v>78</v>
      </c>
      <c r="I17" s="114" t="s">
        <v>79</v>
      </c>
      <c r="J17" s="117" t="s">
        <v>80</v>
      </c>
      <c r="K17" s="115" t="s">
        <v>81</v>
      </c>
      <c r="L17" s="118" t="s">
        <v>119</v>
      </c>
      <c r="M17" s="115" t="s">
        <v>82</v>
      </c>
      <c r="N17" s="114" t="s">
        <v>83</v>
      </c>
      <c r="O17" s="119" t="s">
        <v>84</v>
      </c>
      <c r="P17" s="120" t="s">
        <v>85</v>
      </c>
      <c r="Q17" s="121" t="s">
        <v>86</v>
      </c>
      <c r="R17" s="122"/>
      <c r="S17" s="123"/>
      <c r="T17" s="124" t="s">
        <v>87</v>
      </c>
      <c r="U17" s="125"/>
      <c r="V17" s="126"/>
      <c r="W17" s="127" t="s">
        <v>88</v>
      </c>
      <c r="X17" s="128" t="s">
        <v>89</v>
      </c>
      <c r="Y17" s="115" t="s">
        <v>90</v>
      </c>
      <c r="Z17" s="115" t="s">
        <v>91</v>
      </c>
      <c r="AA17" s="115" t="s">
        <v>226</v>
      </c>
      <c r="AB17" s="115" t="s">
        <v>127</v>
      </c>
      <c r="AC17" s="129"/>
    </row>
    <row r="18" spans="2:29" ht="16.5" customHeight="1" thickTop="1">
      <c r="B18" s="130"/>
      <c r="C18" s="131"/>
      <c r="D18" s="132" t="s">
        <v>220</v>
      </c>
      <c r="E18" s="133"/>
      <c r="F18" s="134"/>
      <c r="G18" s="135"/>
      <c r="H18" s="136"/>
      <c r="I18" s="132"/>
      <c r="J18" s="136"/>
      <c r="K18" s="132"/>
      <c r="L18" s="136"/>
      <c r="M18" s="137"/>
      <c r="N18" s="136"/>
      <c r="O18" s="138"/>
      <c r="P18" s="139"/>
      <c r="Q18" s="140"/>
      <c r="R18" s="141"/>
      <c r="S18" s="142"/>
      <c r="T18" s="143"/>
      <c r="U18" s="144"/>
      <c r="V18" s="145"/>
      <c r="W18" s="146"/>
      <c r="X18" s="147"/>
      <c r="Y18" s="136"/>
      <c r="Z18" s="148">
        <f>+'LI (7)'!Z41</f>
        <v>63518.76</v>
      </c>
      <c r="AA18" s="148">
        <f>+'LI (7)'!AA41</f>
        <v>49413.36</v>
      </c>
      <c r="AB18" s="148">
        <f>+'LI (7)'!AB41</f>
        <v>14105.4</v>
      </c>
      <c r="AC18" s="88"/>
    </row>
    <row r="19" spans="2:29" s="149" customFormat="1" ht="16.5" customHeight="1">
      <c r="B19" s="130"/>
      <c r="C19" s="150"/>
      <c r="D19" s="151"/>
      <c r="E19" s="150"/>
      <c r="F19" s="150"/>
      <c r="G19" s="152"/>
      <c r="H19" s="150"/>
      <c r="I19" s="153"/>
      <c r="J19" s="154"/>
      <c r="K19" s="153"/>
      <c r="L19" s="150"/>
      <c r="M19" s="151"/>
      <c r="N19" s="154"/>
      <c r="O19" s="155"/>
      <c r="P19" s="156"/>
      <c r="Q19" s="157"/>
      <c r="R19" s="158"/>
      <c r="S19" s="159"/>
      <c r="T19" s="160"/>
      <c r="U19" s="161"/>
      <c r="V19" s="162"/>
      <c r="W19" s="163"/>
      <c r="X19" s="164"/>
      <c r="Y19" s="154"/>
      <c r="Z19" s="165"/>
      <c r="AA19" s="165"/>
      <c r="AB19" s="165"/>
      <c r="AC19" s="166"/>
    </row>
    <row r="20" spans="2:29" ht="16.5" customHeight="1">
      <c r="B20" s="130"/>
      <c r="C20" s="154">
        <v>21</v>
      </c>
      <c r="D20" s="154" t="s">
        <v>5</v>
      </c>
      <c r="E20" s="167">
        <v>132</v>
      </c>
      <c r="F20" s="168">
        <v>16.8</v>
      </c>
      <c r="G20" s="169">
        <f>F20*$E$14/100*$E$15</f>
        <v>9.978035760000001</v>
      </c>
      <c r="H20" s="170">
        <v>36249.379166666666</v>
      </c>
      <c r="I20" s="170">
        <v>36249.57986111111</v>
      </c>
      <c r="J20" s="171">
        <f aca="true" t="shared" si="0" ref="J20:J40">IF(H20="","",(I20-H20)*24)</f>
        <v>4.816666666651145</v>
      </c>
      <c r="K20" s="172">
        <f aca="true" t="shared" si="1" ref="K20:K40">IF(I20="","",ROUND((I20-H20)*24*60,0))</f>
        <v>289</v>
      </c>
      <c r="L20" s="173" t="s">
        <v>121</v>
      </c>
      <c r="M20" s="173" t="str">
        <f aca="true" t="shared" si="2" ref="M20:M40">IF(D20="","","--")</f>
        <v>--</v>
      </c>
      <c r="N20" s="174" t="str">
        <f aca="true" t="shared" si="3" ref="N20:N40">IF(D20="","",IF(OR(L20="P",L20="RP"),"--","NO"))</f>
        <v>--</v>
      </c>
      <c r="O20" s="175">
        <f aca="true" t="shared" si="4" ref="O20:O40">IF(L20="P",ROUND(K20/60,2)*G20*$J$14*0.01,"--")</f>
        <v>14.428239708960003</v>
      </c>
      <c r="P20" s="176" t="str">
        <f aca="true" t="shared" si="5" ref="P20:P40">IF(L20="RP",ROUND(K20/60,2)*G20*$J$14*0.01*M20/100,"--")</f>
        <v>--</v>
      </c>
      <c r="Q20" s="177" t="str">
        <f aca="true" t="shared" si="6" ref="Q20:Q40">IF(N20="SI","--",IF(L20="F",ROUND(G20*$J$14,2),"--"))</f>
        <v>--</v>
      </c>
      <c r="R20" s="178" t="str">
        <f aca="true" t="shared" si="7" ref="R20:R40">IF(L20="F",IF(K20&lt;10,"--",IF(K20&gt;180,ROUND(G20*$J$14*3,2),G20*$J$14*ROUND(K20/60,2))),"--")</f>
        <v>--</v>
      </c>
      <c r="S20" s="179" t="str">
        <f aca="true" t="shared" si="8" ref="S20:S40">IF(AND(L20="F",K20&gt;180),G20*$J$14*0.1*(ROUND(K20/60,2)-3),"--")</f>
        <v>--</v>
      </c>
      <c r="T20" s="180" t="str">
        <f aca="true" t="shared" si="9" ref="T20:T40">IF(N20="SI","--",IF(L20="R",ROUND(G20*$J$14*M20/100,2),"--"))</f>
        <v>--</v>
      </c>
      <c r="U20" s="181" t="str">
        <f aca="true" t="shared" si="10" ref="U20:U40">IF(L20="R",IF(K20&lt;10,"--",IF(K20&gt;180,ROUND(G20*$J$14*3*M20/100,2),G20*$J$14*M20/100*ROUND(K20/60,2))),"--")</f>
        <v>--</v>
      </c>
      <c r="V20" s="182" t="str">
        <f aca="true" t="shared" si="11" ref="V20:V40">IF(AND(L20="R",K20&gt;180),G20*$J$14*M20/100*0.1*(ROUND(K20/60,2)-3),"--")</f>
        <v>--</v>
      </c>
      <c r="W20" s="183" t="str">
        <f aca="true" t="shared" si="12" ref="W20:W40">IF(L20="RF",G20*$J$14*0.1*ROUND(K20/60,2),"--")</f>
        <v>--</v>
      </c>
      <c r="X20" s="184" t="str">
        <f aca="true" t="shared" si="13" ref="X20:X40">IF(L20="RR",G20*$J$14*0.1*M20/100*ROUND(K20/60,2),"--")</f>
        <v>--</v>
      </c>
      <c r="Y20" s="185" t="str">
        <f aca="true" t="shared" si="14" ref="Y20:Y40">IF(D20="","","SI")</f>
        <v>SI</v>
      </c>
      <c r="Z20" s="186">
        <f aca="true" t="shared" si="15" ref="Z20:Z40">IF(D20="","",IF(Y20="SI",SUM(O20:X20),2*SUM(O20:X20)))</f>
        <v>14.428239708960003</v>
      </c>
      <c r="AA20" s="186">
        <v>11.263113792000002</v>
      </c>
      <c r="AB20" s="186">
        <f>+Z20-AA20</f>
        <v>3.165125916960001</v>
      </c>
      <c r="AC20" s="187"/>
    </row>
    <row r="21" spans="2:29" ht="16.5" customHeight="1">
      <c r="B21" s="130"/>
      <c r="C21" s="154">
        <v>22</v>
      </c>
      <c r="D21" s="154" t="s">
        <v>128</v>
      </c>
      <c r="E21" s="167">
        <v>132</v>
      </c>
      <c r="F21" s="168">
        <v>40.3</v>
      </c>
      <c r="G21" s="169">
        <f>F21*$E$14/100*$E$15</f>
        <v>23.93540721</v>
      </c>
      <c r="H21" s="170">
        <v>36250.42847222222</v>
      </c>
      <c r="I21" s="170">
        <v>36250.479166666664</v>
      </c>
      <c r="J21" s="171">
        <f t="shared" si="0"/>
        <v>1.21666666661622</v>
      </c>
      <c r="K21" s="172">
        <f t="shared" si="1"/>
        <v>73</v>
      </c>
      <c r="L21" s="173" t="s">
        <v>121</v>
      </c>
      <c r="M21" s="173" t="str">
        <f t="shared" si="2"/>
        <v>--</v>
      </c>
      <c r="N21" s="174" t="str">
        <f t="shared" si="3"/>
        <v>--</v>
      </c>
      <c r="O21" s="175">
        <f t="shared" si="4"/>
        <v>8.76035903886</v>
      </c>
      <c r="P21" s="176" t="str">
        <f t="shared" si="5"/>
        <v>--</v>
      </c>
      <c r="Q21" s="177" t="str">
        <f t="shared" si="6"/>
        <v>--</v>
      </c>
      <c r="R21" s="178" t="str">
        <f t="shared" si="7"/>
        <v>--</v>
      </c>
      <c r="S21" s="179" t="str">
        <f t="shared" si="8"/>
        <v>--</v>
      </c>
      <c r="T21" s="180" t="str">
        <f t="shared" si="9"/>
        <v>--</v>
      </c>
      <c r="U21" s="181" t="str">
        <f t="shared" si="10"/>
        <v>--</v>
      </c>
      <c r="V21" s="182" t="str">
        <f t="shared" si="11"/>
        <v>--</v>
      </c>
      <c r="W21" s="183" t="str">
        <f t="shared" si="12"/>
        <v>--</v>
      </c>
      <c r="X21" s="184" t="str">
        <f t="shared" si="13"/>
        <v>--</v>
      </c>
      <c r="Y21" s="185" t="str">
        <f t="shared" si="14"/>
        <v>SI</v>
      </c>
      <c r="Z21" s="186">
        <f t="shared" si="15"/>
        <v>8.76035903886</v>
      </c>
      <c r="AA21" s="186">
        <v>6.838597271999999</v>
      </c>
      <c r="AB21" s="186">
        <f>+Z21-AA21</f>
        <v>1.9217617668600022</v>
      </c>
      <c r="AC21" s="187"/>
    </row>
    <row r="22" spans="2:29" ht="16.5" customHeight="1">
      <c r="B22" s="130"/>
      <c r="C22" s="154" t="s">
        <v>174</v>
      </c>
      <c r="D22" s="154" t="s">
        <v>175</v>
      </c>
      <c r="E22" s="167">
        <v>132</v>
      </c>
      <c r="F22" s="168">
        <v>9.4</v>
      </c>
      <c r="G22" s="169">
        <f>F22*$E$14/100*$E$15</f>
        <v>5.58294858</v>
      </c>
      <c r="H22" s="170">
        <v>36243.41736111111</v>
      </c>
      <c r="I22" s="170">
        <v>36243.58125</v>
      </c>
      <c r="J22" s="171">
        <f t="shared" si="0"/>
        <v>3.933333333407063</v>
      </c>
      <c r="K22" s="172">
        <f t="shared" si="1"/>
        <v>236</v>
      </c>
      <c r="L22" s="173" t="s">
        <v>121</v>
      </c>
      <c r="M22" s="173" t="str">
        <f t="shared" si="2"/>
        <v>--</v>
      </c>
      <c r="N22" s="174" t="str">
        <f t="shared" si="3"/>
        <v>--</v>
      </c>
      <c r="O22" s="175">
        <f t="shared" si="4"/>
        <v>6.58229637582</v>
      </c>
      <c r="P22" s="176" t="str">
        <f t="shared" si="5"/>
        <v>--</v>
      </c>
      <c r="Q22" s="177" t="str">
        <f t="shared" si="6"/>
        <v>--</v>
      </c>
      <c r="R22" s="178" t="str">
        <f t="shared" si="7"/>
        <v>--</v>
      </c>
      <c r="S22" s="179" t="str">
        <f t="shared" si="8"/>
        <v>--</v>
      </c>
      <c r="T22" s="180" t="str">
        <f t="shared" si="9"/>
        <v>--</v>
      </c>
      <c r="U22" s="181" t="str">
        <f t="shared" si="10"/>
        <v>--</v>
      </c>
      <c r="V22" s="182" t="str">
        <f t="shared" si="11"/>
        <v>--</v>
      </c>
      <c r="W22" s="183" t="str">
        <f t="shared" si="12"/>
        <v>--</v>
      </c>
      <c r="X22" s="184" t="str">
        <f t="shared" si="13"/>
        <v>--</v>
      </c>
      <c r="Y22" s="185" t="str">
        <f t="shared" si="14"/>
        <v>SI</v>
      </c>
      <c r="Z22" s="186">
        <f t="shared" si="15"/>
        <v>6.58229637582</v>
      </c>
      <c r="AA22" s="186">
        <v>5.138336664</v>
      </c>
      <c r="AB22" s="186">
        <f>+Z22-AA22</f>
        <v>1.4439597118200007</v>
      </c>
      <c r="AC22" s="187"/>
    </row>
    <row r="23" spans="2:29" ht="16.5" customHeight="1" thickBot="1">
      <c r="B23" s="130"/>
      <c r="C23" s="188"/>
      <c r="D23" s="188"/>
      <c r="E23" s="556"/>
      <c r="F23" s="557"/>
      <c r="G23" s="169">
        <f>F23*$E$14/100*$E$15</f>
        <v>0</v>
      </c>
      <c r="H23" s="558"/>
      <c r="I23" s="558"/>
      <c r="J23" s="559">
        <f t="shared" si="0"/>
      </c>
      <c r="K23" s="560">
        <f t="shared" si="1"/>
      </c>
      <c r="L23" s="561"/>
      <c r="M23" s="561">
        <f t="shared" si="2"/>
      </c>
      <c r="N23" s="562">
        <f t="shared" si="3"/>
      </c>
      <c r="O23" s="563" t="str">
        <f t="shared" si="4"/>
        <v>--</v>
      </c>
      <c r="P23" s="564" t="str">
        <f t="shared" si="5"/>
        <v>--</v>
      </c>
      <c r="Q23" s="565" t="str">
        <f t="shared" si="6"/>
        <v>--</v>
      </c>
      <c r="R23" s="566" t="str">
        <f t="shared" si="7"/>
        <v>--</v>
      </c>
      <c r="S23" s="567" t="str">
        <f t="shared" si="8"/>
        <v>--</v>
      </c>
      <c r="T23" s="568" t="str">
        <f t="shared" si="9"/>
        <v>--</v>
      </c>
      <c r="U23" s="569" t="str">
        <f t="shared" si="10"/>
        <v>--</v>
      </c>
      <c r="V23" s="570" t="str">
        <f t="shared" si="11"/>
        <v>--</v>
      </c>
      <c r="W23" s="571" t="str">
        <f t="shared" si="12"/>
        <v>--</v>
      </c>
      <c r="X23" s="572" t="str">
        <f t="shared" si="13"/>
        <v>--</v>
      </c>
      <c r="Y23" s="573">
        <f t="shared" si="14"/>
      </c>
      <c r="Z23" s="574">
        <f t="shared" si="15"/>
      </c>
      <c r="AA23" s="574" t="s">
        <v>126</v>
      </c>
      <c r="AB23" s="574"/>
      <c r="AC23" s="187"/>
    </row>
    <row r="24" spans="2:29" ht="16.5" customHeight="1" thickBot="1" thickTop="1">
      <c r="B24" s="130"/>
      <c r="C24" s="605" t="s">
        <v>231</v>
      </c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7"/>
      <c r="AC24" s="187"/>
    </row>
    <row r="25" spans="2:29" ht="16.5" customHeight="1" thickTop="1">
      <c r="B25" s="130"/>
      <c r="C25" s="534">
        <v>1</v>
      </c>
      <c r="D25" s="534" t="s">
        <v>6</v>
      </c>
      <c r="E25" s="535">
        <v>132</v>
      </c>
      <c r="F25" s="536">
        <v>40.6</v>
      </c>
      <c r="G25" s="169">
        <f aca="true" t="shared" si="16" ref="G25:G40">F25*$E$14/100*$E$15</f>
        <v>24.113586419999997</v>
      </c>
      <c r="H25" s="538">
        <v>36257.44097222222</v>
      </c>
      <c r="I25" s="538">
        <v>36257.61875</v>
      </c>
      <c r="J25" s="539">
        <f t="shared" si="0"/>
        <v>4.2666666667792015</v>
      </c>
      <c r="K25" s="540">
        <f t="shared" si="1"/>
        <v>256</v>
      </c>
      <c r="L25" s="541" t="s">
        <v>121</v>
      </c>
      <c r="M25" s="541" t="str">
        <f t="shared" si="2"/>
        <v>--</v>
      </c>
      <c r="N25" s="542" t="str">
        <f t="shared" si="3"/>
        <v>--</v>
      </c>
      <c r="O25" s="543">
        <f t="shared" si="4"/>
        <v>30.889504204019996</v>
      </c>
      <c r="P25" s="544" t="str">
        <f t="shared" si="5"/>
        <v>--</v>
      </c>
      <c r="Q25" s="545" t="str">
        <f t="shared" si="6"/>
        <v>--</v>
      </c>
      <c r="R25" s="546" t="str">
        <f t="shared" si="7"/>
        <v>--</v>
      </c>
      <c r="S25" s="547" t="str">
        <f t="shared" si="8"/>
        <v>--</v>
      </c>
      <c r="T25" s="548" t="str">
        <f t="shared" si="9"/>
        <v>--</v>
      </c>
      <c r="U25" s="549" t="str">
        <f t="shared" si="10"/>
        <v>--</v>
      </c>
      <c r="V25" s="550" t="str">
        <f t="shared" si="11"/>
        <v>--</v>
      </c>
      <c r="W25" s="551" t="str">
        <f t="shared" si="12"/>
        <v>--</v>
      </c>
      <c r="X25" s="552" t="str">
        <f t="shared" si="13"/>
        <v>--</v>
      </c>
      <c r="Y25" s="553" t="str">
        <f t="shared" si="14"/>
        <v>SI</v>
      </c>
      <c r="Z25" s="554">
        <f t="shared" si="15"/>
        <v>30.889504204019996</v>
      </c>
      <c r="AA25" s="554">
        <v>24.113267304</v>
      </c>
      <c r="AB25" s="554">
        <f aca="true" t="shared" si="17" ref="AB25:AB32">+Z25-AA25</f>
        <v>6.776236900019995</v>
      </c>
      <c r="AC25" s="187"/>
    </row>
    <row r="26" spans="2:29" ht="16.5" customHeight="1">
      <c r="B26" s="130"/>
      <c r="C26" s="154">
        <v>2</v>
      </c>
      <c r="D26" s="154" t="s">
        <v>133</v>
      </c>
      <c r="E26" s="167">
        <v>132</v>
      </c>
      <c r="F26" s="168">
        <v>10</v>
      </c>
      <c r="G26" s="169">
        <f t="shared" si="16"/>
        <v>5.939307</v>
      </c>
      <c r="H26" s="170">
        <v>36258.45972222222</v>
      </c>
      <c r="I26" s="170">
        <v>36258.524305555555</v>
      </c>
      <c r="J26" s="171">
        <f t="shared" si="0"/>
        <v>1.5499999999883585</v>
      </c>
      <c r="K26" s="172">
        <f t="shared" si="1"/>
        <v>93</v>
      </c>
      <c r="L26" s="173" t="s">
        <v>121</v>
      </c>
      <c r="M26" s="173" t="str">
        <f t="shared" si="2"/>
        <v>--</v>
      </c>
      <c r="N26" s="174" t="str">
        <f t="shared" si="3"/>
        <v>--</v>
      </c>
      <c r="O26" s="175">
        <f t="shared" si="4"/>
        <v>2.7617777550000007</v>
      </c>
      <c r="P26" s="176" t="str">
        <f t="shared" si="5"/>
        <v>--</v>
      </c>
      <c r="Q26" s="177" t="str">
        <f t="shared" si="6"/>
        <v>--</v>
      </c>
      <c r="R26" s="178" t="str">
        <f t="shared" si="7"/>
        <v>--</v>
      </c>
      <c r="S26" s="179" t="str">
        <f t="shared" si="8"/>
        <v>--</v>
      </c>
      <c r="T26" s="180" t="str">
        <f t="shared" si="9"/>
        <v>--</v>
      </c>
      <c r="U26" s="181" t="str">
        <f t="shared" si="10"/>
        <v>--</v>
      </c>
      <c r="V26" s="182" t="str">
        <f t="shared" si="11"/>
        <v>--</v>
      </c>
      <c r="W26" s="183" t="str">
        <f t="shared" si="12"/>
        <v>--</v>
      </c>
      <c r="X26" s="184" t="str">
        <f t="shared" si="13"/>
        <v>--</v>
      </c>
      <c r="Y26" s="185" t="str">
        <f t="shared" si="14"/>
        <v>SI</v>
      </c>
      <c r="Z26" s="186">
        <f t="shared" si="15"/>
        <v>2.7617777550000007</v>
      </c>
      <c r="AA26" s="186">
        <v>2.155926</v>
      </c>
      <c r="AB26" s="186">
        <f t="shared" si="17"/>
        <v>0.6058517550000007</v>
      </c>
      <c r="AC26" s="187"/>
    </row>
    <row r="27" spans="2:29" ht="16.5" customHeight="1">
      <c r="B27" s="130"/>
      <c r="C27" s="154">
        <v>3</v>
      </c>
      <c r="D27" s="154" t="s">
        <v>178</v>
      </c>
      <c r="E27" s="167">
        <v>132</v>
      </c>
      <c r="F27" s="168">
        <v>170</v>
      </c>
      <c r="G27" s="169">
        <f t="shared" si="16"/>
        <v>100.96821899999999</v>
      </c>
      <c r="H27" s="170">
        <v>36259.33541666667</v>
      </c>
      <c r="I27" s="170">
        <v>36259.78680555556</v>
      </c>
      <c r="J27" s="171">
        <f t="shared" si="0"/>
        <v>10.833333333372138</v>
      </c>
      <c r="K27" s="172">
        <f t="shared" si="1"/>
        <v>650</v>
      </c>
      <c r="L27" s="173" t="s">
        <v>121</v>
      </c>
      <c r="M27" s="173" t="str">
        <f t="shared" si="2"/>
        <v>--</v>
      </c>
      <c r="N27" s="174" t="str">
        <f t="shared" si="3"/>
        <v>--</v>
      </c>
      <c r="O27" s="175">
        <f t="shared" si="4"/>
        <v>328.04574353099997</v>
      </c>
      <c r="P27" s="176" t="str">
        <f t="shared" si="5"/>
        <v>--</v>
      </c>
      <c r="Q27" s="177" t="str">
        <f t="shared" si="6"/>
        <v>--</v>
      </c>
      <c r="R27" s="178" t="str">
        <f t="shared" si="7"/>
        <v>--</v>
      </c>
      <c r="S27" s="179" t="str">
        <f t="shared" si="8"/>
        <v>--</v>
      </c>
      <c r="T27" s="180" t="str">
        <f t="shared" si="9"/>
        <v>--</v>
      </c>
      <c r="U27" s="181" t="str">
        <f t="shared" si="10"/>
        <v>--</v>
      </c>
      <c r="V27" s="182" t="str">
        <f t="shared" si="11"/>
        <v>--</v>
      </c>
      <c r="W27" s="183" t="str">
        <f t="shared" si="12"/>
        <v>--</v>
      </c>
      <c r="X27" s="184" t="str">
        <f t="shared" si="13"/>
        <v>--</v>
      </c>
      <c r="Y27" s="185" t="str">
        <f t="shared" si="14"/>
        <v>SI</v>
      </c>
      <c r="Z27" s="186">
        <f t="shared" si="15"/>
        <v>328.04574353099997</v>
      </c>
      <c r="AA27" s="186">
        <v>256.08228119999995</v>
      </c>
      <c r="AB27" s="186">
        <f t="shared" si="17"/>
        <v>71.96346233100002</v>
      </c>
      <c r="AC27" s="187"/>
    </row>
    <row r="28" spans="2:29" ht="16.5" customHeight="1">
      <c r="B28" s="130"/>
      <c r="C28" s="154">
        <v>4</v>
      </c>
      <c r="D28" s="154" t="s">
        <v>178</v>
      </c>
      <c r="E28" s="167">
        <v>132</v>
      </c>
      <c r="F28" s="168">
        <v>170</v>
      </c>
      <c r="G28" s="169">
        <f t="shared" si="16"/>
        <v>100.96821899999999</v>
      </c>
      <c r="H28" s="170">
        <v>36260.32361111111</v>
      </c>
      <c r="I28" s="170">
        <v>36260.77291666667</v>
      </c>
      <c r="J28" s="171">
        <f t="shared" si="0"/>
        <v>10.78333333338378</v>
      </c>
      <c r="K28" s="172">
        <f t="shared" si="1"/>
        <v>647</v>
      </c>
      <c r="L28" s="173" t="s">
        <v>121</v>
      </c>
      <c r="M28" s="173" t="str">
        <f t="shared" si="2"/>
        <v>--</v>
      </c>
      <c r="N28" s="174" t="str">
        <f t="shared" si="3"/>
        <v>--</v>
      </c>
      <c r="O28" s="175">
        <f t="shared" si="4"/>
        <v>326.5312202459999</v>
      </c>
      <c r="P28" s="176" t="str">
        <f t="shared" si="5"/>
        <v>--</v>
      </c>
      <c r="Q28" s="177" t="str">
        <f t="shared" si="6"/>
        <v>--</v>
      </c>
      <c r="R28" s="178" t="str">
        <f t="shared" si="7"/>
        <v>--</v>
      </c>
      <c r="S28" s="179" t="str">
        <f t="shared" si="8"/>
        <v>--</v>
      </c>
      <c r="T28" s="180" t="str">
        <f t="shared" si="9"/>
        <v>--</v>
      </c>
      <c r="U28" s="181" t="str">
        <f t="shared" si="10"/>
        <v>--</v>
      </c>
      <c r="V28" s="182" t="str">
        <f t="shared" si="11"/>
        <v>--</v>
      </c>
      <c r="W28" s="183" t="str">
        <f t="shared" si="12"/>
        <v>--</v>
      </c>
      <c r="X28" s="184" t="str">
        <f t="shared" si="13"/>
        <v>--</v>
      </c>
      <c r="Y28" s="185" t="str">
        <f t="shared" si="14"/>
        <v>SI</v>
      </c>
      <c r="Z28" s="186">
        <f t="shared" si="15"/>
        <v>326.5312202459999</v>
      </c>
      <c r="AA28" s="186">
        <v>254.89999919999994</v>
      </c>
      <c r="AB28" s="186">
        <f t="shared" si="17"/>
        <v>71.63122104599998</v>
      </c>
      <c r="AC28" s="187"/>
    </row>
    <row r="29" spans="2:29" ht="16.5" customHeight="1">
      <c r="B29" s="130"/>
      <c r="C29" s="154">
        <v>5</v>
      </c>
      <c r="D29" s="154" t="s">
        <v>178</v>
      </c>
      <c r="E29" s="167">
        <v>132</v>
      </c>
      <c r="F29" s="168">
        <v>170</v>
      </c>
      <c r="G29" s="169">
        <f t="shared" si="16"/>
        <v>100.96821899999999</v>
      </c>
      <c r="H29" s="170">
        <v>36261.32083333333</v>
      </c>
      <c r="I29" s="170">
        <v>36261.77013888889</v>
      </c>
      <c r="J29" s="171">
        <f t="shared" si="0"/>
        <v>10.78333333338378</v>
      </c>
      <c r="K29" s="172">
        <f t="shared" si="1"/>
        <v>647</v>
      </c>
      <c r="L29" s="173" t="s">
        <v>121</v>
      </c>
      <c r="M29" s="173" t="str">
        <f t="shared" si="2"/>
        <v>--</v>
      </c>
      <c r="N29" s="174" t="str">
        <f t="shared" si="3"/>
        <v>--</v>
      </c>
      <c r="O29" s="175">
        <f t="shared" si="4"/>
        <v>326.5312202459999</v>
      </c>
      <c r="P29" s="176" t="str">
        <f t="shared" si="5"/>
        <v>--</v>
      </c>
      <c r="Q29" s="177" t="str">
        <f t="shared" si="6"/>
        <v>--</v>
      </c>
      <c r="R29" s="178" t="str">
        <f t="shared" si="7"/>
        <v>--</v>
      </c>
      <c r="S29" s="179" t="str">
        <f t="shared" si="8"/>
        <v>--</v>
      </c>
      <c r="T29" s="180" t="str">
        <f t="shared" si="9"/>
        <v>--</v>
      </c>
      <c r="U29" s="181" t="str">
        <f t="shared" si="10"/>
        <v>--</v>
      </c>
      <c r="V29" s="182" t="str">
        <f t="shared" si="11"/>
        <v>--</v>
      </c>
      <c r="W29" s="183" t="str">
        <f t="shared" si="12"/>
        <v>--</v>
      </c>
      <c r="X29" s="184" t="str">
        <f t="shared" si="13"/>
        <v>--</v>
      </c>
      <c r="Y29" s="185" t="str">
        <f t="shared" si="14"/>
        <v>SI</v>
      </c>
      <c r="Z29" s="186">
        <f t="shared" si="15"/>
        <v>326.5312202459999</v>
      </c>
      <c r="AA29" s="186">
        <v>254.89999919999994</v>
      </c>
      <c r="AB29" s="186">
        <f t="shared" si="17"/>
        <v>71.63122104599998</v>
      </c>
      <c r="AC29" s="187"/>
    </row>
    <row r="30" spans="2:29" ht="16.5" customHeight="1">
      <c r="B30" s="130"/>
      <c r="C30" s="154">
        <v>6</v>
      </c>
      <c r="D30" s="188" t="s">
        <v>9</v>
      </c>
      <c r="E30" s="167">
        <v>132</v>
      </c>
      <c r="F30" s="168">
        <v>25.5</v>
      </c>
      <c r="G30" s="169">
        <f t="shared" si="16"/>
        <v>15.145232850000001</v>
      </c>
      <c r="H30" s="170">
        <v>36262.38958333333</v>
      </c>
      <c r="I30" s="170">
        <v>36263.083333333336</v>
      </c>
      <c r="J30" s="171">
        <f t="shared" si="0"/>
        <v>16.6500000001397</v>
      </c>
      <c r="K30" s="172">
        <f t="shared" si="1"/>
        <v>999</v>
      </c>
      <c r="L30" s="173" t="s">
        <v>121</v>
      </c>
      <c r="M30" s="173" t="str">
        <f t="shared" si="2"/>
        <v>--</v>
      </c>
      <c r="N30" s="174" t="str">
        <f t="shared" si="3"/>
        <v>--</v>
      </c>
      <c r="O30" s="175">
        <f t="shared" si="4"/>
        <v>75.65043808575</v>
      </c>
      <c r="P30" s="176" t="str">
        <f t="shared" si="5"/>
        <v>--</v>
      </c>
      <c r="Q30" s="177" t="str">
        <f t="shared" si="6"/>
        <v>--</v>
      </c>
      <c r="R30" s="178" t="str">
        <f t="shared" si="7"/>
        <v>--</v>
      </c>
      <c r="S30" s="179" t="str">
        <f t="shared" si="8"/>
        <v>--</v>
      </c>
      <c r="T30" s="180" t="str">
        <f t="shared" si="9"/>
        <v>--</v>
      </c>
      <c r="U30" s="181" t="str">
        <f t="shared" si="10"/>
        <v>--</v>
      </c>
      <c r="V30" s="182" t="str">
        <f t="shared" si="11"/>
        <v>--</v>
      </c>
      <c r="W30" s="183" t="str">
        <f t="shared" si="12"/>
        <v>--</v>
      </c>
      <c r="X30" s="184" t="str">
        <f t="shared" si="13"/>
        <v>--</v>
      </c>
      <c r="Y30" s="185" t="str">
        <f t="shared" si="14"/>
        <v>SI</v>
      </c>
      <c r="Z30" s="186">
        <f t="shared" si="15"/>
        <v>75.65043808575</v>
      </c>
      <c r="AA30" s="186">
        <v>59.05498589999999</v>
      </c>
      <c r="AB30" s="186">
        <f t="shared" si="17"/>
        <v>16.595452185750005</v>
      </c>
      <c r="AC30" s="187"/>
    </row>
    <row r="31" spans="2:29" ht="16.5" customHeight="1">
      <c r="B31" s="130"/>
      <c r="C31" s="154">
        <v>7</v>
      </c>
      <c r="D31" s="188" t="s">
        <v>5</v>
      </c>
      <c r="E31" s="167">
        <v>132</v>
      </c>
      <c r="F31" s="168">
        <v>16.8</v>
      </c>
      <c r="G31" s="169">
        <f t="shared" si="16"/>
        <v>9.978035760000001</v>
      </c>
      <c r="H31" s="170">
        <v>36264.42847222222</v>
      </c>
      <c r="I31" s="170">
        <v>36264.561111111114</v>
      </c>
      <c r="J31" s="171">
        <f t="shared" si="0"/>
        <v>3.183333333407063</v>
      </c>
      <c r="K31" s="172">
        <f t="shared" si="1"/>
        <v>191</v>
      </c>
      <c r="L31" s="173" t="s">
        <v>121</v>
      </c>
      <c r="M31" s="173" t="str">
        <f t="shared" si="2"/>
        <v>--</v>
      </c>
      <c r="N31" s="174" t="str">
        <f t="shared" si="3"/>
        <v>--</v>
      </c>
      <c r="O31" s="175">
        <f t="shared" si="4"/>
        <v>9.51904611504</v>
      </c>
      <c r="P31" s="176" t="str">
        <f t="shared" si="5"/>
        <v>--</v>
      </c>
      <c r="Q31" s="177" t="str">
        <f t="shared" si="6"/>
        <v>--</v>
      </c>
      <c r="R31" s="178" t="str">
        <f t="shared" si="7"/>
        <v>--</v>
      </c>
      <c r="S31" s="179" t="str">
        <f t="shared" si="8"/>
        <v>--</v>
      </c>
      <c r="T31" s="180" t="str">
        <f t="shared" si="9"/>
        <v>--</v>
      </c>
      <c r="U31" s="181" t="str">
        <f t="shared" si="10"/>
        <v>--</v>
      </c>
      <c r="V31" s="182" t="str">
        <f t="shared" si="11"/>
        <v>--</v>
      </c>
      <c r="W31" s="183" t="str">
        <f t="shared" si="12"/>
        <v>--</v>
      </c>
      <c r="X31" s="184" t="str">
        <f t="shared" si="13"/>
        <v>--</v>
      </c>
      <c r="Y31" s="185" t="str">
        <f t="shared" si="14"/>
        <v>SI</v>
      </c>
      <c r="Z31" s="186">
        <f t="shared" si="15"/>
        <v>9.51904611504</v>
      </c>
      <c r="AA31" s="186">
        <v>7.430851008000001</v>
      </c>
      <c r="AB31" s="186">
        <f t="shared" si="17"/>
        <v>2.088195107039999</v>
      </c>
      <c r="AC31" s="187"/>
    </row>
    <row r="32" spans="2:29" ht="16.5" customHeight="1">
      <c r="B32" s="130"/>
      <c r="C32" s="154">
        <v>8</v>
      </c>
      <c r="D32" s="188" t="s">
        <v>7</v>
      </c>
      <c r="E32" s="167">
        <v>132</v>
      </c>
      <c r="F32" s="168">
        <v>30</v>
      </c>
      <c r="G32" s="169">
        <f t="shared" si="16"/>
        <v>17.817921000000002</v>
      </c>
      <c r="H32" s="170">
        <v>36275.33263888889</v>
      </c>
      <c r="I32" s="170">
        <v>36275.65694444445</v>
      </c>
      <c r="J32" s="171">
        <f t="shared" si="0"/>
        <v>7.78333333338378</v>
      </c>
      <c r="K32" s="172">
        <f t="shared" si="1"/>
        <v>467</v>
      </c>
      <c r="L32" s="173" t="s">
        <v>121</v>
      </c>
      <c r="M32" s="173" t="str">
        <f t="shared" si="2"/>
        <v>--</v>
      </c>
      <c r="N32" s="174" t="str">
        <f t="shared" si="3"/>
        <v>--</v>
      </c>
      <c r="O32" s="175">
        <f t="shared" si="4"/>
        <v>41.58702761400001</v>
      </c>
      <c r="P32" s="176" t="str">
        <f t="shared" si="5"/>
        <v>--</v>
      </c>
      <c r="Q32" s="177" t="str">
        <f t="shared" si="6"/>
        <v>--</v>
      </c>
      <c r="R32" s="178" t="str">
        <f t="shared" si="7"/>
        <v>--</v>
      </c>
      <c r="S32" s="179" t="str">
        <f t="shared" si="8"/>
        <v>--</v>
      </c>
      <c r="T32" s="180" t="str">
        <f t="shared" si="9"/>
        <v>--</v>
      </c>
      <c r="U32" s="181" t="str">
        <f t="shared" si="10"/>
        <v>--</v>
      </c>
      <c r="V32" s="182" t="str">
        <f t="shared" si="11"/>
        <v>--</v>
      </c>
      <c r="W32" s="183" t="str">
        <f t="shared" si="12"/>
        <v>--</v>
      </c>
      <c r="X32" s="184" t="str">
        <f t="shared" si="13"/>
        <v>--</v>
      </c>
      <c r="Y32" s="185" t="str">
        <f t="shared" si="14"/>
        <v>SI</v>
      </c>
      <c r="Z32" s="186">
        <f t="shared" si="15"/>
        <v>41.58702761400001</v>
      </c>
      <c r="AA32" s="186">
        <v>32.4640728</v>
      </c>
      <c r="AB32" s="186">
        <f t="shared" si="17"/>
        <v>9.12295481400001</v>
      </c>
      <c r="AC32" s="187"/>
    </row>
    <row r="33" spans="2:29" ht="16.5" customHeight="1">
      <c r="B33" s="130"/>
      <c r="C33" s="154"/>
      <c r="D33" s="188"/>
      <c r="E33" s="167"/>
      <c r="F33" s="168"/>
      <c r="G33" s="169">
        <f t="shared" si="16"/>
        <v>0</v>
      </c>
      <c r="H33" s="170"/>
      <c r="I33" s="170"/>
      <c r="J33" s="171">
        <f t="shared" si="0"/>
      </c>
      <c r="K33" s="172">
        <f t="shared" si="1"/>
      </c>
      <c r="L33" s="173"/>
      <c r="M33" s="173">
        <f t="shared" si="2"/>
      </c>
      <c r="N33" s="174">
        <f t="shared" si="3"/>
      </c>
      <c r="O33" s="175" t="str">
        <f t="shared" si="4"/>
        <v>--</v>
      </c>
      <c r="P33" s="176" t="str">
        <f t="shared" si="5"/>
        <v>--</v>
      </c>
      <c r="Q33" s="177" t="str">
        <f t="shared" si="6"/>
        <v>--</v>
      </c>
      <c r="R33" s="178" t="str">
        <f t="shared" si="7"/>
        <v>--</v>
      </c>
      <c r="S33" s="179" t="str">
        <f t="shared" si="8"/>
        <v>--</v>
      </c>
      <c r="T33" s="180" t="str">
        <f t="shared" si="9"/>
        <v>--</v>
      </c>
      <c r="U33" s="181" t="str">
        <f t="shared" si="10"/>
        <v>--</v>
      </c>
      <c r="V33" s="182" t="str">
        <f t="shared" si="11"/>
        <v>--</v>
      </c>
      <c r="W33" s="183" t="str">
        <f t="shared" si="12"/>
        <v>--</v>
      </c>
      <c r="X33" s="184" t="str">
        <f t="shared" si="13"/>
        <v>--</v>
      </c>
      <c r="Y33" s="185">
        <f t="shared" si="14"/>
      </c>
      <c r="Z33" s="186">
        <f t="shared" si="15"/>
      </c>
      <c r="AA33" s="186" t="s">
        <v>126</v>
      </c>
      <c r="AB33" s="186"/>
      <c r="AC33" s="187"/>
    </row>
    <row r="34" spans="2:29" ht="16.5" customHeight="1">
      <c r="B34" s="130"/>
      <c r="C34" s="154"/>
      <c r="D34" s="188"/>
      <c r="E34" s="167"/>
      <c r="F34" s="168"/>
      <c r="G34" s="169">
        <f t="shared" si="16"/>
        <v>0</v>
      </c>
      <c r="H34" s="170"/>
      <c r="I34" s="170"/>
      <c r="J34" s="171">
        <f t="shared" si="0"/>
      </c>
      <c r="K34" s="172">
        <f t="shared" si="1"/>
      </c>
      <c r="L34" s="173"/>
      <c r="M34" s="173">
        <f t="shared" si="2"/>
      </c>
      <c r="N34" s="174">
        <f t="shared" si="3"/>
      </c>
      <c r="O34" s="175" t="str">
        <f t="shared" si="4"/>
        <v>--</v>
      </c>
      <c r="P34" s="176" t="str">
        <f t="shared" si="5"/>
        <v>--</v>
      </c>
      <c r="Q34" s="177" t="str">
        <f t="shared" si="6"/>
        <v>--</v>
      </c>
      <c r="R34" s="178" t="str">
        <f t="shared" si="7"/>
        <v>--</v>
      </c>
      <c r="S34" s="179" t="str">
        <f t="shared" si="8"/>
        <v>--</v>
      </c>
      <c r="T34" s="180" t="str">
        <f t="shared" si="9"/>
        <v>--</v>
      </c>
      <c r="U34" s="181" t="str">
        <f t="shared" si="10"/>
        <v>--</v>
      </c>
      <c r="V34" s="182" t="str">
        <f t="shared" si="11"/>
        <v>--</v>
      </c>
      <c r="W34" s="183" t="str">
        <f t="shared" si="12"/>
        <v>--</v>
      </c>
      <c r="X34" s="184" t="str">
        <f t="shared" si="13"/>
        <v>--</v>
      </c>
      <c r="Y34" s="185">
        <f t="shared" si="14"/>
      </c>
      <c r="Z34" s="186">
        <f t="shared" si="15"/>
      </c>
      <c r="AA34" s="186" t="s">
        <v>126</v>
      </c>
      <c r="AB34" s="186"/>
      <c r="AC34" s="187"/>
    </row>
    <row r="35" spans="2:29" ht="16.5" customHeight="1">
      <c r="B35" s="130"/>
      <c r="C35" s="154"/>
      <c r="D35" s="188"/>
      <c r="E35" s="167"/>
      <c r="F35" s="168"/>
      <c r="G35" s="169">
        <f t="shared" si="16"/>
        <v>0</v>
      </c>
      <c r="H35" s="170"/>
      <c r="I35" s="170"/>
      <c r="J35" s="171">
        <f t="shared" si="0"/>
      </c>
      <c r="K35" s="172">
        <f t="shared" si="1"/>
      </c>
      <c r="L35" s="173"/>
      <c r="M35" s="173">
        <f t="shared" si="2"/>
      </c>
      <c r="N35" s="174">
        <f t="shared" si="3"/>
      </c>
      <c r="O35" s="175" t="str">
        <f t="shared" si="4"/>
        <v>--</v>
      </c>
      <c r="P35" s="176" t="str">
        <f t="shared" si="5"/>
        <v>--</v>
      </c>
      <c r="Q35" s="177" t="str">
        <f t="shared" si="6"/>
        <v>--</v>
      </c>
      <c r="R35" s="178" t="str">
        <f t="shared" si="7"/>
        <v>--</v>
      </c>
      <c r="S35" s="179" t="str">
        <f t="shared" si="8"/>
        <v>--</v>
      </c>
      <c r="T35" s="180" t="str">
        <f t="shared" si="9"/>
        <v>--</v>
      </c>
      <c r="U35" s="181" t="str">
        <f t="shared" si="10"/>
        <v>--</v>
      </c>
      <c r="V35" s="182" t="str">
        <f t="shared" si="11"/>
        <v>--</v>
      </c>
      <c r="W35" s="183" t="str">
        <f t="shared" si="12"/>
        <v>--</v>
      </c>
      <c r="X35" s="184" t="str">
        <f t="shared" si="13"/>
        <v>--</v>
      </c>
      <c r="Y35" s="185">
        <f t="shared" si="14"/>
      </c>
      <c r="Z35" s="186">
        <f t="shared" si="15"/>
      </c>
      <c r="AA35" s="186" t="s">
        <v>126</v>
      </c>
      <c r="AB35" s="186"/>
      <c r="AC35" s="187"/>
    </row>
    <row r="36" spans="2:29" ht="16.5" customHeight="1">
      <c r="B36" s="130"/>
      <c r="C36" s="154"/>
      <c r="D36" s="188"/>
      <c r="E36" s="167"/>
      <c r="F36" s="168"/>
      <c r="G36" s="169">
        <f t="shared" si="16"/>
        <v>0</v>
      </c>
      <c r="H36" s="170"/>
      <c r="I36" s="170"/>
      <c r="J36" s="171">
        <f t="shared" si="0"/>
      </c>
      <c r="K36" s="172">
        <f t="shared" si="1"/>
      </c>
      <c r="L36" s="173"/>
      <c r="M36" s="173">
        <f t="shared" si="2"/>
      </c>
      <c r="N36" s="174">
        <f t="shared" si="3"/>
      </c>
      <c r="O36" s="175" t="str">
        <f t="shared" si="4"/>
        <v>--</v>
      </c>
      <c r="P36" s="176" t="str">
        <f t="shared" si="5"/>
        <v>--</v>
      </c>
      <c r="Q36" s="177" t="str">
        <f t="shared" si="6"/>
        <v>--</v>
      </c>
      <c r="R36" s="178" t="str">
        <f t="shared" si="7"/>
        <v>--</v>
      </c>
      <c r="S36" s="179" t="str">
        <f t="shared" si="8"/>
        <v>--</v>
      </c>
      <c r="T36" s="180" t="str">
        <f t="shared" si="9"/>
        <v>--</v>
      </c>
      <c r="U36" s="181" t="str">
        <f t="shared" si="10"/>
        <v>--</v>
      </c>
      <c r="V36" s="182" t="str">
        <f t="shared" si="11"/>
        <v>--</v>
      </c>
      <c r="W36" s="183" t="str">
        <f t="shared" si="12"/>
        <v>--</v>
      </c>
      <c r="X36" s="184" t="str">
        <f t="shared" si="13"/>
        <v>--</v>
      </c>
      <c r="Y36" s="185">
        <f t="shared" si="14"/>
      </c>
      <c r="Z36" s="186">
        <f t="shared" si="15"/>
      </c>
      <c r="AA36" s="186" t="s">
        <v>126</v>
      </c>
      <c r="AB36" s="186"/>
      <c r="AC36" s="187"/>
    </row>
    <row r="37" spans="2:29" ht="16.5" customHeight="1">
      <c r="B37" s="130"/>
      <c r="C37" s="154"/>
      <c r="D37" s="188"/>
      <c r="E37" s="167"/>
      <c r="F37" s="168"/>
      <c r="G37" s="169">
        <f t="shared" si="16"/>
        <v>0</v>
      </c>
      <c r="H37" s="170"/>
      <c r="I37" s="170"/>
      <c r="J37" s="171">
        <f t="shared" si="0"/>
      </c>
      <c r="K37" s="172">
        <f t="shared" si="1"/>
      </c>
      <c r="L37" s="173"/>
      <c r="M37" s="173">
        <f t="shared" si="2"/>
      </c>
      <c r="N37" s="174">
        <f t="shared" si="3"/>
      </c>
      <c r="O37" s="175" t="str">
        <f t="shared" si="4"/>
        <v>--</v>
      </c>
      <c r="P37" s="176" t="str">
        <f t="shared" si="5"/>
        <v>--</v>
      </c>
      <c r="Q37" s="177" t="str">
        <f t="shared" si="6"/>
        <v>--</v>
      </c>
      <c r="R37" s="178" t="str">
        <f t="shared" si="7"/>
        <v>--</v>
      </c>
      <c r="S37" s="179" t="str">
        <f t="shared" si="8"/>
        <v>--</v>
      </c>
      <c r="T37" s="180" t="str">
        <f t="shared" si="9"/>
        <v>--</v>
      </c>
      <c r="U37" s="181" t="str">
        <f t="shared" si="10"/>
        <v>--</v>
      </c>
      <c r="V37" s="182" t="str">
        <f t="shared" si="11"/>
        <v>--</v>
      </c>
      <c r="W37" s="183" t="str">
        <f t="shared" si="12"/>
        <v>--</v>
      </c>
      <c r="X37" s="184" t="str">
        <f t="shared" si="13"/>
        <v>--</v>
      </c>
      <c r="Y37" s="185">
        <f t="shared" si="14"/>
      </c>
      <c r="Z37" s="186">
        <f t="shared" si="15"/>
      </c>
      <c r="AA37" s="186" t="s">
        <v>126</v>
      </c>
      <c r="AB37" s="186"/>
      <c r="AC37" s="187"/>
    </row>
    <row r="38" spans="2:29" ht="16.5" customHeight="1">
      <c r="B38" s="130"/>
      <c r="C38" s="154"/>
      <c r="D38" s="188"/>
      <c r="E38" s="167"/>
      <c r="F38" s="168"/>
      <c r="G38" s="169">
        <f t="shared" si="16"/>
        <v>0</v>
      </c>
      <c r="H38" s="170"/>
      <c r="I38" s="170"/>
      <c r="J38" s="171">
        <f t="shared" si="0"/>
      </c>
      <c r="K38" s="172">
        <f t="shared" si="1"/>
      </c>
      <c r="L38" s="173"/>
      <c r="M38" s="173">
        <f t="shared" si="2"/>
      </c>
      <c r="N38" s="174">
        <f t="shared" si="3"/>
      </c>
      <c r="O38" s="175" t="str">
        <f t="shared" si="4"/>
        <v>--</v>
      </c>
      <c r="P38" s="176" t="str">
        <f t="shared" si="5"/>
        <v>--</v>
      </c>
      <c r="Q38" s="177" t="str">
        <f t="shared" si="6"/>
        <v>--</v>
      </c>
      <c r="R38" s="178" t="str">
        <f t="shared" si="7"/>
        <v>--</v>
      </c>
      <c r="S38" s="179" t="str">
        <f t="shared" si="8"/>
        <v>--</v>
      </c>
      <c r="T38" s="180" t="str">
        <f t="shared" si="9"/>
        <v>--</v>
      </c>
      <c r="U38" s="181" t="str">
        <f t="shared" si="10"/>
        <v>--</v>
      </c>
      <c r="V38" s="182" t="str">
        <f t="shared" si="11"/>
        <v>--</v>
      </c>
      <c r="W38" s="183" t="str">
        <f t="shared" si="12"/>
        <v>--</v>
      </c>
      <c r="X38" s="184" t="str">
        <f t="shared" si="13"/>
        <v>--</v>
      </c>
      <c r="Y38" s="185">
        <f t="shared" si="14"/>
      </c>
      <c r="Z38" s="186">
        <f t="shared" si="15"/>
      </c>
      <c r="AA38" s="186" t="s">
        <v>126</v>
      </c>
      <c r="AB38" s="186"/>
      <c r="AC38" s="187"/>
    </row>
    <row r="39" spans="2:29" ht="16.5" customHeight="1">
      <c r="B39" s="130"/>
      <c r="C39" s="154"/>
      <c r="D39" s="188"/>
      <c r="E39" s="167"/>
      <c r="F39" s="168"/>
      <c r="G39" s="169">
        <f t="shared" si="16"/>
        <v>0</v>
      </c>
      <c r="H39" s="170"/>
      <c r="I39" s="170"/>
      <c r="J39" s="171">
        <f t="shared" si="0"/>
      </c>
      <c r="K39" s="172">
        <f t="shared" si="1"/>
      </c>
      <c r="L39" s="173"/>
      <c r="M39" s="173">
        <f t="shared" si="2"/>
      </c>
      <c r="N39" s="174">
        <f t="shared" si="3"/>
      </c>
      <c r="O39" s="175" t="str">
        <f t="shared" si="4"/>
        <v>--</v>
      </c>
      <c r="P39" s="176" t="str">
        <f t="shared" si="5"/>
        <v>--</v>
      </c>
      <c r="Q39" s="177" t="str">
        <f t="shared" si="6"/>
        <v>--</v>
      </c>
      <c r="R39" s="178" t="str">
        <f t="shared" si="7"/>
        <v>--</v>
      </c>
      <c r="S39" s="179" t="str">
        <f t="shared" si="8"/>
        <v>--</v>
      </c>
      <c r="T39" s="180" t="str">
        <f t="shared" si="9"/>
        <v>--</v>
      </c>
      <c r="U39" s="181" t="str">
        <f t="shared" si="10"/>
        <v>--</v>
      </c>
      <c r="V39" s="182" t="str">
        <f t="shared" si="11"/>
        <v>--</v>
      </c>
      <c r="W39" s="183" t="str">
        <f t="shared" si="12"/>
        <v>--</v>
      </c>
      <c r="X39" s="184" t="str">
        <f t="shared" si="13"/>
        <v>--</v>
      </c>
      <c r="Y39" s="185">
        <f t="shared" si="14"/>
      </c>
      <c r="Z39" s="186">
        <f t="shared" si="15"/>
      </c>
      <c r="AA39" s="186" t="s">
        <v>126</v>
      </c>
      <c r="AB39" s="186"/>
      <c r="AC39" s="187"/>
    </row>
    <row r="40" spans="2:29" ht="16.5" customHeight="1">
      <c r="B40" s="130"/>
      <c r="C40" s="154"/>
      <c r="D40" s="188"/>
      <c r="E40" s="167"/>
      <c r="F40" s="168"/>
      <c r="G40" s="169">
        <f t="shared" si="16"/>
        <v>0</v>
      </c>
      <c r="H40" s="170"/>
      <c r="I40" s="170"/>
      <c r="J40" s="171">
        <f t="shared" si="0"/>
      </c>
      <c r="K40" s="172">
        <f t="shared" si="1"/>
      </c>
      <c r="L40" s="173"/>
      <c r="M40" s="173">
        <f t="shared" si="2"/>
      </c>
      <c r="N40" s="174">
        <f t="shared" si="3"/>
      </c>
      <c r="O40" s="175" t="str">
        <f t="shared" si="4"/>
        <v>--</v>
      </c>
      <c r="P40" s="176" t="str">
        <f t="shared" si="5"/>
        <v>--</v>
      </c>
      <c r="Q40" s="177" t="str">
        <f t="shared" si="6"/>
        <v>--</v>
      </c>
      <c r="R40" s="178" t="str">
        <f t="shared" si="7"/>
        <v>--</v>
      </c>
      <c r="S40" s="179" t="str">
        <f t="shared" si="8"/>
        <v>--</v>
      </c>
      <c r="T40" s="180" t="str">
        <f t="shared" si="9"/>
        <v>--</v>
      </c>
      <c r="U40" s="181" t="str">
        <f t="shared" si="10"/>
        <v>--</v>
      </c>
      <c r="V40" s="182" t="str">
        <f t="shared" si="11"/>
        <v>--</v>
      </c>
      <c r="W40" s="183" t="str">
        <f t="shared" si="12"/>
        <v>--</v>
      </c>
      <c r="X40" s="184" t="str">
        <f t="shared" si="13"/>
        <v>--</v>
      </c>
      <c r="Y40" s="185">
        <f t="shared" si="14"/>
      </c>
      <c r="Z40" s="186">
        <f t="shared" si="15"/>
      </c>
      <c r="AA40" s="186" t="s">
        <v>126</v>
      </c>
      <c r="AB40" s="186"/>
      <c r="AC40" s="187"/>
    </row>
    <row r="41" spans="2:29" ht="16.5" customHeight="1" thickBot="1">
      <c r="B41" s="130"/>
      <c r="C41" s="189"/>
      <c r="D41" s="190"/>
      <c r="E41" s="189"/>
      <c r="F41" s="191"/>
      <c r="G41" s="192"/>
      <c r="H41" s="193"/>
      <c r="I41" s="193"/>
      <c r="J41" s="194"/>
      <c r="K41" s="194"/>
      <c r="L41" s="193"/>
      <c r="M41" s="193"/>
      <c r="N41" s="195"/>
      <c r="O41" s="196"/>
      <c r="P41" s="197"/>
      <c r="Q41" s="198"/>
      <c r="R41" s="199"/>
      <c r="S41" s="200"/>
      <c r="T41" s="201"/>
      <c r="U41" s="202"/>
      <c r="V41" s="203"/>
      <c r="W41" s="204"/>
      <c r="X41" s="205"/>
      <c r="Y41" s="206"/>
      <c r="Z41" s="472"/>
      <c r="AA41" s="472"/>
      <c r="AB41" s="472"/>
      <c r="AC41" s="187"/>
    </row>
    <row r="42" spans="2:29" ht="16.5" customHeight="1" thickBot="1" thickTop="1">
      <c r="B42" s="85"/>
      <c r="C42" s="208" t="s">
        <v>120</v>
      </c>
      <c r="D42" s="209" t="s">
        <v>92</v>
      </c>
      <c r="E42" s="98"/>
      <c r="F42" s="210"/>
      <c r="G42" s="211"/>
      <c r="H42" s="211"/>
      <c r="I42" s="211"/>
      <c r="J42" s="211"/>
      <c r="K42" s="211"/>
      <c r="L42" s="211"/>
      <c r="M42" s="211"/>
      <c r="N42" s="212"/>
      <c r="O42" s="213"/>
      <c r="P42" s="213"/>
      <c r="Q42" s="214"/>
      <c r="R42" s="214"/>
      <c r="S42" s="215"/>
      <c r="T42" s="214"/>
      <c r="U42" s="214"/>
      <c r="V42" s="215"/>
      <c r="W42" s="215"/>
      <c r="X42" s="215"/>
      <c r="Y42" s="216"/>
      <c r="Z42" s="442">
        <f>ROUND(SUM(Z18:Z41),2)</f>
        <v>64690.05</v>
      </c>
      <c r="AA42" s="442">
        <f>ROUND(SUM(AA18:AA41),2)</f>
        <v>50327.7</v>
      </c>
      <c r="AB42" s="442">
        <f>ROUND(SUM(AB18:AB41),2)</f>
        <v>14362.35</v>
      </c>
      <c r="AC42" s="187"/>
    </row>
    <row r="43" spans="2:29" s="217" customFormat="1" ht="9.75" thickTop="1">
      <c r="B43" s="218"/>
      <c r="C43" s="219"/>
      <c r="D43" s="220" t="s">
        <v>93</v>
      </c>
      <c r="AC43" s="221"/>
    </row>
    <row r="44" spans="2:29" ht="16.5" customHeight="1" thickBo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</row>
    <row r="45" ht="13.5" thickTop="1"/>
    <row r="54" ht="12.75">
      <c r="H54" s="225"/>
    </row>
    <row r="55" ht="12.75">
      <c r="H55" s="225"/>
    </row>
    <row r="56" ht="12.75">
      <c r="H56" s="225"/>
    </row>
    <row r="57" spans="8:9" ht="12.75">
      <c r="H57" s="226"/>
      <c r="I57" s="227"/>
    </row>
    <row r="58" ht="12.75">
      <c r="H58" s="225"/>
    </row>
  </sheetData>
  <mergeCells count="1">
    <mergeCell ref="C24:AB2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Juan Pablo Llorens</cp:lastModifiedBy>
  <cp:lastPrinted>1999-12-22T13:49:36Z</cp:lastPrinted>
  <dcterms:created xsi:type="dcterms:W3CDTF">1998-09-02T19:31:06Z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