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931" activeTab="0"/>
  </bookViews>
  <sheets>
    <sheet name="TOT-0515" sheetId="1" r:id="rId1"/>
    <sheet name="LI-05 (1)" sheetId="2" r:id="rId2"/>
    <sheet name="T-05 (1)" sheetId="3" r:id="rId3"/>
    <sheet name="T-05 (2)" sheetId="4" r:id="rId4"/>
    <sheet name="T-05 (3)" sheetId="5" r:id="rId5"/>
    <sheet name="SA-05 (1)" sheetId="6" r:id="rId6"/>
  </sheets>
  <definedNames/>
  <calcPr fullCalcOnLoad="1"/>
</workbook>
</file>

<file path=xl/sharedStrings.xml><?xml version="1.0" encoding="utf-8"?>
<sst xmlns="http://schemas.openxmlformats.org/spreadsheetml/2006/main" count="460" uniqueCount="127">
  <si>
    <t>SISTEMA DE TRANSPORTE DE ENERGÍA ELÉCTRICA POR DISTRIBUCIÓN TRONCAL</t>
  </si>
  <si>
    <t>TRANSNEA S.A.</t>
  </si>
  <si>
    <t xml:space="preserve">ENTE NACIONAL REGULADOR </t>
  </si>
  <si>
    <t>DE LA ELECTRICIDAD</t>
  </si>
  <si>
    <t>Sanciones duplicadas por tasa de falla &gt; 4 Sal. x año/100km.</t>
  </si>
  <si>
    <t>1.-</t>
  </si>
  <si>
    <t>LÍNEAS</t>
  </si>
  <si>
    <t>1.1.-</t>
  </si>
  <si>
    <t>Equipamiento propio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</si>
  <si>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</si>
  <si>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</si>
  <si>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</si>
  <si>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</si>
  <si>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</si>
  <si>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</si>
  <si>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</si>
  <si>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SISTEMA DE TRANSPORTE DE ENERGÍA ELÉCTRICA POR DISTRIBUCIÓN TRONCAL - TRANSNEA S.A.</t>
  </si>
  <si>
    <t>1.- LÍNEAS</t>
  </si>
  <si>
    <t>1.1.- Líneas propias</t>
  </si>
  <si>
    <t xml:space="preserve">$/100 km-h : LÍNEAS 220 kV </t>
  </si>
  <si>
    <t xml:space="preserve">$/100 km-h : LÍNEAS 132 kV </t>
  </si>
  <si>
    <t>FACTOR DE PENALIZACIÓN K =</t>
  </si>
  <si>
    <t>N°</t>
  </si>
  <si>
    <t>U
[kV]</t>
  </si>
  <si>
    <t>Long.
[km]</t>
  </si>
  <si>
    <t>$/h</t>
  </si>
  <si>
    <t>Salida</t>
  </si>
  <si>
    <t>Entrada</t>
  </si>
  <si>
    <t xml:space="preserve">Hs.
Indisp. </t>
  </si>
  <si>
    <t>Minutos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</si>
  <si>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</si>
  <si>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</si>
  <si>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PENALIZAC.
PROGRAM.</t>
  </si>
  <si>
    <t>REDUCC.
PROGRAM.</t>
  </si>
  <si>
    <t>PENALIZACIÓN FORZADA
Por Salida    1ras. 3 hs.  hs. Restantes</t>
  </si>
  <si>
    <t>REDUCC. FORZADA
Por Salida    1ras. 3 hs.  hs. Restantes</t>
  </si>
  <si>
    <t>RESTANTE
FORZADA</t>
  </si>
  <si>
    <t>REDUCC.
RESTANTE</t>
  </si>
  <si>
    <t>Informó
enTérm.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</si>
  <si>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</si>
  <si>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</si>
  <si>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</si>
  <si>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</si>
  <si>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Coeficiente de penalización por salida forzada   =</t>
  </si>
  <si>
    <t>ESTACIÓN
TRANSFORMADORA</t>
  </si>
  <si>
    <t>EQUIPO</t>
  </si>
  <si>
    <t>POT.
[MVA]</t>
  </si>
  <si>
    <t>Hs.
Indisp.</t>
  </si>
  <si>
    <t>Mtos.
Indisp.</t>
  </si>
  <si>
    <r>
      <t>Tipo 
Sal.(</t>
    </r>
    <r>
      <rPr>
        <sz val="11"/>
        <rFont val="Wingdings"/>
        <family val="0"/>
      </rPr>
      <t>²</t>
    </r>
    <r>
      <rPr>
        <sz val="11"/>
        <rFont val="MS Sans Serif"/>
        <family val="2"/>
      </rPr>
      <t>)</t>
    </r>
  </si>
  <si>
    <t>AUT.</t>
  </si>
  <si>
    <t>E.N.S.</t>
  </si>
  <si>
    <t>K (P;ENS)</t>
  </si>
  <si>
    <t>PENALIZ.
PROGRAM.</t>
  </si>
  <si>
    <t>PENALIZACIÓN FORZADA
Por Salida    hs. Restantes</t>
  </si>
  <si>
    <t>REDUCC. FORZADA
Por Salida    hs. Restantes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</si>
  <si>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</si>
  <si>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</si>
  <si>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</si>
  <si>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</si>
  <si>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</si>
  <si>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</t>
  </si>
  <si>
    <t>Por Transformador  [$ / h - MVA]  =</t>
  </si>
  <si>
    <t>2.1.1.-</t>
  </si>
  <si>
    <t>2.2.1.-</t>
  </si>
  <si>
    <t>132/33/13,2</t>
  </si>
  <si>
    <t>INDISP</t>
  </si>
  <si>
    <t>ID EQUIPO</t>
  </si>
  <si>
    <t xml:space="preserve"> ENTE NACIONAL REGULADOR </t>
  </si>
  <si>
    <t xml:space="preserve">       DE LA ELECTRICIDAD</t>
  </si>
  <si>
    <t>Desde el 01 al 31 de mayo de 2015</t>
  </si>
  <si>
    <t>STA. CATALINA - RESISTENCIA</t>
  </si>
  <si>
    <t>P</t>
  </si>
  <si>
    <t>SI</t>
  </si>
  <si>
    <t>BARRANQUERAS - CORRIENTES 2</t>
  </si>
  <si>
    <t>FORMOSA - RESISTENCIA</t>
  </si>
  <si>
    <t>SALTO GRANDE  AR - CHAJARI</t>
  </si>
  <si>
    <t>F</t>
  </si>
  <si>
    <t>MONTE CASEROS - CHAJARI</t>
  </si>
  <si>
    <t>PIRANE - IBARRETA</t>
  </si>
  <si>
    <t>BELLA VISTA - GOYA</t>
  </si>
  <si>
    <t>GRAN FORMOSA - PIRANE   1</t>
  </si>
  <si>
    <t>GRAN FORMOSA - FORMOSA 2</t>
  </si>
  <si>
    <t>BARRANQUERAS</t>
  </si>
  <si>
    <t>TRAFO 7</t>
  </si>
  <si>
    <t>RP</t>
  </si>
  <si>
    <t>CORRIENTES</t>
  </si>
  <si>
    <t>TRAFO 4</t>
  </si>
  <si>
    <t>R</t>
  </si>
  <si>
    <t>MONTE CASEROS</t>
  </si>
  <si>
    <t>TRAFO</t>
  </si>
  <si>
    <t>0,000</t>
  </si>
  <si>
    <t>TRAFO 2</t>
  </si>
  <si>
    <t>BELLA VISTA</t>
  </si>
  <si>
    <t>TRAFO 3</t>
  </si>
  <si>
    <t>132/33/13.2</t>
  </si>
  <si>
    <t>SARMIENTO NEA</t>
  </si>
  <si>
    <t>TRAFO 1</t>
  </si>
  <si>
    <t>SANTA CATALINA</t>
  </si>
  <si>
    <t>132/33/13,3</t>
  </si>
  <si>
    <t>TRAFO 5</t>
  </si>
  <si>
    <t>FORMOSA</t>
  </si>
  <si>
    <t>132/13,2</t>
  </si>
  <si>
    <t>33/13,2</t>
  </si>
  <si>
    <t>CLORINDA</t>
  </si>
  <si>
    <t>LINEA CURUZU CUATIA</t>
  </si>
  <si>
    <t>ALIMENTADOR 302</t>
  </si>
  <si>
    <t>ALIMENTADOR 303</t>
  </si>
  <si>
    <t>SALIDA INDEPENDENCIA II</t>
  </si>
  <si>
    <t>GOYA</t>
  </si>
  <si>
    <t>LINEA ESQUINA</t>
  </si>
  <si>
    <t>GRAN FORMOSA - FORMOSA 1</t>
  </si>
  <si>
    <t>CLORINDA - LAGUNA BLANCA</t>
  </si>
  <si>
    <t>F - FORZADA</t>
  </si>
  <si>
    <t>NO</t>
  </si>
  <si>
    <t>288665b</t>
  </si>
  <si>
    <t>288700b</t>
  </si>
  <si>
    <t>288744b</t>
  </si>
  <si>
    <t>288930b</t>
  </si>
  <si>
    <t>P - PROGRAMADA  ; F - FORZADA</t>
  </si>
  <si>
    <t>RP - REDUCCION PROGRAMADA  ; R - REDUCCION FORZADA  ; F - FORZADA</t>
  </si>
  <si>
    <t>RP - REDUCCION PROGRAMADA  ; F - FORZADA</t>
  </si>
  <si>
    <t xml:space="preserve">$/100 km-h : LÍNEAS 33 kV </t>
  </si>
  <si>
    <t xml:space="preserve"> - </t>
  </si>
  <si>
    <t>TOTAL DE PENALIZACIONES A APLICAR</t>
  </si>
  <si>
    <t>ANEXO V al Memorándum  D.T.E.E.  N° 821/2015.-</t>
  </si>
  <si>
    <t>Valores remuneratorios según Convenio de Renovación - Nota ENRE Nº 117664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</si>
</sst>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#,##0.00000"/>
    <numFmt numFmtId="178" formatCode="0.0"/>
    <numFmt numFmtId="179" formatCode="&quot;$&quot;\ #,##0.000;&quot;$&quot;\ \-#,##0.000"/>
    <numFmt numFmtId="180" formatCode="#,##0.0"/>
    <numFmt numFmtId="181" formatCode="0.000"/>
    <numFmt numFmtId="182" formatCode="0.0\ \k\V"/>
    <numFmt numFmtId="183" formatCode="0.00\ &quot;km&quot;"/>
    <numFmt numFmtId="184" formatCode="0.00\ &quot;MVA&quot;"/>
    <numFmt numFmtId="185" formatCode="d/m/yy\ h:mm"/>
    <numFmt numFmtId="186" formatCode="&quot;$&quot;\ #,##0.00"/>
    <numFmt numFmtId="187" formatCode="&quot;$&quot;\ #,##0.000"/>
    <numFmt numFmtId="188" formatCode="mmm\-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0.000_)"/>
    <numFmt numFmtId="201" formatCode="dd/mm/yy"/>
    <numFmt numFmtId="202" formatCode="#,##0;[Red]#,##0"/>
    <numFmt numFmtId="203" formatCode="#,##0.000000"/>
    <numFmt numFmtId="204" formatCode="#&quot;.&quot;#&quot;.-&quot;"/>
    <numFmt numFmtId="205" formatCode="#&quot;.&quot;#&quot;.&quot;#&quot;.-&quot;"/>
    <numFmt numFmtId="206" formatCode="&quot;$&quot;#,##0.00;&quot;$&quot;\-#,##0.00"/>
    <numFmt numFmtId="207" formatCode="&quot;$&quot;#,##0.00"/>
    <numFmt numFmtId="208" formatCode="#,##0.00;[Red]#,##0.00"/>
    <numFmt numFmtId="209" formatCode="&quot;$&quot;\ #,##0.0;&quot;$&quot;\ \-#,##0.0"/>
    <numFmt numFmtId="210" formatCode="&quot;$&quot;\ #,##0.0000;&quot;$&quot;\ \-#,##0.0000"/>
    <numFmt numFmtId="211" formatCode="&quot;$&quot;\ #,##0.00000;&quot;$&quot;\ \-#,##0.00000"/>
    <numFmt numFmtId="212" formatCode="&quot;$&quot;\ #,##0.000000;&quot;$&quot;\ \-#,##0.000000"/>
    <numFmt numFmtId="213" formatCode="&quot;$&quot;#,##0.0;&quot;$&quot;\-#,##0.0"/>
    <numFmt numFmtId="214" formatCode="&quot;$&quot;#,##0;&quot;$&quot;\-#,##0"/>
    <numFmt numFmtId="215" formatCode="&quot;$&quot;\ #,##0.0000000;&quot;$&quot;\ \-#,##0.0000000"/>
    <numFmt numFmtId="216" formatCode="d\-m"/>
    <numFmt numFmtId="217" formatCode="dd/mm/\a\a\a\a\ hh:\n\n"/>
    <numFmt numFmtId="218" formatCode="d\-m\-yy\ h:mm"/>
    <numFmt numFmtId="219" formatCode="#,##0.000_);[Red]\(#,##0.000\)"/>
    <numFmt numFmtId="220" formatCode="#,##0.0000_);[Red]\(#,##0.0000\)"/>
    <numFmt numFmtId="221" formatCode="#,##0.00000_);[Red]\(#,##0.00000\)"/>
    <numFmt numFmtId="222" formatCode="#,##0.000000_);[Red]\(#,##0.000000\)"/>
    <numFmt numFmtId="223" formatCode="0.0000"/>
    <numFmt numFmtId="224" formatCode="[$€-2]\ #,##0.00_);[Red]\([$€-2]\ #,##0.00\)"/>
    <numFmt numFmtId="225" formatCode="[$-2C0A]dddd\,\ dd&quot; de &quot;mmmm&quot; de &quot;yyyy"/>
    <numFmt numFmtId="226" formatCode="[$-2C0A]hh:mm:ss\ AM/PM"/>
    <numFmt numFmtId="227" formatCode="&quot;$&quot;\ #,##0.0;[Red]&quot;$&quot;\ \-#,##0.0"/>
  </numFmts>
  <fonts count="10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4"/>
      <name val="Times New Roman"/>
      <family val="1"/>
    </font>
    <font>
      <sz val="16"/>
      <name val="MS Sans Serif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b/>
      <u val="double"/>
      <sz val="10"/>
      <name val="Times New Roman"/>
      <family val="1"/>
    </font>
    <font>
      <sz val="20"/>
      <name val="MS Sans Serif"/>
      <family val="2"/>
    </font>
    <font>
      <b/>
      <sz val="20"/>
      <name val="Times New Roman"/>
      <family val="1"/>
    </font>
    <font>
      <b/>
      <i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6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2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1"/>
      <color indexed="12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Times New Roman"/>
      <family val="1"/>
    </font>
    <font>
      <sz val="11"/>
      <color indexed="47"/>
      <name val="MS Sans Serif"/>
      <family val="2"/>
    </font>
    <font>
      <b/>
      <sz val="10"/>
      <color indexed="47"/>
      <name val="Times New Roman"/>
      <family val="1"/>
    </font>
    <font>
      <sz val="11"/>
      <color indexed="8"/>
      <name val="MS Sans Serif"/>
      <family val="2"/>
    </font>
    <font>
      <b/>
      <sz val="10"/>
      <color indexed="8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Times New Roman"/>
      <family val="1"/>
    </font>
    <font>
      <sz val="11"/>
      <color indexed="34"/>
      <name val="MS Sans Serif"/>
      <family val="2"/>
    </font>
    <font>
      <b/>
      <sz val="10"/>
      <color indexed="34"/>
      <name val="Times New Roman"/>
      <family val="1"/>
    </font>
    <font>
      <sz val="11"/>
      <color indexed="60"/>
      <name val="MS Sans Serif"/>
      <family val="2"/>
    </font>
    <font>
      <b/>
      <sz val="10"/>
      <color indexed="60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name val="Wingdings"/>
      <family val="0"/>
    </font>
    <font>
      <b/>
      <i/>
      <sz val="10"/>
      <name val="Times New Roman"/>
      <family val="1"/>
    </font>
    <font>
      <i/>
      <sz val="11"/>
      <name val="Times New Roman"/>
      <family val="1"/>
    </font>
    <font>
      <u val="single"/>
      <sz val="8.5"/>
      <color indexed="12"/>
      <name val="MS Sans Serif"/>
      <family val="2"/>
    </font>
    <font>
      <u val="single"/>
      <sz val="8.5"/>
      <color indexed="36"/>
      <name val="MS Sans Serif"/>
      <family val="2"/>
    </font>
    <font>
      <sz val="10"/>
      <color indexed="9"/>
      <name val="Times New Roman"/>
      <family val="1"/>
    </font>
    <font>
      <sz val="9"/>
      <name val="Times New Roman"/>
      <family val="1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0" applyNumberFormat="0" applyBorder="0" applyAlignment="0" applyProtection="0"/>
    <xf numFmtId="0" fontId="91" fillId="21" borderId="1" applyNumberFormat="0" applyAlignment="0" applyProtection="0"/>
    <xf numFmtId="0" fontId="92" fillId="22" borderId="2" applyNumberFormat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0" applyNumberFormat="0" applyFill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96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7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9" fillId="21" borderId="6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7" applyNumberFormat="0" applyFill="0" applyAlignment="0" applyProtection="0"/>
    <xf numFmtId="0" fontId="95" fillId="0" borderId="8" applyNumberFormat="0" applyFill="0" applyAlignment="0" applyProtection="0"/>
    <xf numFmtId="0" fontId="104" fillId="0" borderId="9" applyNumberFormat="0" applyFill="0" applyAlignment="0" applyProtection="0"/>
  </cellStyleXfs>
  <cellXfs count="46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2" fontId="7" fillId="0" borderId="11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76" fontId="7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2" fontId="7" fillId="0" borderId="11" xfId="0" applyNumberFormat="1" applyFont="1" applyFill="1" applyBorder="1" applyAlignment="1" applyProtection="1">
      <alignment horizontal="center"/>
      <protection/>
    </xf>
    <xf numFmtId="3" fontId="7" fillId="0" borderId="11" xfId="0" applyNumberFormat="1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4" fontId="11" fillId="0" borderId="1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7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22" fontId="7" fillId="0" borderId="11" xfId="0" applyNumberFormat="1" applyFont="1" applyBorder="1" applyAlignment="1" applyProtection="1">
      <alignment horizontal="center"/>
      <protection locked="0"/>
    </xf>
    <xf numFmtId="176" fontId="7" fillId="0" borderId="11" xfId="0" applyNumberFormat="1" applyFont="1" applyBorder="1" applyAlignment="1" applyProtection="1">
      <alignment horizontal="center"/>
      <protection locked="0"/>
    </xf>
    <xf numFmtId="176" fontId="7" fillId="0" borderId="11" xfId="0" applyNumberFormat="1" applyFont="1" applyBorder="1" applyAlignment="1" applyProtection="1" quotePrefix="1">
      <alignment horizontal="center"/>
      <protection locked="0"/>
    </xf>
    <xf numFmtId="4" fontId="11" fillId="0" borderId="11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center"/>
    </xf>
    <xf numFmtId="176" fontId="7" fillId="0" borderId="0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 quotePrefix="1">
      <alignment horizontal="center"/>
      <protection/>
    </xf>
    <xf numFmtId="4" fontId="10" fillId="0" borderId="0" xfId="0" applyNumberFormat="1" applyFont="1" applyBorder="1" applyAlignment="1">
      <alignment horizontal="center"/>
    </xf>
    <xf numFmtId="0" fontId="7" fillId="0" borderId="23" xfId="0" applyFont="1" applyFill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 quotePrefix="1">
      <alignment horizontal="center"/>
      <protection locked="0"/>
    </xf>
    <xf numFmtId="22" fontId="7" fillId="0" borderId="11" xfId="0" applyNumberFormat="1" applyFont="1" applyFill="1" applyBorder="1" applyAlignment="1" applyProtection="1">
      <alignment horizontal="center"/>
      <protection locked="0"/>
    </xf>
    <xf numFmtId="176" fontId="7" fillId="0" borderId="11" xfId="0" applyNumberFormat="1" applyFont="1" applyFill="1" applyBorder="1" applyAlignment="1" applyProtection="1">
      <alignment horizontal="center"/>
      <protection locked="0"/>
    </xf>
    <xf numFmtId="173" fontId="7" fillId="0" borderId="22" xfId="0" applyNumberFormat="1" applyFont="1" applyBorder="1" applyAlignment="1" applyProtection="1" quotePrefix="1">
      <alignment horizontal="center"/>
      <protection locked="0"/>
    </xf>
    <xf numFmtId="7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7" fontId="8" fillId="0" borderId="24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1" fillId="0" borderId="10" xfId="0" applyFont="1" applyBorder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2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2" fillId="0" borderId="0" xfId="0" applyFont="1" applyFill="1" applyBorder="1" applyAlignment="1" applyProtection="1">
      <alignment horizontal="centerContinuous"/>
      <protection/>
    </xf>
    <xf numFmtId="0" fontId="23" fillId="0" borderId="0" xfId="0" applyNumberFormat="1" applyFont="1" applyAlignment="1">
      <alignment horizontal="left"/>
    </xf>
    <xf numFmtId="0" fontId="29" fillId="0" borderId="0" xfId="0" applyFont="1" applyFill="1" applyBorder="1" applyAlignment="1" applyProtection="1">
      <alignment horizontal="left"/>
      <protection/>
    </xf>
    <xf numFmtId="0" fontId="24" fillId="0" borderId="0" xfId="0" applyFont="1" applyBorder="1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16" fillId="0" borderId="18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7" fillId="0" borderId="10" xfId="0" applyFont="1" applyBorder="1" applyAlignment="1">
      <alignment horizontal="centerContinuous"/>
    </xf>
    <xf numFmtId="0" fontId="17" fillId="0" borderId="18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5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0" fillId="0" borderId="20" xfId="0" applyNumberFormat="1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0" xfId="0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7" fontId="20" fillId="0" borderId="0" xfId="0" applyNumberFormat="1" applyFont="1" applyBorder="1" applyAlignment="1">
      <alignment/>
    </xf>
    <xf numFmtId="176" fontId="20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18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21" fillId="0" borderId="18" xfId="0" applyFont="1" applyBorder="1" applyAlignment="1">
      <alignment/>
    </xf>
    <xf numFmtId="0" fontId="21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 applyProtection="1">
      <alignment horizontal="centerContinuous"/>
      <protection/>
    </xf>
    <xf numFmtId="0" fontId="16" fillId="0" borderId="0" xfId="0" applyFont="1" applyFill="1" applyBorder="1" applyAlignment="1" applyProtection="1" quotePrefix="1">
      <alignment horizontal="centerContinuous"/>
      <protection locked="0"/>
    </xf>
    <xf numFmtId="0" fontId="22" fillId="0" borderId="0" xfId="0" applyFont="1" applyBorder="1" applyAlignment="1" applyProtection="1">
      <alignment horizontal="centerContinuous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7" fillId="0" borderId="27" xfId="0" applyFont="1" applyBorder="1" applyAlignment="1">
      <alignment/>
    </xf>
    <xf numFmtId="0" fontId="7" fillId="0" borderId="11" xfId="0" applyFont="1" applyBorder="1" applyAlignment="1">
      <alignment horizontal="center"/>
    </xf>
    <xf numFmtId="7" fontId="11" fillId="0" borderId="28" xfId="0" applyNumberFormat="1" applyFont="1" applyBorder="1" applyAlignment="1">
      <alignment horizontal="right"/>
    </xf>
    <xf numFmtId="0" fontId="32" fillId="0" borderId="29" xfId="0" applyFont="1" applyBorder="1" applyAlignment="1">
      <alignment horizontal="center" vertical="center"/>
    </xf>
    <xf numFmtId="0" fontId="32" fillId="0" borderId="29" xfId="0" applyFont="1" applyBorder="1" applyAlignment="1" applyProtection="1">
      <alignment horizontal="center" vertical="center"/>
      <protection/>
    </xf>
    <xf numFmtId="0" fontId="32" fillId="0" borderId="29" xfId="0" applyFont="1" applyBorder="1" applyAlignment="1" applyProtection="1">
      <alignment horizontal="center" vertical="center" wrapText="1"/>
      <protection/>
    </xf>
    <xf numFmtId="0" fontId="32" fillId="0" borderId="25" xfId="0" applyFont="1" applyBorder="1" applyAlignment="1" applyProtection="1">
      <alignment horizontal="center" vertical="center" wrapText="1"/>
      <protection/>
    </xf>
    <xf numFmtId="16" fontId="32" fillId="0" borderId="29" xfId="0" applyNumberFormat="1" applyFont="1" applyBorder="1" applyAlignment="1" quotePrefix="1">
      <alignment horizontal="center" vertical="center" wrapText="1"/>
    </xf>
    <xf numFmtId="0" fontId="30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Continuous"/>
    </xf>
    <xf numFmtId="0" fontId="18" fillId="0" borderId="0" xfId="0" applyFont="1" applyAlignment="1">
      <alignment/>
    </xf>
    <xf numFmtId="0" fontId="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Continuous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72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righ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18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 quotePrefix="1">
      <alignment horizontal="centerContinuous"/>
    </xf>
    <xf numFmtId="0" fontId="16" fillId="0" borderId="18" xfId="0" applyFont="1" applyFill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34" fillId="0" borderId="0" xfId="0" applyFont="1" applyFill="1" applyBorder="1" applyAlignment="1">
      <alignment horizontal="centerContinuous"/>
    </xf>
    <xf numFmtId="0" fontId="16" fillId="0" borderId="10" xfId="0" applyFont="1" applyFill="1" applyBorder="1" applyAlignment="1">
      <alignment horizontal="centerContinuous"/>
    </xf>
    <xf numFmtId="0" fontId="12" fillId="0" borderId="0" xfId="0" applyFont="1" applyFill="1" applyAlignment="1">
      <alignment/>
    </xf>
    <xf numFmtId="0" fontId="0" fillId="0" borderId="25" xfId="0" applyFont="1" applyFill="1" applyBorder="1" applyAlignment="1" applyProtection="1">
      <alignment horizontal="left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>
      <alignment/>
    </xf>
    <xf numFmtId="0" fontId="0" fillId="0" borderId="25" xfId="0" applyFont="1" applyFill="1" applyBorder="1" applyAlignment="1" applyProtection="1" quotePrefix="1">
      <alignment horizontal="left"/>
      <protection/>
    </xf>
    <xf numFmtId="0" fontId="0" fillId="0" borderId="31" xfId="0" applyFont="1" applyFill="1" applyBorder="1" applyAlignment="1" applyProtection="1">
      <alignment horizontal="center"/>
      <protection/>
    </xf>
    <xf numFmtId="172" fontId="0" fillId="0" borderId="29" xfId="0" applyNumberFormat="1" applyFont="1" applyFill="1" applyBorder="1" applyAlignment="1" applyProtection="1">
      <alignment horizontal="center"/>
      <protection/>
    </xf>
    <xf numFmtId="0" fontId="32" fillId="0" borderId="29" xfId="0" applyFont="1" applyFill="1" applyBorder="1" applyAlignment="1" applyProtection="1">
      <alignment horizontal="center" vertical="center"/>
      <protection/>
    </xf>
    <xf numFmtId="0" fontId="32" fillId="0" borderId="25" xfId="0" applyFont="1" applyFill="1" applyBorder="1" applyAlignment="1" applyProtection="1">
      <alignment horizontal="center" vertical="center"/>
      <protection/>
    </xf>
    <xf numFmtId="0" fontId="32" fillId="0" borderId="29" xfId="0" applyFont="1" applyFill="1" applyBorder="1" applyAlignment="1" applyProtection="1" quotePrefix="1">
      <alignment horizontal="center" vertical="center" wrapText="1"/>
      <protection/>
    </xf>
    <xf numFmtId="0" fontId="32" fillId="0" borderId="29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16" fontId="32" fillId="0" borderId="29" xfId="0" applyNumberFormat="1" applyFont="1" applyFill="1" applyBorder="1" applyAlignment="1" quotePrefix="1">
      <alignment horizontal="center" vertical="center" wrapText="1"/>
    </xf>
    <xf numFmtId="0" fontId="19" fillId="0" borderId="11" xfId="0" applyFont="1" applyFill="1" applyBorder="1" applyAlignment="1">
      <alignment/>
    </xf>
    <xf numFmtId="7" fontId="11" fillId="0" borderId="28" xfId="0" applyNumberFormat="1" applyFont="1" applyFill="1" applyBorder="1" applyAlignment="1">
      <alignment horizontal="right"/>
    </xf>
    <xf numFmtId="179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16" fillId="0" borderId="10" xfId="0" applyFont="1" applyBorder="1" applyAlignment="1">
      <alignment horizontal="centerContinuous"/>
    </xf>
    <xf numFmtId="0" fontId="0" fillId="0" borderId="25" xfId="0" applyFont="1" applyBorder="1" applyAlignment="1" applyProtection="1">
      <alignment horizontal="left"/>
      <protection/>
    </xf>
    <xf numFmtId="0" fontId="0" fillId="0" borderId="29" xfId="0" applyFont="1" applyBorder="1" applyAlignment="1">
      <alignment horizontal="center"/>
    </xf>
    <xf numFmtId="0" fontId="0" fillId="0" borderId="25" xfId="0" applyFont="1" applyBorder="1" applyAlignment="1">
      <alignment/>
    </xf>
    <xf numFmtId="179" fontId="31" fillId="0" borderId="3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1" fontId="0" fillId="0" borderId="12" xfId="0" applyNumberFormat="1" applyFont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23" fillId="0" borderId="18" xfId="0" applyFont="1" applyBorder="1" applyAlignment="1">
      <alignment/>
    </xf>
    <xf numFmtId="0" fontId="22" fillId="0" borderId="0" xfId="0" applyNumberFormat="1" applyFont="1" applyBorder="1" applyAlignment="1">
      <alignment horizontal="right"/>
    </xf>
    <xf numFmtId="0" fontId="35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3" fillId="0" borderId="10" xfId="0" applyFont="1" applyBorder="1" applyAlignment="1">
      <alignment/>
    </xf>
    <xf numFmtId="0" fontId="20" fillId="0" borderId="18" xfId="0" applyFont="1" applyBorder="1" applyAlignment="1">
      <alignment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7" fontId="14" fillId="0" borderId="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7" fontId="8" fillId="0" borderId="0" xfId="0" applyNumberFormat="1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/>
      <protection/>
    </xf>
    <xf numFmtId="0" fontId="38" fillId="0" borderId="0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 vertical="top"/>
      <protection/>
    </xf>
    <xf numFmtId="0" fontId="38" fillId="0" borderId="0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0" xfId="0" applyFont="1" applyBorder="1" applyAlignment="1" applyProtection="1">
      <alignment horizontal="center"/>
      <protection/>
    </xf>
    <xf numFmtId="2" fontId="38" fillId="0" borderId="0" xfId="0" applyNumberFormat="1" applyFont="1" applyBorder="1" applyAlignment="1" applyProtection="1">
      <alignment horizontal="center"/>
      <protection/>
    </xf>
    <xf numFmtId="176" fontId="38" fillId="0" borderId="0" xfId="0" applyNumberFormat="1" applyFont="1" applyBorder="1" applyAlignment="1" applyProtection="1">
      <alignment horizontal="center"/>
      <protection/>
    </xf>
    <xf numFmtId="176" fontId="38" fillId="0" borderId="0" xfId="0" applyNumberFormat="1" applyFont="1" applyBorder="1" applyAlignment="1" applyProtection="1" quotePrefix="1">
      <alignment horizontal="center"/>
      <protection/>
    </xf>
    <xf numFmtId="2" fontId="41" fillId="0" borderId="0" xfId="0" applyNumberFormat="1" applyFont="1" applyBorder="1" applyAlignment="1">
      <alignment horizontal="center"/>
    </xf>
    <xf numFmtId="176" fontId="42" fillId="0" borderId="0" xfId="0" applyNumberFormat="1" applyFont="1" applyBorder="1" applyAlignment="1" applyProtection="1" quotePrefix="1">
      <alignment horizontal="center"/>
      <protection/>
    </xf>
    <xf numFmtId="4" fontId="42" fillId="0" borderId="0" xfId="0" applyNumberFormat="1" applyFont="1" applyBorder="1" applyAlignment="1">
      <alignment horizontal="center"/>
    </xf>
    <xf numFmtId="7" fontId="43" fillId="0" borderId="0" xfId="0" applyNumberFormat="1" applyFont="1" applyBorder="1" applyAlignment="1">
      <alignment horizontal="right"/>
    </xf>
    <xf numFmtId="2" fontId="38" fillId="0" borderId="10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18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7" fontId="38" fillId="0" borderId="0" xfId="0" applyNumberFormat="1" applyFont="1" applyFill="1" applyBorder="1" applyAlignment="1">
      <alignment horizontal="center"/>
    </xf>
    <xf numFmtId="7" fontId="43" fillId="0" borderId="0" xfId="0" applyNumberFormat="1" applyFont="1" applyFill="1" applyBorder="1" applyAlignment="1">
      <alignment horizontal="right"/>
    </xf>
    <xf numFmtId="0" fontId="38" fillId="0" borderId="10" xfId="0" applyFont="1" applyFill="1" applyBorder="1" applyAlignment="1">
      <alignment/>
    </xf>
    <xf numFmtId="0" fontId="32" fillId="0" borderId="29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Continuous"/>
    </xf>
    <xf numFmtId="0" fontId="44" fillId="33" borderId="29" xfId="0" applyFont="1" applyFill="1" applyBorder="1" applyAlignment="1" applyProtection="1">
      <alignment horizontal="center" vertical="center"/>
      <protection/>
    </xf>
    <xf numFmtId="4" fontId="7" fillId="0" borderId="27" xfId="0" applyNumberFormat="1" applyFont="1" applyBorder="1" applyAlignment="1" applyProtection="1">
      <alignment horizontal="center"/>
      <protection locked="0"/>
    </xf>
    <xf numFmtId="0" fontId="46" fillId="33" borderId="25" xfId="0" applyFont="1" applyFill="1" applyBorder="1" applyAlignment="1" applyProtection="1">
      <alignment horizontal="centerContinuous" vertical="center" wrapText="1"/>
      <protection/>
    </xf>
    <xf numFmtId="0" fontId="47" fillId="33" borderId="31" xfId="0" applyFont="1" applyFill="1" applyBorder="1" applyAlignment="1">
      <alignment horizontal="centerContinuous"/>
    </xf>
    <xf numFmtId="0" fontId="46" fillId="33" borderId="24" xfId="0" applyFont="1" applyFill="1" applyBorder="1" applyAlignment="1">
      <alignment horizontal="centerContinuous" vertical="center"/>
    </xf>
    <xf numFmtId="7" fontId="14" fillId="0" borderId="29" xfId="0" applyNumberFormat="1" applyFont="1" applyBorder="1" applyAlignment="1">
      <alignment horizontal="right"/>
    </xf>
    <xf numFmtId="7" fontId="14" fillId="0" borderId="29" xfId="0" applyNumberFormat="1" applyFont="1" applyFill="1" applyBorder="1" applyAlignment="1">
      <alignment horizontal="right"/>
    </xf>
    <xf numFmtId="0" fontId="45" fillId="33" borderId="29" xfId="0" applyFont="1" applyFill="1" applyBorder="1" applyAlignment="1" applyProtection="1">
      <alignment horizontal="center" vertical="center"/>
      <protection/>
    </xf>
    <xf numFmtId="0" fontId="50" fillId="0" borderId="15" xfId="0" applyFont="1" applyBorder="1" applyAlignment="1">
      <alignment/>
    </xf>
    <xf numFmtId="0" fontId="51" fillId="33" borderId="13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176" fontId="51" fillId="33" borderId="11" xfId="0" applyNumberFormat="1" applyFont="1" applyFill="1" applyBorder="1" applyAlignment="1" applyProtection="1">
      <alignment horizontal="center"/>
      <protection/>
    </xf>
    <xf numFmtId="176" fontId="51" fillId="33" borderId="12" xfId="0" applyNumberFormat="1" applyFont="1" applyFill="1" applyBorder="1" applyAlignment="1" applyProtection="1">
      <alignment horizontal="center"/>
      <protection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52" fillId="34" borderId="29" xfId="0" applyFont="1" applyFill="1" applyBorder="1" applyAlignment="1">
      <alignment horizontal="center" vertical="center" wrapText="1"/>
    </xf>
    <xf numFmtId="0" fontId="53" fillId="34" borderId="29" xfId="0" applyFont="1" applyFill="1" applyBorder="1" applyAlignment="1">
      <alignment/>
    </xf>
    <xf numFmtId="2" fontId="53" fillId="34" borderId="29" xfId="0" applyNumberFormat="1" applyFont="1" applyFill="1" applyBorder="1" applyAlignment="1">
      <alignment horizontal="center"/>
    </xf>
    <xf numFmtId="176" fontId="53" fillId="34" borderId="29" xfId="0" applyNumberFormat="1" applyFont="1" applyFill="1" applyBorder="1" applyAlignment="1" applyProtection="1" quotePrefix="1">
      <alignment horizontal="center"/>
      <protection/>
    </xf>
    <xf numFmtId="0" fontId="54" fillId="35" borderId="29" xfId="0" applyFont="1" applyFill="1" applyBorder="1" applyAlignment="1">
      <alignment horizontal="center" vertical="center" wrapText="1"/>
    </xf>
    <xf numFmtId="2" fontId="55" fillId="35" borderId="29" xfId="0" applyNumberFormat="1" applyFont="1" applyFill="1" applyBorder="1" applyAlignment="1">
      <alignment horizontal="center"/>
    </xf>
    <xf numFmtId="176" fontId="55" fillId="35" borderId="29" xfId="0" applyNumberFormat="1" applyFont="1" applyFill="1" applyBorder="1" applyAlignment="1" applyProtection="1" quotePrefix="1">
      <alignment horizontal="center"/>
      <protection/>
    </xf>
    <xf numFmtId="0" fontId="55" fillId="35" borderId="22" xfId="0" applyFont="1" applyFill="1" applyBorder="1" applyAlignment="1">
      <alignment/>
    </xf>
    <xf numFmtId="2" fontId="55" fillId="35" borderId="22" xfId="0" applyNumberFormat="1" applyFont="1" applyFill="1" applyBorder="1" applyAlignment="1">
      <alignment horizontal="center"/>
    </xf>
    <xf numFmtId="0" fontId="55" fillId="35" borderId="13" xfId="0" applyFont="1" applyFill="1" applyBorder="1" applyAlignment="1">
      <alignment/>
    </xf>
    <xf numFmtId="176" fontId="55" fillId="35" borderId="33" xfId="0" applyNumberFormat="1" applyFont="1" applyFill="1" applyBorder="1" applyAlignment="1" applyProtection="1" quotePrefix="1">
      <alignment horizontal="center"/>
      <protection/>
    </xf>
    <xf numFmtId="0" fontId="49" fillId="33" borderId="34" xfId="0" applyFont="1" applyFill="1" applyBorder="1" applyAlignment="1">
      <alignment horizontal="center"/>
    </xf>
    <xf numFmtId="0" fontId="49" fillId="33" borderId="35" xfId="0" applyFont="1" applyFill="1" applyBorder="1" applyAlignment="1">
      <alignment/>
    </xf>
    <xf numFmtId="0" fontId="49" fillId="33" borderId="26" xfId="0" applyFont="1" applyFill="1" applyBorder="1" applyAlignment="1">
      <alignment/>
    </xf>
    <xf numFmtId="0" fontId="49" fillId="33" borderId="36" xfId="0" applyFont="1" applyFill="1" applyBorder="1" applyAlignment="1">
      <alignment horizontal="center"/>
    </xf>
    <xf numFmtId="0" fontId="49" fillId="33" borderId="37" xfId="0" applyFont="1" applyFill="1" applyBorder="1" applyAlignment="1">
      <alignment/>
    </xf>
    <xf numFmtId="0" fontId="49" fillId="33" borderId="27" xfId="0" applyFont="1" applyFill="1" applyBorder="1" applyAlignment="1">
      <alignment/>
    </xf>
    <xf numFmtId="176" fontId="49" fillId="33" borderId="36" xfId="0" applyNumberFormat="1" applyFont="1" applyFill="1" applyBorder="1" applyAlignment="1" applyProtection="1" quotePrefix="1">
      <alignment horizontal="center"/>
      <protection/>
    </xf>
    <xf numFmtId="176" fontId="49" fillId="33" borderId="37" xfId="0" applyNumberFormat="1" applyFont="1" applyFill="1" applyBorder="1" applyAlignment="1" applyProtection="1" quotePrefix="1">
      <alignment horizontal="center"/>
      <protection/>
    </xf>
    <xf numFmtId="4" fontId="49" fillId="33" borderId="27" xfId="0" applyNumberFormat="1" applyFont="1" applyFill="1" applyBorder="1" applyAlignment="1">
      <alignment horizontal="center"/>
    </xf>
    <xf numFmtId="176" fontId="49" fillId="33" borderId="38" xfId="0" applyNumberFormat="1" applyFont="1" applyFill="1" applyBorder="1" applyAlignment="1" applyProtection="1" quotePrefix="1">
      <alignment horizontal="center"/>
      <protection/>
    </xf>
    <xf numFmtId="4" fontId="49" fillId="33" borderId="39" xfId="0" applyNumberFormat="1" applyFont="1" applyFill="1" applyBorder="1" applyAlignment="1">
      <alignment horizontal="center"/>
    </xf>
    <xf numFmtId="4" fontId="49" fillId="33" borderId="40" xfId="0" applyNumberFormat="1" applyFont="1" applyFill="1" applyBorder="1" applyAlignment="1">
      <alignment horizontal="center"/>
    </xf>
    <xf numFmtId="176" fontId="49" fillId="33" borderId="29" xfId="0" applyNumberFormat="1" applyFont="1" applyFill="1" applyBorder="1" applyAlignment="1" applyProtection="1" quotePrefix="1">
      <alignment horizontal="center"/>
      <protection/>
    </xf>
    <xf numFmtId="0" fontId="56" fillId="36" borderId="25" xfId="0" applyFont="1" applyFill="1" applyBorder="1" applyAlignment="1" applyProtection="1">
      <alignment horizontal="centerContinuous" vertical="center" wrapText="1"/>
      <protection/>
    </xf>
    <xf numFmtId="0" fontId="56" fillId="36" borderId="31" xfId="0" applyFont="1" applyFill="1" applyBorder="1" applyAlignment="1">
      <alignment horizontal="centerContinuous" vertical="center"/>
    </xf>
    <xf numFmtId="0" fontId="56" fillId="36" borderId="24" xfId="0" applyFont="1" applyFill="1" applyBorder="1" applyAlignment="1">
      <alignment horizontal="centerContinuous" vertical="center"/>
    </xf>
    <xf numFmtId="0" fontId="57" fillId="36" borderId="34" xfId="0" applyFont="1" applyFill="1" applyBorder="1" applyAlignment="1">
      <alignment/>
    </xf>
    <xf numFmtId="0" fontId="57" fillId="36" borderId="41" xfId="0" applyFont="1" applyFill="1" applyBorder="1" applyAlignment="1">
      <alignment/>
    </xf>
    <xf numFmtId="0" fontId="57" fillId="36" borderId="42" xfId="0" applyFont="1" applyFill="1" applyBorder="1" applyAlignment="1">
      <alignment/>
    </xf>
    <xf numFmtId="0" fontId="57" fillId="36" borderId="36" xfId="0" applyFont="1" applyFill="1" applyBorder="1" applyAlignment="1">
      <alignment/>
    </xf>
    <xf numFmtId="0" fontId="57" fillId="36" borderId="43" xfId="0" applyFont="1" applyFill="1" applyBorder="1" applyAlignment="1">
      <alignment/>
    </xf>
    <xf numFmtId="0" fontId="57" fillId="36" borderId="44" xfId="0" applyFont="1" applyFill="1" applyBorder="1" applyAlignment="1">
      <alignment/>
    </xf>
    <xf numFmtId="176" fontId="57" fillId="36" borderId="36" xfId="0" applyNumberFormat="1" applyFont="1" applyFill="1" applyBorder="1" applyAlignment="1" applyProtection="1" quotePrefix="1">
      <alignment horizontal="center"/>
      <protection/>
    </xf>
    <xf numFmtId="176" fontId="57" fillId="36" borderId="37" xfId="0" applyNumberFormat="1" applyFont="1" applyFill="1" applyBorder="1" applyAlignment="1" applyProtection="1" quotePrefix="1">
      <alignment horizontal="center"/>
      <protection/>
    </xf>
    <xf numFmtId="4" fontId="57" fillId="36" borderId="27" xfId="0" applyNumberFormat="1" applyFont="1" applyFill="1" applyBorder="1" applyAlignment="1">
      <alignment horizontal="center"/>
    </xf>
    <xf numFmtId="4" fontId="57" fillId="36" borderId="38" xfId="0" applyNumberFormat="1" applyFont="1" applyFill="1" applyBorder="1" applyAlignment="1">
      <alignment horizontal="center"/>
    </xf>
    <xf numFmtId="4" fontId="57" fillId="36" borderId="45" xfId="0" applyNumberFormat="1" applyFont="1" applyFill="1" applyBorder="1" applyAlignment="1">
      <alignment horizontal="center"/>
    </xf>
    <xf numFmtId="4" fontId="57" fillId="36" borderId="46" xfId="0" applyNumberFormat="1" applyFont="1" applyFill="1" applyBorder="1" applyAlignment="1">
      <alignment horizontal="center"/>
    </xf>
    <xf numFmtId="176" fontId="57" fillId="36" borderId="29" xfId="0" applyNumberFormat="1" applyFont="1" applyFill="1" applyBorder="1" applyAlignment="1" applyProtection="1" quotePrefix="1">
      <alignment horizontal="center"/>
      <protection/>
    </xf>
    <xf numFmtId="0" fontId="58" fillId="37" borderId="29" xfId="0" applyFont="1" applyFill="1" applyBorder="1" applyAlignment="1">
      <alignment horizontal="center" vertical="center" wrapText="1"/>
    </xf>
    <xf numFmtId="0" fontId="59" fillId="37" borderId="13" xfId="0" applyFont="1" applyFill="1" applyBorder="1" applyAlignment="1">
      <alignment/>
    </xf>
    <xf numFmtId="0" fontId="59" fillId="37" borderId="11" xfId="0" applyFont="1" applyFill="1" applyBorder="1" applyAlignment="1">
      <alignment/>
    </xf>
    <xf numFmtId="4" fontId="59" fillId="37" borderId="11" xfId="0" applyNumberFormat="1" applyFont="1" applyFill="1" applyBorder="1" applyAlignment="1">
      <alignment horizontal="center"/>
    </xf>
    <xf numFmtId="4" fontId="59" fillId="37" borderId="12" xfId="0" applyNumberFormat="1" applyFont="1" applyFill="1" applyBorder="1" applyAlignment="1">
      <alignment horizontal="center"/>
    </xf>
    <xf numFmtId="176" fontId="59" fillId="37" borderId="29" xfId="0" applyNumberFormat="1" applyFont="1" applyFill="1" applyBorder="1" applyAlignment="1" applyProtection="1" quotePrefix="1">
      <alignment horizontal="center"/>
      <protection/>
    </xf>
    <xf numFmtId="0" fontId="56" fillId="38" borderId="29" xfId="0" applyFont="1" applyFill="1" applyBorder="1" applyAlignment="1">
      <alignment horizontal="center" vertical="center" wrapText="1"/>
    </xf>
    <xf numFmtId="0" fontId="57" fillId="38" borderId="13" xfId="0" applyFont="1" applyFill="1" applyBorder="1" applyAlignment="1">
      <alignment/>
    </xf>
    <xf numFmtId="0" fontId="57" fillId="38" borderId="11" xfId="0" applyFont="1" applyFill="1" applyBorder="1" applyAlignment="1">
      <alignment/>
    </xf>
    <xf numFmtId="4" fontId="57" fillId="38" borderId="11" xfId="0" applyNumberFormat="1" applyFont="1" applyFill="1" applyBorder="1" applyAlignment="1">
      <alignment horizontal="center"/>
    </xf>
    <xf numFmtId="4" fontId="57" fillId="38" borderId="12" xfId="0" applyNumberFormat="1" applyFont="1" applyFill="1" applyBorder="1" applyAlignment="1">
      <alignment horizontal="center"/>
    </xf>
    <xf numFmtId="176" fontId="57" fillId="38" borderId="29" xfId="0" applyNumberFormat="1" applyFont="1" applyFill="1" applyBorder="1" applyAlignment="1" applyProtection="1" quotePrefix="1">
      <alignment horizontal="center"/>
      <protection/>
    </xf>
    <xf numFmtId="0" fontId="51" fillId="33" borderId="12" xfId="0" applyFont="1" applyFill="1" applyBorder="1" applyAlignment="1">
      <alignment/>
    </xf>
    <xf numFmtId="176" fontId="7" fillId="0" borderId="11" xfId="0" applyNumberFormat="1" applyFont="1" applyFill="1" applyBorder="1" applyAlignment="1" applyProtection="1" quotePrefix="1">
      <alignment horizontal="center"/>
      <protection locked="0"/>
    </xf>
    <xf numFmtId="0" fontId="45" fillId="36" borderId="29" xfId="0" applyFont="1" applyFill="1" applyBorder="1" applyAlignment="1" applyProtection="1">
      <alignment horizontal="center" vertical="center"/>
      <protection/>
    </xf>
    <xf numFmtId="0" fontId="48" fillId="36" borderId="13" xfId="0" applyFont="1" applyFill="1" applyBorder="1" applyAlignment="1">
      <alignment/>
    </xf>
    <xf numFmtId="0" fontId="48" fillId="36" borderId="11" xfId="0" applyFont="1" applyFill="1" applyBorder="1" applyAlignment="1">
      <alignment/>
    </xf>
    <xf numFmtId="4" fontId="48" fillId="36" borderId="11" xfId="0" applyNumberFormat="1" applyFont="1" applyFill="1" applyBorder="1" applyAlignment="1" applyProtection="1">
      <alignment horizontal="center"/>
      <protection/>
    </xf>
    <xf numFmtId="0" fontId="48" fillId="36" borderId="12" xfId="0" applyFont="1" applyFill="1" applyBorder="1" applyAlignment="1">
      <alignment/>
    </xf>
    <xf numFmtId="0" fontId="54" fillId="39" borderId="29" xfId="0" applyFont="1" applyFill="1" applyBorder="1" applyAlignment="1">
      <alignment horizontal="center" vertical="center" wrapText="1"/>
    </xf>
    <xf numFmtId="0" fontId="55" fillId="39" borderId="13" xfId="0" applyFont="1" applyFill="1" applyBorder="1" applyAlignment="1">
      <alignment/>
    </xf>
    <xf numFmtId="0" fontId="55" fillId="39" borderId="11" xfId="0" applyFont="1" applyFill="1" applyBorder="1" applyAlignment="1">
      <alignment/>
    </xf>
    <xf numFmtId="2" fontId="55" fillId="39" borderId="11" xfId="0" applyNumberFormat="1" applyFont="1" applyFill="1" applyBorder="1" applyAlignment="1">
      <alignment horizontal="center"/>
    </xf>
    <xf numFmtId="0" fontId="55" fillId="39" borderId="12" xfId="0" applyFont="1" applyFill="1" applyBorder="1" applyAlignment="1">
      <alignment/>
    </xf>
    <xf numFmtId="7" fontId="55" fillId="39" borderId="29" xfId="0" applyNumberFormat="1" applyFont="1" applyFill="1" applyBorder="1" applyAlignment="1">
      <alignment horizontal="center"/>
    </xf>
    <xf numFmtId="0" fontId="60" fillId="40" borderId="29" xfId="0" applyFont="1" applyFill="1" applyBorder="1" applyAlignment="1">
      <alignment horizontal="center" vertical="center" wrapText="1"/>
    </xf>
    <xf numFmtId="0" fontId="61" fillId="40" borderId="13" xfId="0" applyFont="1" applyFill="1" applyBorder="1" applyAlignment="1">
      <alignment/>
    </xf>
    <xf numFmtId="0" fontId="61" fillId="40" borderId="11" xfId="0" applyFont="1" applyFill="1" applyBorder="1" applyAlignment="1">
      <alignment/>
    </xf>
    <xf numFmtId="2" fontId="61" fillId="40" borderId="11" xfId="0" applyNumberFormat="1" applyFont="1" applyFill="1" applyBorder="1" applyAlignment="1">
      <alignment horizontal="center"/>
    </xf>
    <xf numFmtId="0" fontId="61" fillId="40" borderId="47" xfId="0" applyFont="1" applyFill="1" applyBorder="1" applyAlignment="1">
      <alignment/>
    </xf>
    <xf numFmtId="7" fontId="61" fillId="40" borderId="29" xfId="0" applyNumberFormat="1" applyFont="1" applyFill="1" applyBorder="1" applyAlignment="1">
      <alignment horizontal="center"/>
    </xf>
    <xf numFmtId="0" fontId="32" fillId="0" borderId="0" xfId="0" applyFont="1" applyFill="1" applyAlignment="1">
      <alignment vertical="center"/>
    </xf>
    <xf numFmtId="0" fontId="32" fillId="0" borderId="18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62" fillId="41" borderId="25" xfId="0" applyFont="1" applyFill="1" applyBorder="1" applyAlignment="1" applyProtection="1">
      <alignment horizontal="centerContinuous" vertical="center" wrapText="1"/>
      <protection/>
    </xf>
    <xf numFmtId="0" fontId="62" fillId="41" borderId="24" xfId="0" applyFont="1" applyFill="1" applyBorder="1" applyAlignment="1">
      <alignment horizontal="centerContinuous" vertical="center"/>
    </xf>
    <xf numFmtId="0" fontId="63" fillId="41" borderId="34" xfId="0" applyFont="1" applyFill="1" applyBorder="1" applyAlignment="1">
      <alignment horizontal="center"/>
    </xf>
    <xf numFmtId="0" fontId="63" fillId="41" borderId="26" xfId="0" applyFont="1" applyFill="1" applyBorder="1" applyAlignment="1">
      <alignment/>
    </xf>
    <xf numFmtId="0" fontId="63" fillId="41" borderId="36" xfId="0" applyFont="1" applyFill="1" applyBorder="1" applyAlignment="1">
      <alignment horizontal="center"/>
    </xf>
    <xf numFmtId="0" fontId="63" fillId="41" borderId="27" xfId="0" applyFont="1" applyFill="1" applyBorder="1" applyAlignment="1">
      <alignment/>
    </xf>
    <xf numFmtId="176" fontId="63" fillId="41" borderId="36" xfId="0" applyNumberFormat="1" applyFont="1" applyFill="1" applyBorder="1" applyAlignment="1" applyProtection="1" quotePrefix="1">
      <alignment horizontal="center"/>
      <protection/>
    </xf>
    <xf numFmtId="176" fontId="63" fillId="41" borderId="44" xfId="0" applyNumberFormat="1" applyFont="1" applyFill="1" applyBorder="1" applyAlignment="1" applyProtection="1" quotePrefix="1">
      <alignment horizontal="center"/>
      <protection/>
    </xf>
    <xf numFmtId="7" fontId="63" fillId="41" borderId="29" xfId="0" applyNumberFormat="1" applyFont="1" applyFill="1" applyBorder="1" applyAlignment="1">
      <alignment horizontal="center"/>
    </xf>
    <xf numFmtId="0" fontId="54" fillId="42" borderId="25" xfId="0" applyFont="1" applyFill="1" applyBorder="1" applyAlignment="1" applyProtection="1">
      <alignment horizontal="centerContinuous" vertical="center" wrapText="1"/>
      <protection/>
    </xf>
    <xf numFmtId="0" fontId="55" fillId="42" borderId="34" xfId="0" applyFont="1" applyFill="1" applyBorder="1" applyAlignment="1">
      <alignment/>
    </xf>
    <xf numFmtId="0" fontId="55" fillId="42" borderId="42" xfId="0" applyFont="1" applyFill="1" applyBorder="1" applyAlignment="1">
      <alignment/>
    </xf>
    <xf numFmtId="0" fontId="55" fillId="42" borderId="48" xfId="0" applyFont="1" applyFill="1" applyBorder="1" applyAlignment="1">
      <alignment/>
    </xf>
    <xf numFmtId="0" fontId="55" fillId="42" borderId="49" xfId="0" applyFont="1" applyFill="1" applyBorder="1" applyAlignment="1">
      <alignment/>
    </xf>
    <xf numFmtId="176" fontId="55" fillId="42" borderId="48" xfId="0" applyNumberFormat="1" applyFont="1" applyFill="1" applyBorder="1" applyAlignment="1" applyProtection="1" quotePrefix="1">
      <alignment horizontal="center"/>
      <protection/>
    </xf>
    <xf numFmtId="176" fontId="55" fillId="42" borderId="49" xfId="0" applyNumberFormat="1" applyFont="1" applyFill="1" applyBorder="1" applyAlignment="1" applyProtection="1" quotePrefix="1">
      <alignment horizontal="center"/>
      <protection/>
    </xf>
    <xf numFmtId="176" fontId="55" fillId="42" borderId="50" xfId="0" applyNumberFormat="1" applyFont="1" applyFill="1" applyBorder="1" applyAlignment="1" applyProtection="1" quotePrefix="1">
      <alignment horizontal="center"/>
      <protection/>
    </xf>
    <xf numFmtId="176" fontId="55" fillId="42" borderId="51" xfId="0" applyNumberFormat="1" applyFont="1" applyFill="1" applyBorder="1" applyAlignment="1" applyProtection="1" quotePrefix="1">
      <alignment horizontal="center"/>
      <protection/>
    </xf>
    <xf numFmtId="7" fontId="55" fillId="42" borderId="29" xfId="0" applyNumberFormat="1" applyFont="1" applyFill="1" applyBorder="1" applyAlignment="1">
      <alignment horizontal="center"/>
    </xf>
    <xf numFmtId="0" fontId="56" fillId="43" borderId="29" xfId="0" applyFont="1" applyFill="1" applyBorder="1" applyAlignment="1">
      <alignment horizontal="center" vertical="center" wrapText="1"/>
    </xf>
    <xf numFmtId="0" fontId="60" fillId="35" borderId="29" xfId="0" applyFont="1" applyFill="1" applyBorder="1" applyAlignment="1">
      <alignment horizontal="center" vertical="center" wrapText="1"/>
    </xf>
    <xf numFmtId="0" fontId="61" fillId="35" borderId="26" xfId="0" applyFont="1" applyFill="1" applyBorder="1" applyAlignment="1">
      <alignment/>
    </xf>
    <xf numFmtId="0" fontId="61" fillId="35" borderId="27" xfId="0" applyFont="1" applyFill="1" applyBorder="1" applyAlignment="1">
      <alignment/>
    </xf>
    <xf numFmtId="176" fontId="61" fillId="35" borderId="49" xfId="0" applyNumberFormat="1" applyFont="1" applyFill="1" applyBorder="1" applyAlignment="1" applyProtection="1" quotePrefix="1">
      <alignment horizontal="center"/>
      <protection/>
    </xf>
    <xf numFmtId="176" fontId="61" fillId="35" borderId="40" xfId="0" applyNumberFormat="1" applyFont="1" applyFill="1" applyBorder="1" applyAlignment="1" applyProtection="1" quotePrefix="1">
      <alignment horizontal="center"/>
      <protection/>
    </xf>
    <xf numFmtId="0" fontId="57" fillId="43" borderId="13" xfId="0" applyFont="1" applyFill="1" applyBorder="1" applyAlignment="1">
      <alignment/>
    </xf>
    <xf numFmtId="0" fontId="57" fillId="43" borderId="11" xfId="0" applyFont="1" applyFill="1" applyBorder="1" applyAlignment="1">
      <alignment/>
    </xf>
    <xf numFmtId="176" fontId="57" fillId="43" borderId="11" xfId="0" applyNumberFormat="1" applyFont="1" applyFill="1" applyBorder="1" applyAlignment="1" applyProtection="1" quotePrefix="1">
      <alignment horizontal="center"/>
      <protection/>
    </xf>
    <xf numFmtId="176" fontId="57" fillId="43" borderId="12" xfId="0" applyNumberFormat="1" applyFont="1" applyFill="1" applyBorder="1" applyAlignment="1" applyProtection="1" quotePrefix="1">
      <alignment horizontal="center"/>
      <protection/>
    </xf>
    <xf numFmtId="0" fontId="54" fillId="42" borderId="24" xfId="0" applyFont="1" applyFill="1" applyBorder="1" applyAlignment="1">
      <alignment horizontal="centerContinuous" vertical="center"/>
    </xf>
    <xf numFmtId="7" fontId="57" fillId="43" borderId="29" xfId="0" applyNumberFormat="1" applyFont="1" applyFill="1" applyBorder="1" applyAlignment="1">
      <alignment horizontal="center"/>
    </xf>
    <xf numFmtId="7" fontId="61" fillId="35" borderId="29" xfId="0" applyNumberFormat="1" applyFont="1" applyFill="1" applyBorder="1" applyAlignment="1">
      <alignment horizontal="center"/>
    </xf>
    <xf numFmtId="176" fontId="63" fillId="41" borderId="46" xfId="0" applyNumberFormat="1" applyFont="1" applyFill="1" applyBorder="1" applyAlignment="1" applyProtection="1" quotePrefix="1">
      <alignment horizontal="center"/>
      <protection/>
    </xf>
    <xf numFmtId="176" fontId="63" fillId="41" borderId="38" xfId="0" applyNumberFormat="1" applyFont="1" applyFill="1" applyBorder="1" applyAlignment="1" applyProtection="1" quotePrefix="1">
      <alignment horizontal="center"/>
      <protection/>
    </xf>
    <xf numFmtId="0" fontId="7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centerContinuous"/>
    </xf>
    <xf numFmtId="0" fontId="7" fillId="0" borderId="22" xfId="0" applyFont="1" applyFill="1" applyBorder="1" applyAlignment="1" applyProtection="1">
      <alignment horizontal="center"/>
      <protection locked="0"/>
    </xf>
    <xf numFmtId="0" fontId="13" fillId="0" borderId="22" xfId="0" applyFont="1" applyFill="1" applyBorder="1" applyAlignment="1" applyProtection="1">
      <alignment horizontal="center"/>
      <protection locked="0"/>
    </xf>
    <xf numFmtId="180" fontId="10" fillId="0" borderId="22" xfId="0" applyNumberFormat="1" applyFont="1" applyFill="1" applyBorder="1" applyAlignment="1" applyProtection="1">
      <alignment horizontal="center"/>
      <protection locked="0"/>
    </xf>
    <xf numFmtId="2" fontId="7" fillId="0" borderId="22" xfId="0" applyNumberFormat="1" applyFont="1" applyFill="1" applyBorder="1" applyAlignment="1" applyProtection="1">
      <alignment horizontal="center"/>
      <protection/>
    </xf>
    <xf numFmtId="172" fontId="7" fillId="0" borderId="22" xfId="0" applyNumberFormat="1" applyFont="1" applyFill="1" applyBorder="1" applyAlignment="1" applyProtection="1" quotePrefix="1">
      <alignment horizontal="center"/>
      <protection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 quotePrefix="1">
      <alignment horizontal="center"/>
      <protection locked="0"/>
    </xf>
    <xf numFmtId="4" fontId="11" fillId="0" borderId="22" xfId="0" applyNumberFormat="1" applyFont="1" applyFill="1" applyBorder="1" applyAlignment="1">
      <alignment horizontal="right"/>
    </xf>
    <xf numFmtId="0" fontId="7" fillId="0" borderId="33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48" fillId="33" borderId="13" xfId="0" applyFont="1" applyFill="1" applyBorder="1" applyAlignment="1">
      <alignment horizontal="center"/>
    </xf>
    <xf numFmtId="0" fontId="48" fillId="33" borderId="22" xfId="0" applyFont="1" applyFill="1" applyBorder="1" applyAlignment="1">
      <alignment horizontal="center"/>
    </xf>
    <xf numFmtId="172" fontId="48" fillId="33" borderId="22" xfId="0" applyNumberFormat="1" applyFont="1" applyFill="1" applyBorder="1" applyAlignment="1" applyProtection="1">
      <alignment horizontal="center"/>
      <protection/>
    </xf>
    <xf numFmtId="0" fontId="48" fillId="33" borderId="33" xfId="0" applyFont="1" applyFill="1" applyBorder="1" applyAlignment="1">
      <alignment/>
    </xf>
    <xf numFmtId="0" fontId="56" fillId="42" borderId="29" xfId="0" applyFont="1" applyFill="1" applyBorder="1" applyAlignment="1">
      <alignment horizontal="center" vertical="center" wrapText="1"/>
    </xf>
    <xf numFmtId="0" fontId="57" fillId="42" borderId="13" xfId="0" applyFont="1" applyFill="1" applyBorder="1" applyAlignment="1">
      <alignment horizontal="center"/>
    </xf>
    <xf numFmtId="0" fontId="57" fillId="42" borderId="22" xfId="0" applyFont="1" applyFill="1" applyBorder="1" applyAlignment="1">
      <alignment horizontal="center"/>
    </xf>
    <xf numFmtId="2" fontId="57" fillId="42" borderId="22" xfId="0" applyNumberFormat="1" applyFont="1" applyFill="1" applyBorder="1" applyAlignment="1">
      <alignment horizontal="center"/>
    </xf>
    <xf numFmtId="0" fontId="57" fillId="42" borderId="33" xfId="0" applyFont="1" applyFill="1" applyBorder="1" applyAlignment="1">
      <alignment/>
    </xf>
    <xf numFmtId="2" fontId="57" fillId="42" borderId="29" xfId="0" applyNumberFormat="1" applyFont="1" applyFill="1" applyBorder="1" applyAlignment="1">
      <alignment horizontal="center"/>
    </xf>
    <xf numFmtId="0" fontId="54" fillId="35" borderId="25" xfId="0" applyFont="1" applyFill="1" applyBorder="1" applyAlignment="1" applyProtection="1">
      <alignment horizontal="centerContinuous" vertical="center" wrapText="1"/>
      <protection/>
    </xf>
    <xf numFmtId="0" fontId="31" fillId="35" borderId="24" xfId="0" applyFont="1" applyFill="1" applyBorder="1" applyAlignment="1">
      <alignment horizontal="centerContinuous"/>
    </xf>
    <xf numFmtId="176" fontId="55" fillId="35" borderId="34" xfId="0" applyNumberFormat="1" applyFont="1" applyFill="1" applyBorder="1" applyAlignment="1" applyProtection="1" quotePrefix="1">
      <alignment horizontal="center"/>
      <protection/>
    </xf>
    <xf numFmtId="176" fontId="55" fillId="35" borderId="42" xfId="0" applyNumberFormat="1" applyFont="1" applyFill="1" applyBorder="1" applyAlignment="1" applyProtection="1" quotePrefix="1">
      <alignment horizontal="center"/>
      <protection/>
    </xf>
    <xf numFmtId="176" fontId="55" fillId="35" borderId="48" xfId="0" applyNumberFormat="1" applyFont="1" applyFill="1" applyBorder="1" applyAlignment="1" applyProtection="1" quotePrefix="1">
      <alignment horizontal="center"/>
      <protection/>
    </xf>
    <xf numFmtId="176" fontId="55" fillId="35" borderId="49" xfId="0" applyNumberFormat="1" applyFont="1" applyFill="1" applyBorder="1" applyAlignment="1" applyProtection="1" quotePrefix="1">
      <alignment horizontal="center"/>
      <protection/>
    </xf>
    <xf numFmtId="176" fontId="55" fillId="35" borderId="50" xfId="0" applyNumberFormat="1" applyFont="1" applyFill="1" applyBorder="1" applyAlignment="1" applyProtection="1" quotePrefix="1">
      <alignment horizontal="center"/>
      <protection/>
    </xf>
    <xf numFmtId="176" fontId="55" fillId="35" borderId="51" xfId="0" applyNumberFormat="1" applyFont="1" applyFill="1" applyBorder="1" applyAlignment="1" applyProtection="1" quotePrefix="1">
      <alignment horizontal="center"/>
      <protection/>
    </xf>
    <xf numFmtId="176" fontId="55" fillId="39" borderId="13" xfId="0" applyNumberFormat="1" applyFont="1" applyFill="1" applyBorder="1" applyAlignment="1" applyProtection="1" quotePrefix="1">
      <alignment horizontal="center"/>
      <protection/>
    </xf>
    <xf numFmtId="176" fontId="55" fillId="39" borderId="22" xfId="0" applyNumberFormat="1" applyFont="1" applyFill="1" applyBorder="1" applyAlignment="1" applyProtection="1" quotePrefix="1">
      <alignment horizontal="center"/>
      <protection/>
    </xf>
    <xf numFmtId="176" fontId="55" fillId="39" borderId="33" xfId="0" applyNumberFormat="1" applyFont="1" applyFill="1" applyBorder="1" applyAlignment="1" applyProtection="1" quotePrefix="1">
      <alignment horizontal="center"/>
      <protection/>
    </xf>
    <xf numFmtId="2" fontId="55" fillId="39" borderId="29" xfId="0" applyNumberFormat="1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51" fillId="33" borderId="22" xfId="0" applyFont="1" applyFill="1" applyBorder="1" applyAlignment="1">
      <alignment horizontal="center"/>
    </xf>
    <xf numFmtId="179" fontId="51" fillId="33" borderId="22" xfId="0" applyNumberFormat="1" applyFont="1" applyFill="1" applyBorder="1" applyAlignment="1" applyProtection="1">
      <alignment horizontal="center"/>
      <protection/>
    </xf>
    <xf numFmtId="0" fontId="51" fillId="33" borderId="33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50" fillId="0" borderId="16" xfId="0" applyFont="1" applyBorder="1" applyAlignment="1">
      <alignment/>
    </xf>
    <xf numFmtId="7" fontId="19" fillId="0" borderId="13" xfId="0" applyNumberFormat="1" applyFont="1" applyFill="1" applyBorder="1" applyAlignment="1">
      <alignment/>
    </xf>
    <xf numFmtId="7" fontId="11" fillId="0" borderId="13" xfId="0" applyNumberFormat="1" applyFont="1" applyFill="1" applyBorder="1" applyAlignment="1">
      <alignment/>
    </xf>
    <xf numFmtId="7" fontId="11" fillId="0" borderId="13" xfId="0" applyNumberFormat="1" applyFont="1" applyBorder="1" applyAlignment="1">
      <alignment/>
    </xf>
    <xf numFmtId="0" fontId="11" fillId="0" borderId="52" xfId="0" applyFont="1" applyFill="1" applyBorder="1" applyAlignment="1">
      <alignment horizontal="right"/>
    </xf>
    <xf numFmtId="0" fontId="65" fillId="0" borderId="0" xfId="0" applyFont="1" applyAlignment="1">
      <alignment horizontal="right" vertical="top"/>
    </xf>
    <xf numFmtId="0" fontId="65" fillId="0" borderId="0" xfId="0" applyFont="1" applyFill="1" applyAlignment="1">
      <alignment horizontal="right" vertical="top"/>
    </xf>
    <xf numFmtId="181" fontId="0" fillId="0" borderId="29" xfId="0" applyNumberFormat="1" applyFont="1" applyFill="1" applyBorder="1" applyAlignment="1">
      <alignment horizontal="center"/>
    </xf>
    <xf numFmtId="0" fontId="16" fillId="0" borderId="18" xfId="0" applyFont="1" applyBorder="1" applyAlignment="1" applyProtection="1">
      <alignment horizontal="centerContinuous"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33" xfId="0" applyFont="1" applyBorder="1" applyAlignment="1" applyProtection="1">
      <alignment horizontal="center"/>
      <protection locked="0"/>
    </xf>
    <xf numFmtId="2" fontId="7" fillId="0" borderId="33" xfId="0" applyNumberFormat="1" applyFont="1" applyBorder="1" applyAlignment="1" applyProtection="1">
      <alignment horizontal="center"/>
      <protection locked="0"/>
    </xf>
    <xf numFmtId="176" fontId="7" fillId="0" borderId="12" xfId="0" applyNumberFormat="1" applyFont="1" applyBorder="1" applyAlignment="1" applyProtection="1">
      <alignment horizontal="center"/>
      <protection locked="0"/>
    </xf>
    <xf numFmtId="22" fontId="7" fillId="0" borderId="12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Continuous"/>
      <protection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172" fontId="7" fillId="0" borderId="13" xfId="0" applyNumberFormat="1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172" fontId="7" fillId="0" borderId="22" xfId="0" applyNumberFormat="1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/>
      <protection locked="0"/>
    </xf>
    <xf numFmtId="22" fontId="7" fillId="0" borderId="13" xfId="0" applyNumberFormat="1" applyFont="1" applyFill="1" applyBorder="1" applyAlignment="1" applyProtection="1">
      <alignment horizontal="center"/>
      <protection locked="0"/>
    </xf>
    <xf numFmtId="22" fontId="7" fillId="0" borderId="2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66" fillId="0" borderId="0" xfId="0" applyNumberFormat="1" applyFont="1" applyBorder="1" applyAlignment="1">
      <alignment horizontal="left"/>
    </xf>
    <xf numFmtId="0" fontId="22" fillId="0" borderId="0" xfId="0" applyFont="1" applyBorder="1" applyAlignment="1" applyProtection="1">
      <alignment horizontal="left"/>
      <protection/>
    </xf>
    <xf numFmtId="0" fontId="69" fillId="0" borderId="0" xfId="0" applyFont="1" applyFill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 horizontal="left"/>
    </xf>
    <xf numFmtId="0" fontId="7" fillId="0" borderId="22" xfId="0" applyNumberFormat="1" applyFont="1" applyBorder="1" applyAlignment="1" applyProtection="1">
      <alignment horizontal="center"/>
      <protection locked="0"/>
    </xf>
    <xf numFmtId="0" fontId="7" fillId="0" borderId="52" xfId="0" applyFont="1" applyFill="1" applyBorder="1" applyAlignment="1" applyProtection="1">
      <alignment horizontal="center"/>
      <protection locked="0"/>
    </xf>
    <xf numFmtId="0" fontId="13" fillId="0" borderId="52" xfId="0" applyFont="1" applyFill="1" applyBorder="1" applyAlignment="1" applyProtection="1">
      <alignment horizontal="center"/>
      <protection locked="0"/>
    </xf>
    <xf numFmtId="180" fontId="10" fillId="0" borderId="52" xfId="0" applyNumberFormat="1" applyFont="1" applyFill="1" applyBorder="1" applyAlignment="1" applyProtection="1">
      <alignment horizontal="center"/>
      <protection locked="0"/>
    </xf>
    <xf numFmtId="179" fontId="51" fillId="33" borderId="52" xfId="0" applyNumberFormat="1" applyFont="1" applyFill="1" applyBorder="1" applyAlignment="1" applyProtection="1">
      <alignment horizontal="center"/>
      <protection/>
    </xf>
    <xf numFmtId="22" fontId="7" fillId="0" borderId="52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Fill="1" applyBorder="1" applyAlignment="1" applyProtection="1">
      <alignment horizontal="center"/>
      <protection/>
    </xf>
    <xf numFmtId="172" fontId="7" fillId="0" borderId="52" xfId="0" applyNumberFormat="1" applyFont="1" applyFill="1" applyBorder="1" applyAlignment="1" applyProtection="1" quotePrefix="1">
      <alignment horizontal="center"/>
      <protection/>
    </xf>
    <xf numFmtId="176" fontId="7" fillId="0" borderId="52" xfId="0" applyNumberFormat="1" applyFont="1" applyFill="1" applyBorder="1" applyAlignment="1" applyProtection="1">
      <alignment horizontal="center"/>
      <protection locked="0"/>
    </xf>
    <xf numFmtId="176" fontId="7" fillId="0" borderId="52" xfId="0" applyNumberFormat="1" applyFont="1" applyFill="1" applyBorder="1" applyAlignment="1" applyProtection="1" quotePrefix="1">
      <alignment horizontal="center"/>
      <protection locked="0"/>
    </xf>
    <xf numFmtId="172" fontId="48" fillId="33" borderId="52" xfId="0" applyNumberFormat="1" applyFont="1" applyFill="1" applyBorder="1" applyAlignment="1" applyProtection="1">
      <alignment horizontal="center"/>
      <protection/>
    </xf>
    <xf numFmtId="2" fontId="57" fillId="42" borderId="52" xfId="0" applyNumberFormat="1" applyFont="1" applyFill="1" applyBorder="1" applyAlignment="1">
      <alignment horizontal="center"/>
    </xf>
    <xf numFmtId="176" fontId="55" fillId="35" borderId="53" xfId="0" applyNumberFormat="1" applyFont="1" applyFill="1" applyBorder="1" applyAlignment="1" applyProtection="1" quotePrefix="1">
      <alignment horizontal="center"/>
      <protection/>
    </xf>
    <xf numFmtId="176" fontId="55" fillId="35" borderId="54" xfId="0" applyNumberFormat="1" applyFont="1" applyFill="1" applyBorder="1" applyAlignment="1" applyProtection="1" quotePrefix="1">
      <alignment horizontal="center"/>
      <protection/>
    </xf>
    <xf numFmtId="176" fontId="55" fillId="39" borderId="52" xfId="0" applyNumberFormat="1" applyFont="1" applyFill="1" applyBorder="1" applyAlignment="1" applyProtection="1" quotePrefix="1">
      <alignment horizontal="center"/>
      <protection/>
    </xf>
    <xf numFmtId="4" fontId="11" fillId="0" borderId="52" xfId="0" applyNumberFormat="1" applyFont="1" applyFill="1" applyBorder="1" applyAlignment="1">
      <alignment horizontal="right"/>
    </xf>
    <xf numFmtId="0" fontId="7" fillId="0" borderId="55" xfId="0" applyFont="1" applyFill="1" applyBorder="1" applyAlignment="1" applyProtection="1">
      <alignment horizontal="center"/>
      <protection locked="0"/>
    </xf>
    <xf numFmtId="176" fontId="51" fillId="33" borderId="22" xfId="0" applyNumberFormat="1" applyFont="1" applyFill="1" applyBorder="1" applyAlignment="1" applyProtection="1">
      <alignment horizontal="center"/>
      <protection/>
    </xf>
    <xf numFmtId="3" fontId="7" fillId="0" borderId="22" xfId="0" applyNumberFormat="1" applyFont="1" applyFill="1" applyBorder="1" applyAlignment="1" applyProtection="1">
      <alignment horizontal="center"/>
      <protection/>
    </xf>
    <xf numFmtId="4" fontId="48" fillId="36" borderId="22" xfId="0" applyNumberFormat="1" applyFont="1" applyFill="1" applyBorder="1" applyAlignment="1" applyProtection="1">
      <alignment horizontal="center"/>
      <protection/>
    </xf>
    <xf numFmtId="2" fontId="55" fillId="39" borderId="22" xfId="0" applyNumberFormat="1" applyFont="1" applyFill="1" applyBorder="1" applyAlignment="1">
      <alignment horizontal="center"/>
    </xf>
    <xf numFmtId="2" fontId="61" fillId="40" borderId="22" xfId="0" applyNumberFormat="1" applyFont="1" applyFill="1" applyBorder="1" applyAlignment="1">
      <alignment horizontal="center"/>
    </xf>
    <xf numFmtId="176" fontId="63" fillId="41" borderId="48" xfId="0" applyNumberFormat="1" applyFont="1" applyFill="1" applyBorder="1" applyAlignment="1" applyProtection="1" quotePrefix="1">
      <alignment horizontal="center"/>
      <protection/>
    </xf>
    <xf numFmtId="176" fontId="63" fillId="41" borderId="49" xfId="0" applyNumberFormat="1" applyFont="1" applyFill="1" applyBorder="1" applyAlignment="1" applyProtection="1" quotePrefix="1">
      <alignment horizontal="center"/>
      <protection/>
    </xf>
    <xf numFmtId="176" fontId="57" fillId="43" borderId="22" xfId="0" applyNumberFormat="1" applyFont="1" applyFill="1" applyBorder="1" applyAlignment="1" applyProtection="1" quotePrefix="1">
      <alignment horizontal="center"/>
      <protection/>
    </xf>
    <xf numFmtId="176" fontId="61" fillId="35" borderId="56" xfId="0" applyNumberFormat="1" applyFont="1" applyFill="1" applyBorder="1" applyAlignment="1" applyProtection="1" quotePrefix="1">
      <alignment horizontal="center"/>
      <protection/>
    </xf>
    <xf numFmtId="176" fontId="55" fillId="42" borderId="38" xfId="0" applyNumberFormat="1" applyFont="1" applyFill="1" applyBorder="1" applyAlignment="1" applyProtection="1" quotePrefix="1">
      <alignment horizontal="center"/>
      <protection/>
    </xf>
    <xf numFmtId="176" fontId="55" fillId="42" borderId="46" xfId="0" applyNumberFormat="1" applyFont="1" applyFill="1" applyBorder="1" applyAlignment="1" applyProtection="1" quotePrefix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179" fontId="0" fillId="0" borderId="32" xfId="0" applyNumberFormat="1" applyFont="1" applyBorder="1" applyAlignment="1" applyProtection="1">
      <alignment horizontal="center"/>
      <protection/>
    </xf>
    <xf numFmtId="2" fontId="0" fillId="0" borderId="25" xfId="0" applyNumberFormat="1" applyFont="1" applyBorder="1" applyAlignment="1" applyProtection="1">
      <alignment horizontal="center"/>
      <protection locked="0"/>
    </xf>
    <xf numFmtId="2" fontId="0" fillId="0" borderId="24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419100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419100</xdr:colOff>
      <xdr:row>2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419100</xdr:colOff>
      <xdr:row>2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419100</xdr:colOff>
      <xdr:row>2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419100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zoomScale="75" zoomScaleNormal="75" zoomScalePageLayoutView="0" workbookViewId="0" topLeftCell="A1">
      <selection activeCell="K35" sqref="K35"/>
    </sheetView>
  </sheetViews>
  <sheetFormatPr defaultColWidth="11.421875" defaultRowHeight="12.75"/>
  <cols>
    <col min="1" max="1" width="25.7109375" style="8" customWidth="1"/>
    <col min="2" max="2" width="7.7109375" style="8" customWidth="1"/>
    <col min="3" max="3" width="12.421875" style="8" customWidth="1"/>
    <col min="4" max="4" width="10.7109375" style="8" customWidth="1"/>
    <col min="5" max="5" width="13.57421875" style="8" customWidth="1"/>
    <col min="6" max="7" width="20.7109375" style="8" customWidth="1"/>
    <col min="8" max="8" width="12.00390625" style="8" customWidth="1"/>
    <col min="9" max="9" width="15.7109375" style="8" customWidth="1"/>
    <col min="10" max="10" width="17.7109375" style="8" customWidth="1"/>
    <col min="11" max="11" width="15.7109375" style="8" customWidth="1"/>
    <col min="12" max="13" width="11.421875" style="8" customWidth="1"/>
    <col min="14" max="14" width="14.140625" style="8" customWidth="1"/>
    <col min="15" max="15" width="11.421875" style="8" customWidth="1"/>
    <col min="16" max="16" width="14.7109375" style="8" customWidth="1"/>
    <col min="17" max="17" width="11.421875" style="8" customWidth="1"/>
    <col min="18" max="18" width="12.00390625" style="8" customWidth="1"/>
    <col min="19" max="16384" width="11.421875" style="8" customWidth="1"/>
  </cols>
  <sheetData>
    <row r="1" spans="2:11" s="61" customFormat="1" ht="26.25">
      <c r="B1" s="74"/>
      <c r="K1" s="404"/>
    </row>
    <row r="2" spans="2:10" s="61" customFormat="1" ht="26.25">
      <c r="B2" s="74" t="s">
        <v>125</v>
      </c>
      <c r="C2" s="75"/>
      <c r="D2" s="62"/>
      <c r="E2" s="62"/>
      <c r="F2" s="62"/>
      <c r="G2" s="62"/>
      <c r="H2" s="62"/>
      <c r="I2" s="62"/>
      <c r="J2" s="62"/>
    </row>
    <row r="3" spans="3:19" ht="12.75">
      <c r="C3"/>
      <c r="D3" s="28"/>
      <c r="E3" s="28"/>
      <c r="F3" s="28"/>
      <c r="G3" s="28"/>
      <c r="H3" s="28"/>
      <c r="I3" s="28"/>
      <c r="J3" s="28"/>
      <c r="P3" s="6"/>
      <c r="Q3" s="6"/>
      <c r="R3" s="6"/>
      <c r="S3" s="6"/>
    </row>
    <row r="4" spans="1:19" s="59" customFormat="1" ht="11.25">
      <c r="A4" s="76" t="s">
        <v>2</v>
      </c>
      <c r="B4" s="77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19" s="59" customFormat="1" ht="11.25">
      <c r="A5" s="76" t="s">
        <v>3</v>
      </c>
      <c r="B5" s="77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2:19" s="61" customFormat="1" ht="8.25" customHeight="1">
      <c r="B6" s="78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2:19" s="63" customFormat="1" ht="20.25">
      <c r="B7" s="122" t="s">
        <v>0</v>
      </c>
      <c r="C7" s="80"/>
      <c r="D7" s="64"/>
      <c r="E7" s="64"/>
      <c r="F7" s="65"/>
      <c r="G7" s="65"/>
      <c r="H7" s="65"/>
      <c r="I7" s="65"/>
      <c r="J7" s="65"/>
      <c r="K7" s="58"/>
      <c r="L7" s="58"/>
      <c r="M7" s="58"/>
      <c r="N7" s="58"/>
      <c r="O7" s="58"/>
      <c r="P7" s="58"/>
      <c r="Q7" s="58"/>
      <c r="R7" s="58"/>
      <c r="S7" s="58"/>
    </row>
    <row r="8" spans="9:19" ht="12.75"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2:19" s="63" customFormat="1" ht="20.25">
      <c r="B9" s="122" t="s">
        <v>1</v>
      </c>
      <c r="C9" s="80"/>
      <c r="D9" s="64"/>
      <c r="E9" s="64"/>
      <c r="F9" s="64"/>
      <c r="G9" s="64"/>
      <c r="H9" s="64"/>
      <c r="I9" s="65"/>
      <c r="J9" s="65"/>
      <c r="K9" s="58"/>
      <c r="L9" s="58"/>
      <c r="M9" s="58"/>
      <c r="N9" s="58"/>
      <c r="O9" s="58"/>
      <c r="P9" s="58"/>
      <c r="Q9" s="58"/>
      <c r="R9" s="58"/>
      <c r="S9" s="58"/>
    </row>
    <row r="10" spans="4:19" ht="12.75">
      <c r="D10" s="69"/>
      <c r="E10" s="69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2:19" s="63" customFormat="1" ht="20.25">
      <c r="B11" s="122" t="s">
        <v>124</v>
      </c>
      <c r="C11" s="81"/>
      <c r="D11" s="29"/>
      <c r="E11" s="29"/>
      <c r="F11" s="64"/>
      <c r="G11" s="64"/>
      <c r="H11" s="64"/>
      <c r="I11" s="65"/>
      <c r="J11" s="65"/>
      <c r="K11" s="58"/>
      <c r="L11" s="58"/>
      <c r="M11" s="58"/>
      <c r="N11" s="58"/>
      <c r="O11" s="58"/>
      <c r="P11" s="58"/>
      <c r="Q11" s="58"/>
      <c r="R11" s="58"/>
      <c r="S11" s="58"/>
    </row>
    <row r="12" spans="4:19" s="82" customFormat="1" ht="16.5" thickBot="1">
      <c r="D12" s="5"/>
      <c r="E12" s="5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</row>
    <row r="13" spans="2:19" s="82" customFormat="1" ht="16.5" thickTop="1">
      <c r="B13" s="241">
        <v>1</v>
      </c>
      <c r="C13" s="399"/>
      <c r="D13" s="84"/>
      <c r="E13" s="84"/>
      <c r="F13" s="84"/>
      <c r="G13" s="84"/>
      <c r="H13" s="84"/>
      <c r="I13" s="84"/>
      <c r="J13" s="85"/>
      <c r="K13" s="83"/>
      <c r="L13" s="83"/>
      <c r="M13" s="83"/>
      <c r="N13" s="83"/>
      <c r="O13" s="83"/>
      <c r="P13" s="83"/>
      <c r="Q13" s="83"/>
      <c r="R13" s="83"/>
      <c r="S13" s="83"/>
    </row>
    <row r="14" spans="2:19" s="67" customFormat="1" ht="19.5">
      <c r="B14" s="86" t="s">
        <v>70</v>
      </c>
      <c r="C14" s="87"/>
      <c r="D14" s="88"/>
      <c r="E14" s="89"/>
      <c r="F14" s="89"/>
      <c r="G14" s="89"/>
      <c r="H14" s="89"/>
      <c r="I14" s="90"/>
      <c r="J14" s="91"/>
      <c r="K14" s="34"/>
      <c r="L14" s="34"/>
      <c r="M14" s="34"/>
      <c r="N14" s="34"/>
      <c r="O14" s="34"/>
      <c r="P14" s="34"/>
      <c r="Q14" s="34"/>
      <c r="R14" s="34"/>
      <c r="S14" s="34"/>
    </row>
    <row r="15" spans="2:19" s="67" customFormat="1" ht="19.5" hidden="1">
      <c r="B15" s="92"/>
      <c r="C15" s="93"/>
      <c r="D15" s="93"/>
      <c r="E15" s="34"/>
      <c r="F15" s="94"/>
      <c r="G15" s="94"/>
      <c r="H15" s="94"/>
      <c r="I15" s="34"/>
      <c r="J15" s="68"/>
      <c r="K15" s="34"/>
      <c r="L15" s="34"/>
      <c r="M15" s="34"/>
      <c r="N15" s="34"/>
      <c r="O15" s="34"/>
      <c r="P15" s="34"/>
      <c r="Q15" s="34"/>
      <c r="R15" s="34"/>
      <c r="S15" s="34"/>
    </row>
    <row r="16" spans="2:18" s="67" customFormat="1" ht="19.5" hidden="1">
      <c r="B16" s="86" t="s">
        <v>4</v>
      </c>
      <c r="C16" s="232"/>
      <c r="D16" s="232"/>
      <c r="E16" s="90"/>
      <c r="F16" s="89"/>
      <c r="G16" s="89"/>
      <c r="H16" s="90"/>
      <c r="I16" s="81"/>
      <c r="J16" s="91"/>
      <c r="K16" s="34"/>
      <c r="L16" s="34"/>
      <c r="M16" s="34"/>
      <c r="N16" s="34"/>
      <c r="O16" s="34"/>
      <c r="P16" s="34"/>
      <c r="Q16" s="34"/>
      <c r="R16" s="34"/>
    </row>
    <row r="17" spans="2:18" s="67" customFormat="1" ht="19.5">
      <c r="B17" s="92"/>
      <c r="C17" s="93"/>
      <c r="D17" s="93"/>
      <c r="E17" s="34"/>
      <c r="F17" s="94"/>
      <c r="G17" s="94"/>
      <c r="H17" s="34"/>
      <c r="I17"/>
      <c r="J17" s="68"/>
      <c r="K17" s="34"/>
      <c r="L17" s="34"/>
      <c r="M17" s="34"/>
      <c r="N17" s="34"/>
      <c r="O17" s="34"/>
      <c r="P17" s="34"/>
      <c r="Q17" s="34"/>
      <c r="R17" s="34"/>
    </row>
    <row r="18" spans="2:19" s="67" customFormat="1" ht="19.5">
      <c r="B18" s="92"/>
      <c r="C18" s="95" t="s">
        <v>5</v>
      </c>
      <c r="D18" s="96" t="s">
        <v>6</v>
      </c>
      <c r="E18" s="34"/>
      <c r="F18" s="94"/>
      <c r="G18" s="94"/>
      <c r="H18" s="94"/>
      <c r="I18" s="35"/>
      <c r="J18" s="68"/>
      <c r="K18" s="34"/>
      <c r="L18" s="34"/>
      <c r="M18" s="34"/>
      <c r="N18" s="34"/>
      <c r="O18" s="34"/>
      <c r="P18" s="34"/>
      <c r="Q18" s="34"/>
      <c r="R18" s="34"/>
      <c r="S18" s="34"/>
    </row>
    <row r="19" spans="2:19" s="59" customFormat="1" ht="11.25">
      <c r="B19" s="197"/>
      <c r="C19" s="198"/>
      <c r="D19" s="198"/>
      <c r="E19" s="60"/>
      <c r="F19" s="199"/>
      <c r="G19" s="199"/>
      <c r="H19" s="199"/>
      <c r="I19" s="200"/>
      <c r="J19" s="201"/>
      <c r="K19" s="60"/>
      <c r="L19" s="60"/>
      <c r="M19" s="60"/>
      <c r="N19" s="60"/>
      <c r="O19" s="60"/>
      <c r="P19" s="60"/>
      <c r="Q19" s="60"/>
      <c r="R19" s="60"/>
      <c r="S19" s="60"/>
    </row>
    <row r="20" spans="2:19" s="67" customFormat="1" ht="19.5">
      <c r="B20" s="92"/>
      <c r="C20" s="95"/>
      <c r="D20" s="95" t="s">
        <v>7</v>
      </c>
      <c r="E20" s="7" t="s">
        <v>8</v>
      </c>
      <c r="F20" s="94"/>
      <c r="G20" s="94"/>
      <c r="H20" s="94"/>
      <c r="I20" s="35">
        <f>'LI-05 (1)'!AA40</f>
        <v>102578.69</v>
      </c>
      <c r="J20" s="68"/>
      <c r="K20" s="34"/>
      <c r="L20" s="34"/>
      <c r="M20" s="34"/>
      <c r="N20" s="34"/>
      <c r="O20" s="34"/>
      <c r="P20" s="34"/>
      <c r="Q20" s="34"/>
      <c r="R20" s="34"/>
      <c r="S20" s="34"/>
    </row>
    <row r="21" spans="2:19" s="82" customFormat="1" ht="15.75">
      <c r="B21" s="202"/>
      <c r="C21" s="203"/>
      <c r="D21" s="204"/>
      <c r="E21" s="83"/>
      <c r="F21" s="205"/>
      <c r="G21" s="205"/>
      <c r="H21" s="205"/>
      <c r="I21" s="206"/>
      <c r="J21" s="207"/>
      <c r="K21" s="83"/>
      <c r="L21" s="83"/>
      <c r="M21" s="83"/>
      <c r="N21" s="83"/>
      <c r="O21" s="83"/>
      <c r="P21" s="83"/>
      <c r="Q21" s="83"/>
      <c r="R21" s="83"/>
      <c r="S21" s="83"/>
    </row>
    <row r="22" spans="2:19" s="67" customFormat="1" ht="19.5">
      <c r="B22" s="92"/>
      <c r="C22" s="95" t="s">
        <v>9</v>
      </c>
      <c r="D22" s="96" t="s">
        <v>10</v>
      </c>
      <c r="E22" s="34"/>
      <c r="F22" s="94"/>
      <c r="G22" s="94"/>
      <c r="H22" s="94"/>
      <c r="I22" s="35"/>
      <c r="J22" s="68"/>
      <c r="K22" s="34"/>
      <c r="L22" s="34"/>
      <c r="M22" s="34"/>
      <c r="N22" s="34"/>
      <c r="O22" s="34"/>
      <c r="P22" s="34"/>
      <c r="Q22" s="34"/>
      <c r="R22" s="34"/>
      <c r="S22" s="34"/>
    </row>
    <row r="23" spans="2:19" s="59" customFormat="1" ht="5.25" customHeight="1">
      <c r="B23" s="197"/>
      <c r="C23" s="198"/>
      <c r="D23" s="198"/>
      <c r="E23" s="60"/>
      <c r="F23" s="199"/>
      <c r="G23" s="199"/>
      <c r="H23" s="199"/>
      <c r="I23" s="200"/>
      <c r="J23" s="201"/>
      <c r="K23" s="60"/>
      <c r="L23" s="60"/>
      <c r="M23" s="60"/>
      <c r="N23" s="60"/>
      <c r="O23" s="60"/>
      <c r="P23" s="60"/>
      <c r="Q23" s="60"/>
      <c r="R23" s="60"/>
      <c r="S23" s="60"/>
    </row>
    <row r="24" spans="2:19" s="67" customFormat="1" ht="19.5">
      <c r="B24" s="92"/>
      <c r="C24" s="95"/>
      <c r="D24" s="95" t="s">
        <v>11</v>
      </c>
      <c r="E24" s="7" t="s">
        <v>12</v>
      </c>
      <c r="F24" s="94"/>
      <c r="G24" s="94"/>
      <c r="H24" s="94"/>
      <c r="I24" s="35"/>
      <c r="J24" s="68"/>
      <c r="K24" s="34"/>
      <c r="L24" s="34"/>
      <c r="M24" s="34"/>
      <c r="N24" s="34"/>
      <c r="O24" s="34"/>
      <c r="P24" s="34"/>
      <c r="Q24" s="34"/>
      <c r="R24" s="34"/>
      <c r="S24" s="34"/>
    </row>
    <row r="25" spans="2:19" s="67" customFormat="1" ht="19.5">
      <c r="B25" s="92"/>
      <c r="C25" s="95"/>
      <c r="E25" s="95" t="s">
        <v>63</v>
      </c>
      <c r="F25" s="7" t="s">
        <v>8</v>
      </c>
      <c r="G25" s="94"/>
      <c r="H25" s="94"/>
      <c r="I25" s="35">
        <f>'T-05 (3)'!AC39</f>
        <v>51902.79</v>
      </c>
      <c r="J25" s="68"/>
      <c r="K25" s="34"/>
      <c r="L25" s="34"/>
      <c r="M25" s="34"/>
      <c r="N25" s="34"/>
      <c r="O25" s="34"/>
      <c r="P25" s="34"/>
      <c r="Q25" s="34"/>
      <c r="R25" s="34"/>
      <c r="S25" s="34"/>
    </row>
    <row r="26" spans="2:19" s="67" customFormat="1" ht="19.5">
      <c r="B26" s="92"/>
      <c r="C26" s="95"/>
      <c r="D26" s="93" t="s">
        <v>13</v>
      </c>
      <c r="E26" s="7" t="s">
        <v>14</v>
      </c>
      <c r="F26" s="7"/>
      <c r="G26" s="94"/>
      <c r="H26" s="94"/>
      <c r="I26" s="35"/>
      <c r="J26" s="68"/>
      <c r="K26" s="34"/>
      <c r="L26" s="34"/>
      <c r="M26" s="34"/>
      <c r="N26" s="34"/>
      <c r="O26" s="34"/>
      <c r="P26" s="34"/>
      <c r="Q26" s="34"/>
      <c r="R26" s="34"/>
      <c r="S26" s="34"/>
    </row>
    <row r="27" spans="2:19" s="59" customFormat="1" ht="19.5" customHeight="1">
      <c r="B27" s="197"/>
      <c r="C27" s="198"/>
      <c r="D27" s="198"/>
      <c r="E27" s="93" t="s">
        <v>64</v>
      </c>
      <c r="F27" s="7" t="s">
        <v>8</v>
      </c>
      <c r="G27" s="199"/>
      <c r="H27" s="199"/>
      <c r="I27" s="35">
        <f>'SA-05 (1)'!V34</f>
        <v>14896.24</v>
      </c>
      <c r="J27" s="201"/>
      <c r="K27" s="60"/>
      <c r="L27" s="60"/>
      <c r="M27" s="60"/>
      <c r="N27" s="60"/>
      <c r="O27" s="60"/>
      <c r="P27" s="60"/>
      <c r="Q27" s="60"/>
      <c r="R27" s="60"/>
      <c r="S27" s="60"/>
    </row>
    <row r="28" spans="2:19" s="67" customFormat="1" ht="19.5">
      <c r="B28" s="92"/>
      <c r="C28" s="95"/>
      <c r="D28" s="95"/>
      <c r="E28" s="7"/>
      <c r="F28" s="94"/>
      <c r="G28" s="94"/>
      <c r="H28" s="94"/>
      <c r="I28" s="35"/>
      <c r="J28" s="68"/>
      <c r="K28" s="34"/>
      <c r="L28" s="34"/>
      <c r="M28" s="34"/>
      <c r="N28" s="34"/>
      <c r="O28" s="34"/>
      <c r="P28" s="34"/>
      <c r="Q28" s="34"/>
      <c r="R28" s="34"/>
      <c r="S28" s="34"/>
    </row>
    <row r="29" spans="2:19" s="67" customFormat="1" ht="20.25" thickBot="1">
      <c r="B29" s="92"/>
      <c r="C29" s="93"/>
      <c r="D29" s="93"/>
      <c r="E29" s="34"/>
      <c r="F29" s="94"/>
      <c r="G29" s="94"/>
      <c r="H29" s="94"/>
      <c r="I29" s="34"/>
      <c r="J29" s="68"/>
      <c r="K29" s="34"/>
      <c r="L29" s="34"/>
      <c r="M29" s="34"/>
      <c r="N29" s="34"/>
      <c r="O29" s="34"/>
      <c r="P29" s="34"/>
      <c r="Q29" s="34"/>
      <c r="R29" s="34"/>
      <c r="S29" s="34"/>
    </row>
    <row r="30" spans="2:19" s="67" customFormat="1" ht="20.25" thickBot="1" thickTop="1">
      <c r="B30" s="92"/>
      <c r="C30" s="95"/>
      <c r="D30" s="95"/>
      <c r="F30" s="97" t="s">
        <v>15</v>
      </c>
      <c r="G30" s="57">
        <f>SUM(I18:I28)</f>
        <v>169377.72</v>
      </c>
      <c r="H30" s="208"/>
      <c r="J30" s="68"/>
      <c r="K30" s="34"/>
      <c r="L30" s="34"/>
      <c r="M30" s="34"/>
      <c r="N30" s="34"/>
      <c r="O30" s="34"/>
      <c r="P30" s="34"/>
      <c r="Q30" s="34"/>
      <c r="R30" s="34"/>
      <c r="S30" s="34"/>
    </row>
    <row r="31" spans="2:19" s="67" customFormat="1" ht="19.5" thickTop="1">
      <c r="B31" s="92"/>
      <c r="C31" s="95"/>
      <c r="D31" s="95"/>
      <c r="F31" s="425"/>
      <c r="G31" s="208"/>
      <c r="H31" s="208"/>
      <c r="J31" s="68"/>
      <c r="K31" s="34"/>
      <c r="L31" s="34"/>
      <c r="M31" s="34"/>
      <c r="N31" s="34"/>
      <c r="O31" s="34"/>
      <c r="P31" s="34"/>
      <c r="Q31" s="34"/>
      <c r="R31" s="34"/>
      <c r="S31" s="34"/>
    </row>
    <row r="32" spans="2:19" s="67" customFormat="1" ht="18.75">
      <c r="B32" s="92"/>
      <c r="C32" s="426" t="s">
        <v>126</v>
      </c>
      <c r="D32" s="95"/>
      <c r="F32" s="425"/>
      <c r="G32" s="208"/>
      <c r="H32" s="208"/>
      <c r="J32" s="68"/>
      <c r="K32" s="34"/>
      <c r="L32" s="34"/>
      <c r="M32" s="34"/>
      <c r="N32" s="34"/>
      <c r="O32" s="34"/>
      <c r="P32" s="34"/>
      <c r="Q32" s="34"/>
      <c r="R32" s="34"/>
      <c r="S32" s="34"/>
    </row>
    <row r="33" spans="2:19" s="82" customFormat="1" ht="16.5" thickBot="1">
      <c r="B33" s="98"/>
      <c r="C33" s="99"/>
      <c r="D33" s="99"/>
      <c r="E33" s="100"/>
      <c r="F33" s="100"/>
      <c r="G33" s="100"/>
      <c r="H33" s="100"/>
      <c r="I33" s="100"/>
      <c r="J33" s="101"/>
      <c r="K33" s="83"/>
      <c r="L33" s="83"/>
      <c r="M33" s="102"/>
      <c r="N33" s="103"/>
      <c r="O33" s="103"/>
      <c r="P33" s="104"/>
      <c r="Q33" s="105"/>
      <c r="R33" s="83"/>
      <c r="S33" s="83"/>
    </row>
    <row r="34" spans="4:19" ht="13.5" thickTop="1">
      <c r="D34" s="6"/>
      <c r="F34" s="6"/>
      <c r="G34" s="6"/>
      <c r="H34" s="6"/>
      <c r="I34" s="6"/>
      <c r="J34" s="6"/>
      <c r="K34" s="6"/>
      <c r="L34" s="6"/>
      <c r="M34" s="24"/>
      <c r="N34" s="106"/>
      <c r="O34" s="106"/>
      <c r="P34" s="6"/>
      <c r="Q34" s="27"/>
      <c r="R34" s="6"/>
      <c r="S34" s="6"/>
    </row>
    <row r="35" spans="4:19" ht="12.75">
      <c r="D35" s="6"/>
      <c r="F35" s="6"/>
      <c r="G35" s="6"/>
      <c r="H35" s="6"/>
      <c r="I35" s="6"/>
      <c r="J35" s="6"/>
      <c r="K35" s="6"/>
      <c r="L35" s="6"/>
      <c r="M35" s="6"/>
      <c r="N35" s="72"/>
      <c r="O35" s="72"/>
      <c r="P35" s="73"/>
      <c r="Q35" s="27"/>
      <c r="R35" s="6"/>
      <c r="S35" s="6"/>
    </row>
    <row r="36" spans="4:19" ht="12.75">
      <c r="D36" s="6"/>
      <c r="E36" s="6"/>
      <c r="F36" s="6"/>
      <c r="G36" s="6"/>
      <c r="H36" s="6"/>
      <c r="I36" s="6"/>
      <c r="J36" s="6"/>
      <c r="K36" s="6"/>
      <c r="L36" s="6"/>
      <c r="M36" s="6"/>
      <c r="N36" s="72"/>
      <c r="O36" s="72"/>
      <c r="P36" s="73"/>
      <c r="Q36" s="27"/>
      <c r="R36" s="6"/>
      <c r="S36" s="6"/>
    </row>
    <row r="37" spans="4:19" ht="12.75">
      <c r="D37" s="6"/>
      <c r="E37" s="6"/>
      <c r="L37" s="6"/>
      <c r="M37" s="6"/>
      <c r="N37" s="6"/>
      <c r="O37" s="6"/>
      <c r="P37" s="6"/>
      <c r="Q37" s="6"/>
      <c r="R37" s="6"/>
      <c r="S37" s="6"/>
    </row>
    <row r="38" spans="4:19" ht="12.75">
      <c r="D38" s="6"/>
      <c r="E38" s="6"/>
      <c r="P38" s="6"/>
      <c r="Q38" s="6"/>
      <c r="R38" s="6"/>
      <c r="S38" s="6"/>
    </row>
    <row r="39" spans="4:19" ht="12.75">
      <c r="D39" s="6"/>
      <c r="E39" s="6"/>
      <c r="P39" s="6"/>
      <c r="Q39" s="6"/>
      <c r="R39" s="6"/>
      <c r="S39" s="6"/>
    </row>
    <row r="40" spans="4:19" ht="12.75">
      <c r="D40" s="6"/>
      <c r="E40" s="6"/>
      <c r="P40" s="6"/>
      <c r="Q40" s="6"/>
      <c r="R40" s="6"/>
      <c r="S40" s="6"/>
    </row>
    <row r="41" spans="4:19" ht="12.75">
      <c r="D41" s="6"/>
      <c r="E41" s="6"/>
      <c r="P41" s="6"/>
      <c r="Q41" s="6"/>
      <c r="R41" s="6"/>
      <c r="S41" s="6"/>
    </row>
    <row r="42" spans="4:19" ht="12.75">
      <c r="D42" s="6"/>
      <c r="E42" s="6"/>
      <c r="P42" s="6"/>
      <c r="Q42" s="6"/>
      <c r="R42" s="6"/>
      <c r="S42" s="6"/>
    </row>
    <row r="43" spans="16:19" ht="12.75">
      <c r="P43" s="6"/>
      <c r="Q43" s="6"/>
      <c r="R43" s="6"/>
      <c r="S43" s="6"/>
    </row>
    <row r="44" spans="16:19" ht="12.75">
      <c r="P44" s="6"/>
      <c r="Q44" s="6"/>
      <c r="R44" s="6"/>
      <c r="S44" s="6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92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zoomScale="75" zoomScaleNormal="75" zoomScalePageLayoutView="0" workbookViewId="0" topLeftCell="A1">
      <selection activeCell="A23" sqref="A23:IV37"/>
    </sheetView>
  </sheetViews>
  <sheetFormatPr defaultColWidth="11.421875" defaultRowHeight="12.75"/>
  <cols>
    <col min="1" max="3" width="4.140625" style="0" customWidth="1"/>
    <col min="4" max="5" width="13.7109375" style="0" customWidth="1"/>
    <col min="6" max="6" width="40.7109375" style="0" customWidth="1"/>
    <col min="7" max="7" width="8.7109375" style="0" customWidth="1"/>
    <col min="8" max="8" width="9.7109375" style="0" customWidth="1"/>
    <col min="9" max="9" width="8.7109375" style="0" hidden="1" customWidth="1"/>
    <col min="10" max="11" width="16.28125" style="0" customWidth="1"/>
    <col min="12" max="14" width="9.7109375" style="0" customWidth="1"/>
    <col min="15" max="15" width="7.7109375" style="0" customWidth="1"/>
    <col min="16" max="16" width="13.140625" style="0" hidden="1" customWidth="1"/>
    <col min="17" max="17" width="12.28125" style="0" hidden="1" customWidth="1"/>
    <col min="18" max="18" width="11.140625" style="0" hidden="1" customWidth="1"/>
    <col min="19" max="19" width="10.421875" style="0" hidden="1" customWidth="1"/>
    <col min="20" max="23" width="7.140625" style="0" hidden="1" customWidth="1"/>
    <col min="24" max="25" width="12.2812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="61" customFormat="1" ht="29.25" customHeight="1">
      <c r="AB1" s="404"/>
    </row>
    <row r="2" spans="2:28" s="61" customFormat="1" ht="26.25">
      <c r="B2" s="413" t="str">
        <f>+'TOT-0515'!B2</f>
        <v>ANEXO V al Memorándum  D.T.E.E.  N° 821/2015.-</v>
      </c>
      <c r="C2" s="62"/>
      <c r="D2" s="62"/>
      <c r="E2" s="62"/>
      <c r="F2" s="62"/>
      <c r="G2" s="74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</row>
    <row r="3" s="8" customFormat="1" ht="13.5" customHeight="1"/>
    <row r="4" spans="1:3" s="59" customFormat="1" ht="12" customHeight="1">
      <c r="A4" s="427" t="s">
        <v>68</v>
      </c>
      <c r="B4" s="126"/>
      <c r="C4" s="427"/>
    </row>
    <row r="5" spans="1:3" s="59" customFormat="1" ht="11.25">
      <c r="A5" s="427" t="s">
        <v>69</v>
      </c>
      <c r="B5" s="126"/>
      <c r="C5" s="126"/>
    </row>
    <row r="6" s="8" customFormat="1" ht="13.5" thickBot="1"/>
    <row r="7" spans="1:28" s="8" customFormat="1" ht="13.5" thickTop="1">
      <c r="A7" s="6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2"/>
    </row>
    <row r="8" spans="1:28" s="63" customFormat="1" ht="20.25">
      <c r="A8" s="58"/>
      <c r="B8" s="120"/>
      <c r="F8" s="17" t="s">
        <v>16</v>
      </c>
      <c r="G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66"/>
    </row>
    <row r="9" spans="1:28" s="8" customFormat="1" ht="12.75">
      <c r="A9" s="6"/>
      <c r="B9" s="33"/>
      <c r="C9" s="70"/>
      <c r="D9" s="70"/>
      <c r="E9" s="70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9"/>
    </row>
    <row r="10" spans="1:28" s="63" customFormat="1" ht="20.25">
      <c r="A10" s="58"/>
      <c r="B10" s="120"/>
      <c r="F10" s="17" t="s">
        <v>17</v>
      </c>
      <c r="G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66"/>
    </row>
    <row r="11" spans="1:28" s="8" customFormat="1" ht="12.75">
      <c r="A11" s="6"/>
      <c r="B11" s="33"/>
      <c r="C11" s="70"/>
      <c r="D11" s="70"/>
      <c r="E11" s="70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9"/>
    </row>
    <row r="12" spans="1:28" s="63" customFormat="1" ht="20.25">
      <c r="A12" s="58"/>
      <c r="B12" s="120"/>
      <c r="F12" s="17" t="s">
        <v>18</v>
      </c>
      <c r="G12" s="17"/>
      <c r="H12" s="58"/>
      <c r="I12" s="121"/>
      <c r="J12" s="121"/>
      <c r="K12" s="121"/>
      <c r="L12" s="121"/>
      <c r="M12" s="121"/>
      <c r="N12" s="121"/>
      <c r="O12" s="121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66"/>
    </row>
    <row r="13" spans="1:28" s="8" customFormat="1" ht="12.75">
      <c r="A13" s="6"/>
      <c r="B13" s="33"/>
      <c r="C13" s="6"/>
      <c r="D13" s="6"/>
      <c r="E13" s="6"/>
      <c r="F13" s="118"/>
      <c r="G13" s="117"/>
      <c r="H13" s="6"/>
      <c r="I13" s="108"/>
      <c r="J13" s="108"/>
      <c r="K13" s="108"/>
      <c r="L13" s="108"/>
      <c r="M13" s="108"/>
      <c r="N13" s="108"/>
      <c r="O13" s="108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9"/>
    </row>
    <row r="14" spans="1:28" s="67" customFormat="1" ht="19.5">
      <c r="A14" s="34"/>
      <c r="B14" s="407" t="str">
        <f>+'TOT-0515'!B14</f>
        <v>Desde el 01 al 31 de mayo de 2015</v>
      </c>
      <c r="C14" s="90"/>
      <c r="D14" s="90"/>
      <c r="E14" s="90"/>
      <c r="F14" s="90"/>
      <c r="G14" s="122"/>
      <c r="H14" s="123"/>
      <c r="I14" s="124"/>
      <c r="J14" s="125"/>
      <c r="K14" s="124"/>
      <c r="L14" s="124"/>
      <c r="M14" s="124"/>
      <c r="N14" s="124"/>
      <c r="O14" s="124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s="8" customFormat="1" ht="13.5" thickBot="1">
      <c r="A15" s="6"/>
      <c r="B15" s="33"/>
      <c r="C15" s="6"/>
      <c r="D15" s="6"/>
      <c r="E15" s="6"/>
      <c r="F15" s="6"/>
      <c r="G15" s="117"/>
      <c r="H15" s="119"/>
      <c r="I15" s="108"/>
      <c r="J15" s="108"/>
      <c r="K15" s="108"/>
      <c r="L15" s="108"/>
      <c r="M15" s="108"/>
      <c r="N15" s="108"/>
      <c r="O15" s="108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9"/>
    </row>
    <row r="16" spans="1:28" s="8" customFormat="1" ht="14.25" thickBot="1" thickTop="1">
      <c r="A16" s="6"/>
      <c r="B16" s="33"/>
      <c r="C16" s="6"/>
      <c r="D16" s="6"/>
      <c r="E16" s="6"/>
      <c r="F16" s="127" t="s">
        <v>19</v>
      </c>
      <c r="G16" s="461">
        <v>335.172</v>
      </c>
      <c r="H16" s="462"/>
      <c r="I16" s="108"/>
      <c r="J16" s="108"/>
      <c r="K16" s="108"/>
      <c r="L16" s="108"/>
      <c r="M16" s="108"/>
      <c r="N16" s="108"/>
      <c r="O16" s="10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9"/>
    </row>
    <row r="17" spans="1:28" s="8" customFormat="1" ht="14.25" thickBot="1" thickTop="1">
      <c r="A17" s="6"/>
      <c r="B17" s="33"/>
      <c r="C17" s="6"/>
      <c r="D17" s="6"/>
      <c r="E17" s="6"/>
      <c r="F17" s="127" t="s">
        <v>20</v>
      </c>
      <c r="G17" s="461">
        <v>320.822</v>
      </c>
      <c r="H17" s="462"/>
      <c r="I17" s="6"/>
      <c r="J17" s="107"/>
      <c r="K17" s="128" t="s">
        <v>21</v>
      </c>
      <c r="L17" s="129">
        <f>30*'TOT-0515'!B13</f>
        <v>30</v>
      </c>
      <c r="M17" s="196" t="str">
        <f>IF(L17=30," ",IF(L17=60,"Coeficiente duplicado por tasa de falla &gt;4 Sal. x año/100 km.","REVISAR COEFICIENTE"))</f>
        <v> 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9"/>
    </row>
    <row r="18" spans="1:28" s="8" customFormat="1" ht="14.25" thickBot="1" thickTop="1">
      <c r="A18" s="6"/>
      <c r="B18" s="33"/>
      <c r="C18" s="6"/>
      <c r="D18" s="6"/>
      <c r="E18" s="6"/>
      <c r="F18" s="459" t="s">
        <v>122</v>
      </c>
      <c r="G18" s="461">
        <v>320.822</v>
      </c>
      <c r="H18" s="462"/>
      <c r="I18" s="6"/>
      <c r="J18" s="6"/>
      <c r="K18" s="6"/>
      <c r="L18" s="71"/>
      <c r="M18" s="109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9"/>
    </row>
    <row r="19" spans="1:28" s="8" customFormat="1" ht="14.25" thickBot="1" thickTop="1">
      <c r="A19" s="6"/>
      <c r="B19" s="33"/>
      <c r="C19" s="429">
        <v>3</v>
      </c>
      <c r="D19" s="429">
        <v>4</v>
      </c>
      <c r="E19" s="429">
        <v>5</v>
      </c>
      <c r="F19" s="429">
        <v>6</v>
      </c>
      <c r="G19" s="429">
        <v>7</v>
      </c>
      <c r="H19" s="429">
        <v>8</v>
      </c>
      <c r="I19" s="429">
        <v>9</v>
      </c>
      <c r="J19" s="429">
        <v>10</v>
      </c>
      <c r="K19" s="429">
        <v>11</v>
      </c>
      <c r="L19" s="429">
        <v>12</v>
      </c>
      <c r="M19" s="429">
        <v>13</v>
      </c>
      <c r="N19" s="429">
        <v>14</v>
      </c>
      <c r="O19" s="429">
        <v>15</v>
      </c>
      <c r="P19" s="429">
        <v>16</v>
      </c>
      <c r="Q19" s="429">
        <v>17</v>
      </c>
      <c r="R19" s="429">
        <v>18</v>
      </c>
      <c r="S19" s="429">
        <v>19</v>
      </c>
      <c r="T19" s="429">
        <v>20</v>
      </c>
      <c r="U19" s="429">
        <v>21</v>
      </c>
      <c r="V19" s="429">
        <v>22</v>
      </c>
      <c r="W19" s="429">
        <v>23</v>
      </c>
      <c r="X19" s="429">
        <v>24</v>
      </c>
      <c r="Y19" s="429">
        <v>25</v>
      </c>
      <c r="Z19" s="429">
        <v>26</v>
      </c>
      <c r="AA19" s="429">
        <v>27</v>
      </c>
      <c r="AB19" s="9"/>
    </row>
    <row r="20" spans="1:28" s="8" customFormat="1" ht="33.75" customHeight="1" thickBot="1" thickTop="1">
      <c r="A20" s="6"/>
      <c r="B20" s="33"/>
      <c r="C20" s="133" t="s">
        <v>22</v>
      </c>
      <c r="D20" s="133" t="s">
        <v>66</v>
      </c>
      <c r="E20" s="133" t="s">
        <v>67</v>
      </c>
      <c r="F20" s="134" t="s">
        <v>6</v>
      </c>
      <c r="G20" s="135" t="s">
        <v>23</v>
      </c>
      <c r="H20" s="135" t="s">
        <v>24</v>
      </c>
      <c r="I20" s="233" t="s">
        <v>25</v>
      </c>
      <c r="J20" s="134" t="s">
        <v>26</v>
      </c>
      <c r="K20" s="134" t="s">
        <v>27</v>
      </c>
      <c r="L20" s="135" t="s">
        <v>28</v>
      </c>
      <c r="M20" s="135" t="s">
        <v>29</v>
      </c>
      <c r="N20" s="135" t="s">
        <v>30</v>
      </c>
      <c r="O20" s="135" t="s">
        <v>31</v>
      </c>
      <c r="P20" s="249" t="s">
        <v>32</v>
      </c>
      <c r="Q20" s="253" t="s">
        <v>33</v>
      </c>
      <c r="R20" s="235" t="s">
        <v>34</v>
      </c>
      <c r="S20" s="236"/>
      <c r="T20" s="237"/>
      <c r="U20" s="273" t="s">
        <v>35</v>
      </c>
      <c r="V20" s="274"/>
      <c r="W20" s="275"/>
      <c r="X20" s="289" t="s">
        <v>36</v>
      </c>
      <c r="Y20" s="295" t="s">
        <v>37</v>
      </c>
      <c r="Z20" s="231" t="s">
        <v>38</v>
      </c>
      <c r="AA20" s="137" t="s">
        <v>39</v>
      </c>
      <c r="AB20" s="9"/>
    </row>
    <row r="21" spans="1:28" s="8" customFormat="1" ht="16.5" thickBot="1" thickTop="1">
      <c r="A21" s="6"/>
      <c r="B21" s="33"/>
      <c r="C21" s="110"/>
      <c r="D21" s="110"/>
      <c r="E21" s="110"/>
      <c r="F21" s="112"/>
      <c r="G21" s="111"/>
      <c r="H21" s="111"/>
      <c r="I21" s="242"/>
      <c r="J21" s="111"/>
      <c r="K21" s="112"/>
      <c r="L21" s="112"/>
      <c r="M21" s="112"/>
      <c r="N21" s="111"/>
      <c r="O21" s="111"/>
      <c r="P21" s="250"/>
      <c r="Q21" s="258"/>
      <c r="R21" s="260"/>
      <c r="S21" s="261"/>
      <c r="T21" s="262"/>
      <c r="U21" s="276"/>
      <c r="V21" s="277"/>
      <c r="W21" s="278"/>
      <c r="X21" s="290"/>
      <c r="Y21" s="296"/>
      <c r="Z21" s="113"/>
      <c r="AA21" s="402"/>
      <c r="AB21" s="9"/>
    </row>
    <row r="22" spans="1:28" s="8" customFormat="1" ht="16.5" thickBot="1" thickTop="1">
      <c r="A22" s="6"/>
      <c r="B22" s="33"/>
      <c r="C22" s="110"/>
      <c r="D22" s="110"/>
      <c r="E22" s="110"/>
      <c r="F22" s="408"/>
      <c r="G22" s="408"/>
      <c r="H22" s="408"/>
      <c r="I22" s="243"/>
      <c r="J22" s="408"/>
      <c r="K22" s="39"/>
      <c r="L22" s="131"/>
      <c r="M22" s="131"/>
      <c r="N22" s="408"/>
      <c r="O22" s="408"/>
      <c r="P22" s="250"/>
      <c r="Q22" s="256"/>
      <c r="R22" s="263"/>
      <c r="S22" s="264"/>
      <c r="T22" s="265"/>
      <c r="U22" s="279"/>
      <c r="V22" s="280"/>
      <c r="W22" s="281"/>
      <c r="X22" s="291"/>
      <c r="Y22" s="297"/>
      <c r="Z22" s="130"/>
      <c r="AA22" s="248"/>
      <c r="AB22" s="9"/>
    </row>
    <row r="23" spans="1:28" s="8" customFormat="1" ht="16.5" thickBot="1" thickTop="1">
      <c r="A23" s="6"/>
      <c r="B23" s="33"/>
      <c r="C23" s="39">
        <v>1</v>
      </c>
      <c r="D23" s="39">
        <v>261606</v>
      </c>
      <c r="E23" s="39">
        <v>748</v>
      </c>
      <c r="F23" s="40" t="s">
        <v>71</v>
      </c>
      <c r="G23" s="40">
        <v>132</v>
      </c>
      <c r="H23" s="246">
        <v>42</v>
      </c>
      <c r="I23" s="244">
        <f>IF(H23&gt;25,H23,25)*IF(G23=220,$G$16,IF(G23=132,$G$17,$G$18))/100</f>
        <v>134.74524</v>
      </c>
      <c r="J23" s="41">
        <v>42125</v>
      </c>
      <c r="K23" s="41">
        <v>42155.99998842592</v>
      </c>
      <c r="L23" s="10">
        <f>IF(F23="","",(K23-J23)*24)</f>
        <v>743.9997222221573</v>
      </c>
      <c r="M23" s="11">
        <f>IF(F23="","",ROUND((K23-J23)*24*60,0))</f>
        <v>44640</v>
      </c>
      <c r="N23" s="42" t="s">
        <v>72</v>
      </c>
      <c r="O23" s="43" t="str">
        <f>IF(F23="","","--")</f>
        <v>--</v>
      </c>
      <c r="P23" s="251">
        <f>IF(N23="P",ROUND(M23/60,2)*I23*$L$17*0.01,"--")</f>
        <v>30075.137568000002</v>
      </c>
      <c r="Q23" s="257" t="str">
        <f>IF(N23="RP",ROUND(M23/60,2)*I23*$L$17*0.01*O23/100,"--")</f>
        <v>--</v>
      </c>
      <c r="R23" s="266" t="str">
        <f>IF(N23="F",I23*$L$17,"--")</f>
        <v>--</v>
      </c>
      <c r="S23" s="267" t="str">
        <f>IF(AND(M23&gt;10,N23="F"),I23*$L$17*IF(M23&gt;180,3,ROUND(M23/60,2)),"--")</f>
        <v>--</v>
      </c>
      <c r="T23" s="268" t="str">
        <f>IF(AND(N23="F",M23&gt;180),(ROUND(M23/60,2)-3)*I23*$L$17*0.1,"--")</f>
        <v>--</v>
      </c>
      <c r="U23" s="282" t="str">
        <f>IF(N23="R",I23*$L$17*O23/100,"--")</f>
        <v>--</v>
      </c>
      <c r="V23" s="283" t="str">
        <f>IF(AND(M23&gt;10,N23="R"),I23*$L$17*O23/100*IF(M23&gt;180,3,ROUND(M23/60,2)),"--")</f>
        <v>--</v>
      </c>
      <c r="W23" s="284" t="str">
        <f>IF(AND(N23="R",M23&gt;180),(ROUND(M23/60,2)-3)*I23*$L$17*0.1*O23/100,"--")</f>
        <v>--</v>
      </c>
      <c r="X23" s="292" t="str">
        <f>IF(N23="RF",ROUND(M23/60,2)*I23*$L$17*0.1,"--")</f>
        <v>--</v>
      </c>
      <c r="Y23" s="298" t="str">
        <f>IF(N23="RR",ROUND(M23/60,2)*I23*$L$17*0.1*O23/100,"--")</f>
        <v>--</v>
      </c>
      <c r="Z23" s="234" t="s">
        <v>73</v>
      </c>
      <c r="AA23" s="44">
        <f>IF(F23="","",SUM(P23:Y23)*IF(Z23="SI",1,2))</f>
        <v>30075.137568000002</v>
      </c>
      <c r="AB23" s="397"/>
    </row>
    <row r="24" spans="1:28" s="8" customFormat="1" ht="16.5" thickBot="1" thickTop="1">
      <c r="A24" s="6"/>
      <c r="B24" s="33"/>
      <c r="C24" s="39">
        <v>2</v>
      </c>
      <c r="D24" s="39">
        <v>280751</v>
      </c>
      <c r="E24" s="39">
        <v>1003</v>
      </c>
      <c r="F24" s="40" t="s">
        <v>74</v>
      </c>
      <c r="G24" s="40">
        <v>33</v>
      </c>
      <c r="H24" s="246">
        <v>11.800000190734863</v>
      </c>
      <c r="I24" s="244">
        <f aca="true" t="shared" si="0" ref="I24:I34">IF(H24&gt;25,H24,25)*IF(G24=220,$G$16,IF(G24=132,$G$17,$G$18))/100</f>
        <v>80.2055</v>
      </c>
      <c r="J24" s="41">
        <v>42125</v>
      </c>
      <c r="K24" s="41">
        <v>42155.99998842592</v>
      </c>
      <c r="L24" s="10">
        <f aca="true" t="shared" si="1" ref="L24:L34">IF(F24="","",(K24-J24)*24)</f>
        <v>743.9997222221573</v>
      </c>
      <c r="M24" s="11">
        <f aca="true" t="shared" si="2" ref="M24:M34">IF(F24="","",ROUND((K24-J24)*24*60,0))</f>
        <v>44640</v>
      </c>
      <c r="N24" s="42" t="s">
        <v>72</v>
      </c>
      <c r="O24" s="43" t="str">
        <f aca="true" t="shared" si="3" ref="O24:O34">IF(F24="","","--")</f>
        <v>--</v>
      </c>
      <c r="P24" s="251">
        <f aca="true" t="shared" si="4" ref="P24:P34">IF(N24="P",ROUND(M24/60,2)*I24*$L$17*0.01,"--")</f>
        <v>17901.8676</v>
      </c>
      <c r="Q24" s="257" t="str">
        <f aca="true" t="shared" si="5" ref="Q24:Q34">IF(N24="RP",ROUND(M24/60,2)*I24*$L$17*0.01*O24/100,"--")</f>
        <v>--</v>
      </c>
      <c r="R24" s="266" t="str">
        <f aca="true" t="shared" si="6" ref="R24:R34">IF(N24="F",I24*$L$17,"--")</f>
        <v>--</v>
      </c>
      <c r="S24" s="267" t="str">
        <f aca="true" t="shared" si="7" ref="S24:S34">IF(AND(M24&gt;10,N24="F"),I24*$L$17*IF(M24&gt;180,3,ROUND(M24/60,2)),"--")</f>
        <v>--</v>
      </c>
      <c r="T24" s="268" t="str">
        <f aca="true" t="shared" si="8" ref="T24:T34">IF(AND(N24="F",M24&gt;180),(ROUND(M24/60,2)-3)*I24*$L$17*0.1,"--")</f>
        <v>--</v>
      </c>
      <c r="U24" s="282" t="str">
        <f aca="true" t="shared" si="9" ref="U24:U34">IF(N24="R",I24*$L$17*O24/100,"--")</f>
        <v>--</v>
      </c>
      <c r="V24" s="283" t="str">
        <f aca="true" t="shared" si="10" ref="V24:V34">IF(AND(M24&gt;10,N24="R"),I24*$L$17*O24/100*IF(M24&gt;180,3,ROUND(M24/60,2)),"--")</f>
        <v>--</v>
      </c>
      <c r="W24" s="284" t="str">
        <f aca="true" t="shared" si="11" ref="W24:W34">IF(AND(N24="R",M24&gt;180),(ROUND(M24/60,2)-3)*I24*$L$17*0.1*O24/100,"--")</f>
        <v>--</v>
      </c>
      <c r="X24" s="292" t="str">
        <f aca="true" t="shared" si="12" ref="X24:X34">IF(N24="RF",ROUND(M24/60,2)*I24*$L$17*0.1,"--")</f>
        <v>--</v>
      </c>
      <c r="Y24" s="298" t="str">
        <f aca="true" t="shared" si="13" ref="Y24:Y34">IF(N24="RR",ROUND(M24/60,2)*I24*$L$17*0.1*O24/100,"--")</f>
        <v>--</v>
      </c>
      <c r="Z24" s="234" t="s">
        <v>73</v>
      </c>
      <c r="AA24" s="44">
        <f aca="true" t="shared" si="14" ref="AA24:AA38">IF(F24="","",SUM(P24:Y24)*IF(Z24="SI",1,2))</f>
        <v>17901.8676</v>
      </c>
      <c r="AB24" s="397"/>
    </row>
    <row r="25" spans="1:28" s="8" customFormat="1" ht="16.5" thickBot="1" thickTop="1">
      <c r="A25" s="6"/>
      <c r="B25" s="33"/>
      <c r="C25" s="39">
        <v>3</v>
      </c>
      <c r="D25" s="39">
        <v>288075</v>
      </c>
      <c r="E25" s="39">
        <v>745</v>
      </c>
      <c r="F25" s="40" t="s">
        <v>75</v>
      </c>
      <c r="G25" s="40">
        <v>132</v>
      </c>
      <c r="H25" s="246">
        <v>178</v>
      </c>
      <c r="I25" s="244">
        <f t="shared" si="0"/>
        <v>571.06316</v>
      </c>
      <c r="J25" s="41">
        <v>42125.334027777775</v>
      </c>
      <c r="K25" s="41">
        <v>42125.60486111111</v>
      </c>
      <c r="L25" s="10">
        <f t="shared" si="1"/>
        <v>6.500000000058208</v>
      </c>
      <c r="M25" s="11">
        <f t="shared" si="2"/>
        <v>390</v>
      </c>
      <c r="N25" s="42" t="s">
        <v>72</v>
      </c>
      <c r="O25" s="43" t="str">
        <f t="shared" si="3"/>
        <v>--</v>
      </c>
      <c r="P25" s="251">
        <f t="shared" si="4"/>
        <v>1113.5731620000001</v>
      </c>
      <c r="Q25" s="257" t="str">
        <f t="shared" si="5"/>
        <v>--</v>
      </c>
      <c r="R25" s="266" t="str">
        <f t="shared" si="6"/>
        <v>--</v>
      </c>
      <c r="S25" s="267" t="str">
        <f t="shared" si="7"/>
        <v>--</v>
      </c>
      <c r="T25" s="268" t="str">
        <f t="shared" si="8"/>
        <v>--</v>
      </c>
      <c r="U25" s="282" t="str">
        <f t="shared" si="9"/>
        <v>--</v>
      </c>
      <c r="V25" s="283" t="str">
        <f t="shared" si="10"/>
        <v>--</v>
      </c>
      <c r="W25" s="284" t="str">
        <f t="shared" si="11"/>
        <v>--</v>
      </c>
      <c r="X25" s="292" t="str">
        <f t="shared" si="12"/>
        <v>--</v>
      </c>
      <c r="Y25" s="298" t="str">
        <f t="shared" si="13"/>
        <v>--</v>
      </c>
      <c r="Z25" s="234" t="s">
        <v>73</v>
      </c>
      <c r="AA25" s="44">
        <f t="shared" si="14"/>
        <v>1113.5731620000001</v>
      </c>
      <c r="AB25" s="397"/>
    </row>
    <row r="26" spans="1:28" s="8" customFormat="1" ht="16.5" thickBot="1" thickTop="1">
      <c r="A26" s="6"/>
      <c r="B26" s="33"/>
      <c r="C26" s="39">
        <v>4</v>
      </c>
      <c r="D26" s="39">
        <v>288086</v>
      </c>
      <c r="E26" s="39">
        <v>743</v>
      </c>
      <c r="F26" s="40" t="s">
        <v>76</v>
      </c>
      <c r="G26" s="40">
        <v>132</v>
      </c>
      <c r="H26" s="246">
        <v>60.900001525878906</v>
      </c>
      <c r="I26" s="244">
        <f t="shared" si="0"/>
        <v>195.38060289535522</v>
      </c>
      <c r="J26" s="41">
        <v>42126.51388888889</v>
      </c>
      <c r="K26" s="41">
        <v>42126.518055555556</v>
      </c>
      <c r="L26" s="10">
        <f t="shared" si="1"/>
        <v>0.09999999997671694</v>
      </c>
      <c r="M26" s="11">
        <f t="shared" si="2"/>
        <v>6</v>
      </c>
      <c r="N26" s="42" t="s">
        <v>77</v>
      </c>
      <c r="O26" s="43" t="str">
        <f t="shared" si="3"/>
        <v>--</v>
      </c>
      <c r="P26" s="251" t="str">
        <f t="shared" si="4"/>
        <v>--</v>
      </c>
      <c r="Q26" s="257" t="str">
        <f t="shared" si="5"/>
        <v>--</v>
      </c>
      <c r="R26" s="266">
        <f t="shared" si="6"/>
        <v>5861.418086860656</v>
      </c>
      <c r="S26" s="267" t="str">
        <f t="shared" si="7"/>
        <v>--</v>
      </c>
      <c r="T26" s="268" t="str">
        <f t="shared" si="8"/>
        <v>--</v>
      </c>
      <c r="U26" s="282" t="str">
        <f t="shared" si="9"/>
        <v>--</v>
      </c>
      <c r="V26" s="283" t="str">
        <f t="shared" si="10"/>
        <v>--</v>
      </c>
      <c r="W26" s="284" t="str">
        <f t="shared" si="11"/>
        <v>--</v>
      </c>
      <c r="X26" s="292" t="str">
        <f t="shared" si="12"/>
        <v>--</v>
      </c>
      <c r="Y26" s="298" t="str">
        <f t="shared" si="13"/>
        <v>--</v>
      </c>
      <c r="Z26" s="234" t="s">
        <v>73</v>
      </c>
      <c r="AA26" s="44">
        <f t="shared" si="14"/>
        <v>5861.418086860656</v>
      </c>
      <c r="AB26" s="397"/>
    </row>
    <row r="27" spans="1:28" s="8" customFormat="1" ht="16.5" thickBot="1" thickTop="1">
      <c r="A27" s="6"/>
      <c r="B27" s="33"/>
      <c r="C27" s="39">
        <v>5</v>
      </c>
      <c r="D27" s="39">
        <v>288254</v>
      </c>
      <c r="E27" s="39">
        <v>4317</v>
      </c>
      <c r="F27" s="40" t="s">
        <v>79</v>
      </c>
      <c r="G27" s="40">
        <v>132</v>
      </c>
      <c r="H27" s="246">
        <v>91.80000305175781</v>
      </c>
      <c r="I27" s="244">
        <f t="shared" si="0"/>
        <v>294.51460579071045</v>
      </c>
      <c r="J27" s="41">
        <v>42132.29513888889</v>
      </c>
      <c r="K27" s="41">
        <v>42132.52361111111</v>
      </c>
      <c r="L27" s="10">
        <f t="shared" si="1"/>
        <v>5.4833333332207985</v>
      </c>
      <c r="M27" s="11">
        <f t="shared" si="2"/>
        <v>329</v>
      </c>
      <c r="N27" s="42" t="s">
        <v>72</v>
      </c>
      <c r="O27" s="43" t="str">
        <f t="shared" si="3"/>
        <v>--</v>
      </c>
      <c r="P27" s="251">
        <f t="shared" si="4"/>
        <v>484.18201191992796</v>
      </c>
      <c r="Q27" s="257" t="str">
        <f t="shared" si="5"/>
        <v>--</v>
      </c>
      <c r="R27" s="266" t="str">
        <f t="shared" si="6"/>
        <v>--</v>
      </c>
      <c r="S27" s="267" t="str">
        <f t="shared" si="7"/>
        <v>--</v>
      </c>
      <c r="T27" s="268" t="str">
        <f t="shared" si="8"/>
        <v>--</v>
      </c>
      <c r="U27" s="282" t="str">
        <f t="shared" si="9"/>
        <v>--</v>
      </c>
      <c r="V27" s="283" t="str">
        <f t="shared" si="10"/>
        <v>--</v>
      </c>
      <c r="W27" s="284" t="str">
        <f t="shared" si="11"/>
        <v>--</v>
      </c>
      <c r="X27" s="292" t="str">
        <f t="shared" si="12"/>
        <v>--</v>
      </c>
      <c r="Y27" s="298" t="str">
        <f t="shared" si="13"/>
        <v>--</v>
      </c>
      <c r="Z27" s="234" t="s">
        <v>73</v>
      </c>
      <c r="AA27" s="44">
        <f t="shared" si="14"/>
        <v>484.18201191992796</v>
      </c>
      <c r="AB27" s="397"/>
    </row>
    <row r="28" spans="1:28" s="8" customFormat="1" ht="16.5" thickBot="1" thickTop="1">
      <c r="A28" s="6"/>
      <c r="B28" s="33"/>
      <c r="C28" s="39">
        <v>6</v>
      </c>
      <c r="D28" s="39">
        <v>288255</v>
      </c>
      <c r="E28" s="39">
        <v>740</v>
      </c>
      <c r="F28" s="40" t="s">
        <v>80</v>
      </c>
      <c r="G28" s="40">
        <v>132</v>
      </c>
      <c r="H28" s="246">
        <v>77.69999694824219</v>
      </c>
      <c r="I28" s="244">
        <f t="shared" si="0"/>
        <v>249.27868420928957</v>
      </c>
      <c r="J28" s="41">
        <v>42132.33611111111</v>
      </c>
      <c r="K28" s="41">
        <v>42132.47638888889</v>
      </c>
      <c r="L28" s="10">
        <f t="shared" si="1"/>
        <v>3.366666666814126</v>
      </c>
      <c r="M28" s="11">
        <f t="shared" si="2"/>
        <v>202</v>
      </c>
      <c r="N28" s="42" t="s">
        <v>72</v>
      </c>
      <c r="O28" s="43" t="str">
        <f t="shared" si="3"/>
        <v>--</v>
      </c>
      <c r="P28" s="251">
        <f t="shared" si="4"/>
        <v>252.02074973559175</v>
      </c>
      <c r="Q28" s="257" t="str">
        <f t="shared" si="5"/>
        <v>--</v>
      </c>
      <c r="R28" s="266" t="str">
        <f t="shared" si="6"/>
        <v>--</v>
      </c>
      <c r="S28" s="267" t="str">
        <f t="shared" si="7"/>
        <v>--</v>
      </c>
      <c r="T28" s="268" t="str">
        <f t="shared" si="8"/>
        <v>--</v>
      </c>
      <c r="U28" s="282" t="str">
        <f t="shared" si="9"/>
        <v>--</v>
      </c>
      <c r="V28" s="283" t="str">
        <f t="shared" si="10"/>
        <v>--</v>
      </c>
      <c r="W28" s="284" t="str">
        <f t="shared" si="11"/>
        <v>--</v>
      </c>
      <c r="X28" s="292" t="str">
        <f t="shared" si="12"/>
        <v>--</v>
      </c>
      <c r="Y28" s="298" t="str">
        <f t="shared" si="13"/>
        <v>--</v>
      </c>
      <c r="Z28" s="234" t="s">
        <v>73</v>
      </c>
      <c r="AA28" s="44">
        <f t="shared" si="14"/>
        <v>252.02074973559175</v>
      </c>
      <c r="AB28" s="397"/>
    </row>
    <row r="29" spans="1:28" s="8" customFormat="1" ht="16.5" thickBot="1" thickTop="1">
      <c r="A29" s="6"/>
      <c r="B29" s="33"/>
      <c r="C29" s="39">
        <v>7</v>
      </c>
      <c r="D29" s="39">
        <v>288275</v>
      </c>
      <c r="E29" s="39">
        <v>5044</v>
      </c>
      <c r="F29" s="40" t="s">
        <v>81</v>
      </c>
      <c r="G29" s="40">
        <v>132</v>
      </c>
      <c r="H29" s="246">
        <v>111.5999984741211</v>
      </c>
      <c r="I29" s="244">
        <f t="shared" si="0"/>
        <v>358.0373471046448</v>
      </c>
      <c r="J29" s="41">
        <v>42133.81319444445</v>
      </c>
      <c r="K29" s="41">
        <v>42133.81805555556</v>
      </c>
      <c r="L29" s="10">
        <f t="shared" si="1"/>
        <v>0.11666666669771075</v>
      </c>
      <c r="M29" s="11">
        <f t="shared" si="2"/>
        <v>7</v>
      </c>
      <c r="N29" s="42" t="s">
        <v>77</v>
      </c>
      <c r="O29" s="43" t="str">
        <f t="shared" si="3"/>
        <v>--</v>
      </c>
      <c r="P29" s="251" t="str">
        <f t="shared" si="4"/>
        <v>--</v>
      </c>
      <c r="Q29" s="257" t="str">
        <f t="shared" si="5"/>
        <v>--</v>
      </c>
      <c r="R29" s="266">
        <f t="shared" si="6"/>
        <v>10741.120413139344</v>
      </c>
      <c r="S29" s="267" t="str">
        <f t="shared" si="7"/>
        <v>--</v>
      </c>
      <c r="T29" s="268" t="str">
        <f t="shared" si="8"/>
        <v>--</v>
      </c>
      <c r="U29" s="282" t="str">
        <f t="shared" si="9"/>
        <v>--</v>
      </c>
      <c r="V29" s="283" t="str">
        <f t="shared" si="10"/>
        <v>--</v>
      </c>
      <c r="W29" s="284" t="str">
        <f t="shared" si="11"/>
        <v>--</v>
      </c>
      <c r="X29" s="292" t="str">
        <f t="shared" si="12"/>
        <v>--</v>
      </c>
      <c r="Y29" s="298" t="str">
        <f t="shared" si="13"/>
        <v>--</v>
      </c>
      <c r="Z29" s="234" t="s">
        <v>73</v>
      </c>
      <c r="AA29" s="44">
        <f t="shared" si="14"/>
        <v>10741.120413139344</v>
      </c>
      <c r="AB29" s="397"/>
    </row>
    <row r="30" spans="1:28" s="8" customFormat="1" ht="16.5" thickBot="1" thickTop="1">
      <c r="A30" s="6"/>
      <c r="B30" s="33"/>
      <c r="C30" s="39"/>
      <c r="D30" s="39"/>
      <c r="E30" s="39"/>
      <c r="F30" s="40"/>
      <c r="G30" s="40"/>
      <c r="H30" s="246"/>
      <c r="I30" s="244"/>
      <c r="J30" s="41"/>
      <c r="K30" s="41"/>
      <c r="L30" s="10"/>
      <c r="M30" s="11"/>
      <c r="N30" s="42"/>
      <c r="O30" s="43"/>
      <c r="P30" s="251"/>
      <c r="Q30" s="257"/>
      <c r="R30" s="266"/>
      <c r="S30" s="267"/>
      <c r="T30" s="268"/>
      <c r="U30" s="282"/>
      <c r="V30" s="283"/>
      <c r="W30" s="284"/>
      <c r="X30" s="292"/>
      <c r="Y30" s="298"/>
      <c r="Z30" s="234"/>
      <c r="AA30" s="44"/>
      <c r="AB30" s="397"/>
    </row>
    <row r="31" spans="1:28" s="8" customFormat="1" ht="16.5" thickBot="1" thickTop="1">
      <c r="A31" s="6"/>
      <c r="B31" s="33"/>
      <c r="C31" s="39">
        <v>9</v>
      </c>
      <c r="D31" s="39">
        <v>288300</v>
      </c>
      <c r="E31" s="39">
        <v>743</v>
      </c>
      <c r="F31" s="40" t="s">
        <v>76</v>
      </c>
      <c r="G31" s="40">
        <v>132</v>
      </c>
      <c r="H31" s="246">
        <v>60.900001525878906</v>
      </c>
      <c r="I31" s="244">
        <f t="shared" si="0"/>
        <v>195.38060289535522</v>
      </c>
      <c r="J31" s="41">
        <v>42133.90416666667</v>
      </c>
      <c r="K31" s="41">
        <v>42133.916666666664</v>
      </c>
      <c r="L31" s="10">
        <f t="shared" si="1"/>
        <v>0.2999999999301508</v>
      </c>
      <c r="M31" s="11">
        <f t="shared" si="2"/>
        <v>18</v>
      </c>
      <c r="N31" s="42" t="s">
        <v>77</v>
      </c>
      <c r="O31" s="43" t="str">
        <f t="shared" si="3"/>
        <v>--</v>
      </c>
      <c r="P31" s="251" t="str">
        <f t="shared" si="4"/>
        <v>--</v>
      </c>
      <c r="Q31" s="257" t="str">
        <f t="shared" si="5"/>
        <v>--</v>
      </c>
      <c r="R31" s="266">
        <f t="shared" si="6"/>
        <v>5861.418086860656</v>
      </c>
      <c r="S31" s="267">
        <f t="shared" si="7"/>
        <v>1758.4254260581968</v>
      </c>
      <c r="T31" s="268" t="str">
        <f t="shared" si="8"/>
        <v>--</v>
      </c>
      <c r="U31" s="282" t="str">
        <f t="shared" si="9"/>
        <v>--</v>
      </c>
      <c r="V31" s="283" t="str">
        <f t="shared" si="10"/>
        <v>--</v>
      </c>
      <c r="W31" s="284" t="str">
        <f t="shared" si="11"/>
        <v>--</v>
      </c>
      <c r="X31" s="292" t="str">
        <f t="shared" si="12"/>
        <v>--</v>
      </c>
      <c r="Y31" s="298" t="str">
        <f t="shared" si="13"/>
        <v>--</v>
      </c>
      <c r="Z31" s="234" t="s">
        <v>73</v>
      </c>
      <c r="AA31" s="44">
        <f t="shared" si="14"/>
        <v>7619.843512918853</v>
      </c>
      <c r="AB31" s="9"/>
    </row>
    <row r="32" spans="1:28" s="8" customFormat="1" ht="16.5" thickBot="1" thickTop="1">
      <c r="A32" s="6"/>
      <c r="B32" s="114"/>
      <c r="C32" s="39">
        <v>10</v>
      </c>
      <c r="D32" s="39">
        <v>288493</v>
      </c>
      <c r="E32" s="39">
        <v>4317</v>
      </c>
      <c r="F32" s="40" t="s">
        <v>79</v>
      </c>
      <c r="G32" s="40">
        <v>132</v>
      </c>
      <c r="H32" s="246">
        <v>91.80000305175781</v>
      </c>
      <c r="I32" s="244">
        <f t="shared" si="0"/>
        <v>294.51460579071045</v>
      </c>
      <c r="J32" s="41">
        <v>42136.29513888889</v>
      </c>
      <c r="K32" s="41">
        <v>42136.563888888886</v>
      </c>
      <c r="L32" s="10">
        <f t="shared" si="1"/>
        <v>6.449999999895226</v>
      </c>
      <c r="M32" s="11">
        <f t="shared" si="2"/>
        <v>387</v>
      </c>
      <c r="N32" s="42" t="s">
        <v>72</v>
      </c>
      <c r="O32" s="43" t="str">
        <f t="shared" si="3"/>
        <v>--</v>
      </c>
      <c r="P32" s="251">
        <f t="shared" si="4"/>
        <v>569.8857622050248</v>
      </c>
      <c r="Q32" s="257" t="str">
        <f t="shared" si="5"/>
        <v>--</v>
      </c>
      <c r="R32" s="266" t="str">
        <f t="shared" si="6"/>
        <v>--</v>
      </c>
      <c r="S32" s="267" t="str">
        <f t="shared" si="7"/>
        <v>--</v>
      </c>
      <c r="T32" s="268" t="str">
        <f t="shared" si="8"/>
        <v>--</v>
      </c>
      <c r="U32" s="282" t="str">
        <f t="shared" si="9"/>
        <v>--</v>
      </c>
      <c r="V32" s="283" t="str">
        <f t="shared" si="10"/>
        <v>--</v>
      </c>
      <c r="W32" s="284" t="str">
        <f t="shared" si="11"/>
        <v>--</v>
      </c>
      <c r="X32" s="292" t="str">
        <f t="shared" si="12"/>
        <v>--</v>
      </c>
      <c r="Y32" s="298" t="str">
        <f t="shared" si="13"/>
        <v>--</v>
      </c>
      <c r="Z32" s="234" t="s">
        <v>73</v>
      </c>
      <c r="AA32" s="44">
        <f t="shared" si="14"/>
        <v>569.8857622050248</v>
      </c>
      <c r="AB32" s="9"/>
    </row>
    <row r="33" spans="1:28" s="8" customFormat="1" ht="16.5" thickBot="1" thickTop="1">
      <c r="A33" s="6"/>
      <c r="B33" s="33"/>
      <c r="C33" s="39">
        <v>11</v>
      </c>
      <c r="D33" s="39">
        <v>288661</v>
      </c>
      <c r="E33" s="39">
        <v>5045</v>
      </c>
      <c r="F33" s="40" t="s">
        <v>111</v>
      </c>
      <c r="G33" s="40">
        <v>132</v>
      </c>
      <c r="H33" s="246">
        <v>10</v>
      </c>
      <c r="I33" s="244">
        <f t="shared" si="0"/>
        <v>80.2055</v>
      </c>
      <c r="J33" s="41">
        <v>42143.82152777778</v>
      </c>
      <c r="K33" s="41">
        <v>42143.84861111111</v>
      </c>
      <c r="L33" s="10">
        <f t="shared" si="1"/>
        <v>0.6500000000232831</v>
      </c>
      <c r="M33" s="11">
        <f t="shared" si="2"/>
        <v>39</v>
      </c>
      <c r="N33" s="42" t="s">
        <v>77</v>
      </c>
      <c r="O33" s="43" t="str">
        <f t="shared" si="3"/>
        <v>--</v>
      </c>
      <c r="P33" s="251" t="str">
        <f t="shared" si="4"/>
        <v>--</v>
      </c>
      <c r="Q33" s="257" t="str">
        <f t="shared" si="5"/>
        <v>--</v>
      </c>
      <c r="R33" s="266">
        <f t="shared" si="6"/>
        <v>2406.165</v>
      </c>
      <c r="S33" s="267">
        <f t="shared" si="7"/>
        <v>1564.00725</v>
      </c>
      <c r="T33" s="268" t="str">
        <f t="shared" si="8"/>
        <v>--</v>
      </c>
      <c r="U33" s="282" t="str">
        <f t="shared" si="9"/>
        <v>--</v>
      </c>
      <c r="V33" s="283" t="str">
        <f t="shared" si="10"/>
        <v>--</v>
      </c>
      <c r="W33" s="284" t="str">
        <f t="shared" si="11"/>
        <v>--</v>
      </c>
      <c r="X33" s="292" t="str">
        <f t="shared" si="12"/>
        <v>--</v>
      </c>
      <c r="Y33" s="298" t="str">
        <f t="shared" si="13"/>
        <v>--</v>
      </c>
      <c r="Z33" s="234" t="s">
        <v>73</v>
      </c>
      <c r="AA33" s="44">
        <f t="shared" si="14"/>
        <v>3970.17225</v>
      </c>
      <c r="AB33" s="9"/>
    </row>
    <row r="34" spans="1:28" s="8" customFormat="1" ht="16.5" thickBot="1" thickTop="1">
      <c r="A34" s="6"/>
      <c r="B34" s="33"/>
      <c r="C34" s="39">
        <v>12</v>
      </c>
      <c r="D34" s="39">
        <v>288662</v>
      </c>
      <c r="E34" s="39">
        <v>5046</v>
      </c>
      <c r="F34" s="40" t="s">
        <v>82</v>
      </c>
      <c r="G34" s="40">
        <v>132</v>
      </c>
      <c r="H34" s="246">
        <v>13.699999809265137</v>
      </c>
      <c r="I34" s="244">
        <f t="shared" si="0"/>
        <v>80.2055</v>
      </c>
      <c r="J34" s="41">
        <v>42143.82152777778</v>
      </c>
      <c r="K34" s="41">
        <v>42143.84861111111</v>
      </c>
      <c r="L34" s="10">
        <f t="shared" si="1"/>
        <v>0.6500000000232831</v>
      </c>
      <c r="M34" s="11">
        <f t="shared" si="2"/>
        <v>39</v>
      </c>
      <c r="N34" s="42" t="s">
        <v>77</v>
      </c>
      <c r="O34" s="43" t="str">
        <f t="shared" si="3"/>
        <v>--</v>
      </c>
      <c r="P34" s="251" t="str">
        <f t="shared" si="4"/>
        <v>--</v>
      </c>
      <c r="Q34" s="257" t="str">
        <f t="shared" si="5"/>
        <v>--</v>
      </c>
      <c r="R34" s="266">
        <f t="shared" si="6"/>
        <v>2406.165</v>
      </c>
      <c r="S34" s="267">
        <f t="shared" si="7"/>
        <v>1564.00725</v>
      </c>
      <c r="T34" s="268" t="str">
        <f t="shared" si="8"/>
        <v>--</v>
      </c>
      <c r="U34" s="282" t="str">
        <f t="shared" si="9"/>
        <v>--</v>
      </c>
      <c r="V34" s="283" t="str">
        <f t="shared" si="10"/>
        <v>--</v>
      </c>
      <c r="W34" s="284" t="str">
        <f t="shared" si="11"/>
        <v>--</v>
      </c>
      <c r="X34" s="292" t="str">
        <f t="shared" si="12"/>
        <v>--</v>
      </c>
      <c r="Y34" s="298" t="str">
        <f t="shared" si="13"/>
        <v>--</v>
      </c>
      <c r="Z34" s="234" t="s">
        <v>73</v>
      </c>
      <c r="AA34" s="44">
        <f t="shared" si="14"/>
        <v>3970.17225</v>
      </c>
      <c r="AB34" s="9"/>
    </row>
    <row r="35" spans="2:28" s="8" customFormat="1" ht="16.5" thickBot="1" thickTop="1">
      <c r="B35" s="115"/>
      <c r="C35" s="39">
        <v>13</v>
      </c>
      <c r="D35" s="39">
        <v>288710</v>
      </c>
      <c r="E35" s="39">
        <v>746</v>
      </c>
      <c r="F35" s="40" t="s">
        <v>78</v>
      </c>
      <c r="G35" s="40">
        <v>132</v>
      </c>
      <c r="H35" s="246">
        <v>74.5</v>
      </c>
      <c r="I35" s="244">
        <f>IF(H35&gt;25,H35,25)*IF(G35=220,$G$16,IF(G35=132,$G$17,$G$18))/100</f>
        <v>239.01239</v>
      </c>
      <c r="J35" s="41">
        <v>42147.82013888889</v>
      </c>
      <c r="K35" s="41">
        <v>42147.825694444444</v>
      </c>
      <c r="L35" s="10">
        <f>IF(F35="","",(K35-J35)*24)</f>
        <v>0.1333333332440816</v>
      </c>
      <c r="M35" s="11">
        <f>IF(F35="","",ROUND((K35-J35)*24*60,0))</f>
        <v>8</v>
      </c>
      <c r="N35" s="42" t="s">
        <v>77</v>
      </c>
      <c r="O35" s="43" t="str">
        <f>IF(F35="","","--")</f>
        <v>--</v>
      </c>
      <c r="P35" s="251" t="str">
        <f>IF(N35="P",ROUND(M35/60,2)*I35*$L$17*0.01,"--")</f>
        <v>--</v>
      </c>
      <c r="Q35" s="257" t="str">
        <f>IF(N35="RP",ROUND(M35/60,2)*I35*$L$17*0.01*O35/100,"--")</f>
        <v>--</v>
      </c>
      <c r="R35" s="266">
        <f>IF(N35="F",I35*$L$17,"--")</f>
        <v>7170.371700000001</v>
      </c>
      <c r="S35" s="267" t="str">
        <f>IF(AND(M35&gt;10,N35="F"),I35*$L$17*IF(M35&gt;180,3,ROUND(M35/60,2)),"--")</f>
        <v>--</v>
      </c>
      <c r="T35" s="268" t="str">
        <f>IF(AND(N35="F",M35&gt;180),(ROUND(M35/60,2)-3)*I35*$L$17*0.1,"--")</f>
        <v>--</v>
      </c>
      <c r="U35" s="282" t="str">
        <f>IF(N35="R",I35*$L$17*O35/100,"--")</f>
        <v>--</v>
      </c>
      <c r="V35" s="283" t="str">
        <f>IF(AND(M35&gt;10,N35="R"),I35*$L$17*O35/100*IF(M35&gt;180,3,ROUND(M35/60,2)),"--")</f>
        <v>--</v>
      </c>
      <c r="W35" s="284" t="str">
        <f>IF(AND(N35="R",M35&gt;180),(ROUND(M35/60,2)-3)*I35*$L$17*0.1*O35/100,"--")</f>
        <v>--</v>
      </c>
      <c r="X35" s="292" t="str">
        <f>IF(N35="RF",ROUND(M35/60,2)*I35*$L$17*0.1,"--")</f>
        <v>--</v>
      </c>
      <c r="Y35" s="298" t="str">
        <f>IF(N35="RR",ROUND(M35/60,2)*I35*$L$17*0.1*O35/100,"--")</f>
        <v>--</v>
      </c>
      <c r="Z35" s="234" t="s">
        <v>73</v>
      </c>
      <c r="AA35" s="44">
        <f t="shared" si="14"/>
        <v>7170.371700000001</v>
      </c>
      <c r="AB35" s="9"/>
    </row>
    <row r="36" spans="2:28" s="8" customFormat="1" ht="16.5" thickBot="1" thickTop="1">
      <c r="B36" s="115"/>
      <c r="C36" s="39">
        <v>14</v>
      </c>
      <c r="D36" s="39">
        <v>288726</v>
      </c>
      <c r="E36" s="39">
        <v>746</v>
      </c>
      <c r="F36" s="40" t="s">
        <v>78</v>
      </c>
      <c r="G36" s="40">
        <v>132</v>
      </c>
      <c r="H36" s="246">
        <v>74.5</v>
      </c>
      <c r="I36" s="244">
        <f>IF(H36&gt;25,H36,25)*IF(G36=220,$G$16,IF(G36=132,$G$17,$G$18))/100</f>
        <v>239.01239</v>
      </c>
      <c r="J36" s="41">
        <v>42147.981944444444</v>
      </c>
      <c r="K36" s="41">
        <v>42147.98819444444</v>
      </c>
      <c r="L36" s="10">
        <f>IF(F36="","",(K36-J36)*24)</f>
        <v>0.1499999999650754</v>
      </c>
      <c r="M36" s="11">
        <f>IF(F36="","",ROUND((K36-J36)*24*60,0))</f>
        <v>9</v>
      </c>
      <c r="N36" s="42" t="s">
        <v>77</v>
      </c>
      <c r="O36" s="43" t="str">
        <f>IF(F36="","","--")</f>
        <v>--</v>
      </c>
      <c r="P36" s="251" t="str">
        <f>IF(N36="P",ROUND(M36/60,2)*I36*$L$17*0.01,"--")</f>
        <v>--</v>
      </c>
      <c r="Q36" s="257" t="str">
        <f>IF(N36="RP",ROUND(M36/60,2)*I36*$L$17*0.01*O36/100,"--")</f>
        <v>--</v>
      </c>
      <c r="R36" s="266">
        <f>IF(N36="F",I36*$L$17,"--")</f>
        <v>7170.371700000001</v>
      </c>
      <c r="S36" s="267" t="str">
        <f>IF(AND(M36&gt;10,N36="F"),I36*$L$17*IF(M36&gt;180,3,ROUND(M36/60,2)),"--")</f>
        <v>--</v>
      </c>
      <c r="T36" s="268" t="str">
        <f>IF(AND(N36="F",M36&gt;180),(ROUND(M36/60,2)-3)*I36*$L$17*0.1,"--")</f>
        <v>--</v>
      </c>
      <c r="U36" s="282" t="str">
        <f>IF(N36="R",I36*$L$17*O36/100,"--")</f>
        <v>--</v>
      </c>
      <c r="V36" s="283" t="str">
        <f>IF(AND(M36&gt;10,N36="R"),I36*$L$17*O36/100*IF(M36&gt;180,3,ROUND(M36/60,2)),"--")</f>
        <v>--</v>
      </c>
      <c r="W36" s="284" t="str">
        <f>IF(AND(N36="R",M36&gt;180),(ROUND(M36/60,2)-3)*I36*$L$17*0.1*O36/100,"--")</f>
        <v>--</v>
      </c>
      <c r="X36" s="292" t="str">
        <f>IF(N36="RF",ROUND(M36/60,2)*I36*$L$17*0.1,"--")</f>
        <v>--</v>
      </c>
      <c r="Y36" s="298" t="str">
        <f>IF(N36="RR",ROUND(M36/60,2)*I36*$L$17*0.1*O36/100,"--")</f>
        <v>--</v>
      </c>
      <c r="Z36" s="234" t="s">
        <v>73</v>
      </c>
      <c r="AA36" s="44">
        <f t="shared" si="14"/>
        <v>7170.371700000001</v>
      </c>
      <c r="AB36" s="9"/>
    </row>
    <row r="37" spans="2:28" s="8" customFormat="1" ht="16.5" thickBot="1" thickTop="1">
      <c r="B37" s="115"/>
      <c r="C37" s="39">
        <v>15</v>
      </c>
      <c r="D37" s="39">
        <v>288750</v>
      </c>
      <c r="E37" s="39">
        <v>5426</v>
      </c>
      <c r="F37" s="40" t="s">
        <v>112</v>
      </c>
      <c r="G37" s="40">
        <v>132</v>
      </c>
      <c r="H37" s="246">
        <v>59</v>
      </c>
      <c r="I37" s="244">
        <f>IF(H37&gt;25,H37,25)*IF(G37=220,$G$16,IF(G37=132,$G$17,$G$18))/100</f>
        <v>189.28498</v>
      </c>
      <c r="J37" s="41">
        <v>42148.222916666666</v>
      </c>
      <c r="K37" s="41">
        <v>42148.22986111111</v>
      </c>
      <c r="L37" s="10">
        <f>IF(F37="","",(K37-J37)*24)</f>
        <v>0.16666666668606922</v>
      </c>
      <c r="M37" s="11">
        <f>IF(F37="","",ROUND((K37-J37)*24*60,0))</f>
        <v>10</v>
      </c>
      <c r="N37" s="42" t="s">
        <v>77</v>
      </c>
      <c r="O37" s="43" t="str">
        <f>IF(F37="","","--")</f>
        <v>--</v>
      </c>
      <c r="P37" s="251" t="str">
        <f>IF(N37="P",ROUND(M37/60,2)*I37*$L$17*0.01,"--")</f>
        <v>--</v>
      </c>
      <c r="Q37" s="257" t="str">
        <f>IF(N37="RP",ROUND(M37/60,2)*I37*$L$17*0.01*O37/100,"--")</f>
        <v>--</v>
      </c>
      <c r="R37" s="266">
        <f>IF(N37="F",I37*$L$17,"--")</f>
        <v>5678.5494</v>
      </c>
      <c r="S37" s="267" t="str">
        <f>IF(AND(M37&gt;10,N37="F"),I37*$L$17*IF(M37&gt;180,3,ROUND(M37/60,2)),"--")</f>
        <v>--</v>
      </c>
      <c r="T37" s="268" t="str">
        <f>IF(AND(N37="F",M37&gt;180),(ROUND(M37/60,2)-3)*I37*$L$17*0.1,"--")</f>
        <v>--</v>
      </c>
      <c r="U37" s="282" t="str">
        <f>IF(N37="R",I37*$L$17*O37/100,"--")</f>
        <v>--</v>
      </c>
      <c r="V37" s="283" t="str">
        <f>IF(AND(M37&gt;10,N37="R"),I37*$L$17*O37/100*IF(M37&gt;180,3,ROUND(M37/60,2)),"--")</f>
        <v>--</v>
      </c>
      <c r="W37" s="284" t="str">
        <f>IF(AND(N37="R",M37&gt;180),(ROUND(M37/60,2)-3)*I37*$L$17*0.1*O37/100,"--")</f>
        <v>--</v>
      </c>
      <c r="X37" s="292" t="str">
        <f>IF(N37="RF",ROUND(M37/60,2)*I37*$L$17*0.1,"--")</f>
        <v>--</v>
      </c>
      <c r="Y37" s="298" t="str">
        <f>IF(N37="RR",ROUND(M37/60,2)*I37*$L$17*0.1*O37/100,"--")</f>
        <v>--</v>
      </c>
      <c r="Z37" s="234" t="s">
        <v>73</v>
      </c>
      <c r="AA37" s="44">
        <f>IF(F37="","",SUM(P37:Y37)*IF(Z37="SI",1,2))</f>
        <v>5678.5494</v>
      </c>
      <c r="AB37" s="9"/>
    </row>
    <row r="38" spans="2:28" s="8" customFormat="1" ht="16.5" thickBot="1" thickTop="1">
      <c r="B38" s="115"/>
      <c r="C38" s="39"/>
      <c r="D38" s="39"/>
      <c r="E38" s="39"/>
      <c r="F38" s="40"/>
      <c r="G38" s="40"/>
      <c r="H38" s="246"/>
      <c r="I38" s="244">
        <f>IF(H38&gt;25,H38,25)*IF(G38=220,$G$16,IF(G38=132,$G$17,$G$18))/100</f>
        <v>80.2055</v>
      </c>
      <c r="J38" s="41"/>
      <c r="K38" s="41"/>
      <c r="L38" s="10">
        <f>IF(F38="","",(K38-J38)*24)</f>
      </c>
      <c r="M38" s="11">
        <f>IF(F38="","",ROUND((K38-J38)*24*60,0))</f>
      </c>
      <c r="N38" s="42"/>
      <c r="O38" s="43">
        <f>IF(F38="","","--")</f>
      </c>
      <c r="P38" s="251" t="str">
        <f>IF(N38="P",ROUND(M38/60,2)*I38*$L$17*0.01,"--")</f>
        <v>--</v>
      </c>
      <c r="Q38" s="257" t="str">
        <f>IF(N38="RP",ROUND(M38/60,2)*I38*$L$17*0.01*O38/100,"--")</f>
        <v>--</v>
      </c>
      <c r="R38" s="266" t="str">
        <f>IF(N38="F",I38*$L$17,"--")</f>
        <v>--</v>
      </c>
      <c r="S38" s="267" t="str">
        <f>IF(AND(M38&gt;10,N38="F"),I38*$L$17*IF(M38&gt;180,3,ROUND(M38/60,2)),"--")</f>
        <v>--</v>
      </c>
      <c r="T38" s="268" t="str">
        <f>IF(AND(N38="F",M38&gt;180),(ROUND(M38/60,2)-3)*I38*$L$17*0.1,"--")</f>
        <v>--</v>
      </c>
      <c r="U38" s="282" t="str">
        <f>IF(N38="R",I38*$L$17*O38/100,"--")</f>
        <v>--</v>
      </c>
      <c r="V38" s="283" t="str">
        <f>IF(AND(M38&gt;10,N38="R"),I38*$L$17*O38/100*IF(M38&gt;180,3,ROUND(M38/60,2)),"--")</f>
        <v>--</v>
      </c>
      <c r="W38" s="284" t="str">
        <f>IF(AND(N38="R",M38&gt;180),(ROUND(M38/60,2)-3)*I38*$L$17*0.1*O38/100,"--")</f>
        <v>--</v>
      </c>
      <c r="X38" s="292" t="str">
        <f>IF(N38="RF",ROUND(M38/60,2)*I38*$L$17*0.1,"--")</f>
        <v>--</v>
      </c>
      <c r="Y38" s="298" t="str">
        <f>IF(N38="RR",ROUND(M38/60,2)*I38*$L$17*0.1*O38/100,"--")</f>
        <v>--</v>
      </c>
      <c r="Z38" s="234">
        <f>IF(F38="","","SI")</f>
      </c>
      <c r="AA38" s="44">
        <f t="shared" si="14"/>
      </c>
      <c r="AB38" s="9"/>
    </row>
    <row r="39" spans="1:28" s="8" customFormat="1" ht="16.5" thickBot="1" thickTop="1">
      <c r="A39" s="6"/>
      <c r="B39" s="33"/>
      <c r="C39" s="247"/>
      <c r="D39" s="247"/>
      <c r="E39" s="247"/>
      <c r="F39" s="409"/>
      <c r="G39" s="410"/>
      <c r="H39" s="411"/>
      <c r="I39" s="245"/>
      <c r="J39" s="411"/>
      <c r="K39" s="411"/>
      <c r="L39" s="12"/>
      <c r="M39" s="12"/>
      <c r="N39" s="411"/>
      <c r="O39" s="412"/>
      <c r="P39" s="252"/>
      <c r="Q39" s="259"/>
      <c r="R39" s="269"/>
      <c r="S39" s="270"/>
      <c r="T39" s="271"/>
      <c r="U39" s="285"/>
      <c r="V39" s="286"/>
      <c r="W39" s="287"/>
      <c r="X39" s="293"/>
      <c r="Y39" s="299"/>
      <c r="Z39" s="45"/>
      <c r="AA39" s="132"/>
      <c r="AB39" s="9"/>
    </row>
    <row r="40" spans="1:28" s="8" customFormat="1" ht="17.25" thickBot="1" thickTop="1">
      <c r="A40" s="6"/>
      <c r="B40" s="33"/>
      <c r="C40" s="209" t="s">
        <v>40</v>
      </c>
      <c r="D40" s="430" t="s">
        <v>119</v>
      </c>
      <c r="E40" s="211"/>
      <c r="F40" s="210"/>
      <c r="G40" s="13"/>
      <c r="H40" s="14"/>
      <c r="I40" s="46"/>
      <c r="J40" s="46"/>
      <c r="K40" s="46"/>
      <c r="L40" s="46"/>
      <c r="M40" s="46"/>
      <c r="N40" s="46"/>
      <c r="O40" s="47"/>
      <c r="P40" s="252">
        <f>SUM(P21:P39)</f>
        <v>50396.66685386055</v>
      </c>
      <c r="Q40" s="255">
        <f>SUM(Q21:Q39)</f>
        <v>0</v>
      </c>
      <c r="R40" s="272">
        <f aca="true" t="shared" si="15" ref="R40:Y40">SUM(R21:R39)</f>
        <v>47295.57938686067</v>
      </c>
      <c r="S40" s="272">
        <f t="shared" si="15"/>
        <v>4886.439926058198</v>
      </c>
      <c r="T40" s="272">
        <f t="shared" si="15"/>
        <v>0</v>
      </c>
      <c r="U40" s="288">
        <f t="shared" si="15"/>
        <v>0</v>
      </c>
      <c r="V40" s="288">
        <f t="shared" si="15"/>
        <v>0</v>
      </c>
      <c r="W40" s="288">
        <f t="shared" si="15"/>
        <v>0</v>
      </c>
      <c r="X40" s="294">
        <f t="shared" si="15"/>
        <v>0</v>
      </c>
      <c r="Y40" s="300">
        <f t="shared" si="15"/>
        <v>0</v>
      </c>
      <c r="Z40" s="48"/>
      <c r="AA40" s="238">
        <f>ROUND(SUM(AA21:AA39),2)</f>
        <v>102578.69</v>
      </c>
      <c r="AB40" s="116"/>
    </row>
    <row r="41" spans="1:28" s="224" customFormat="1" ht="9.75" thickTop="1">
      <c r="A41" s="213"/>
      <c r="B41" s="214"/>
      <c r="C41" s="211"/>
      <c r="D41" s="211"/>
      <c r="E41" s="211"/>
      <c r="F41" s="212"/>
      <c r="G41" s="215"/>
      <c r="H41" s="216"/>
      <c r="I41" s="217"/>
      <c r="J41" s="217"/>
      <c r="K41" s="217"/>
      <c r="L41" s="217"/>
      <c r="M41" s="217"/>
      <c r="N41" s="217"/>
      <c r="O41" s="218"/>
      <c r="P41" s="219"/>
      <c r="Q41" s="219"/>
      <c r="R41" s="220"/>
      <c r="S41" s="220"/>
      <c r="T41" s="221"/>
      <c r="U41" s="221"/>
      <c r="V41" s="221"/>
      <c r="W41" s="221"/>
      <c r="X41" s="221"/>
      <c r="Y41" s="221"/>
      <c r="Z41" s="221"/>
      <c r="AA41" s="222"/>
      <c r="AB41" s="223"/>
    </row>
    <row r="42" spans="1:28" s="8" customFormat="1" ht="13.5" thickBot="1">
      <c r="A42" s="6"/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8"/>
    </row>
    <row r="43" spans="1:28" ht="13.5" thickTop="1">
      <c r="A43" s="1"/>
      <c r="B43" s="1"/>
      <c r="AB43" s="1"/>
    </row>
    <row r="88" spans="1:2" ht="12.75">
      <c r="A88" s="1"/>
      <c r="B88" s="1"/>
    </row>
  </sheetData>
  <sheetProtection/>
  <mergeCells count="3">
    <mergeCell ref="G16:H16"/>
    <mergeCell ref="G17:H17"/>
    <mergeCell ref="G18:H18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1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zoomScale="75" zoomScaleNormal="75" zoomScalePageLayoutView="0" workbookViewId="0" topLeftCell="A1">
      <selection activeCell="F32" sqref="F32"/>
    </sheetView>
  </sheetViews>
  <sheetFormatPr defaultColWidth="11.421875" defaultRowHeight="12.75"/>
  <cols>
    <col min="1" max="3" width="4.140625" style="0" customWidth="1"/>
    <col min="4" max="5" width="13.7109375" style="0" customWidth="1"/>
    <col min="6" max="7" width="25.7109375" style="0" customWidth="1"/>
    <col min="8" max="8" width="8.7109375" style="0" customWidth="1"/>
    <col min="9" max="9" width="12.7109375" style="0" customWidth="1"/>
    <col min="10" max="10" width="14.28125" style="0" hidden="1" customWidth="1"/>
    <col min="11" max="11" width="16.57421875" style="0" customWidth="1"/>
    <col min="12" max="12" width="16.28125" style="0" customWidth="1"/>
    <col min="13" max="15" width="9.7109375" style="0" customWidth="1"/>
    <col min="16" max="18" width="7.7109375" style="0" customWidth="1"/>
    <col min="19" max="19" width="12.57421875" style="0" hidden="1" customWidth="1"/>
    <col min="20" max="21" width="14.421875" style="0" hidden="1" customWidth="1"/>
    <col min="22" max="22" width="16.8515625" style="0" hidden="1" customWidth="1"/>
    <col min="23" max="27" width="16.42187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6:30" s="61" customFormat="1" ht="30" customHeight="1"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405"/>
    </row>
    <row r="2" spans="2:30" s="61" customFormat="1" ht="26.25">
      <c r="B2" s="413" t="str">
        <f>+'TOT-0515'!B2</f>
        <v>ANEXO V al Memorándum  D.T.E.E.  N° 821/2015.-</v>
      </c>
      <c r="C2" s="62"/>
      <c r="D2" s="62"/>
      <c r="E2" s="62"/>
      <c r="F2" s="143"/>
      <c r="G2" s="74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</row>
    <row r="3" spans="6:30" s="8" customFormat="1" ht="13.5" customHeight="1"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0" s="59" customFormat="1" ht="12" customHeight="1">
      <c r="A4" s="427" t="s">
        <v>68</v>
      </c>
      <c r="B4" s="126"/>
      <c r="C4" s="427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</row>
    <row r="5" spans="1:30" s="59" customFormat="1" ht="11.25">
      <c r="A5" s="427" t="s">
        <v>69</v>
      </c>
      <c r="B5" s="126"/>
      <c r="C5" s="126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</row>
    <row r="6" spans="1:30" s="8" customFormat="1" ht="16.5" customHeight="1" thickBo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</row>
    <row r="7" spans="1:30" s="8" customFormat="1" ht="16.5" customHeight="1" thickTop="1">
      <c r="A7" s="141"/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6"/>
    </row>
    <row r="8" spans="1:30" s="63" customFormat="1" ht="21.75" customHeight="1">
      <c r="A8" s="160"/>
      <c r="B8" s="161"/>
      <c r="C8" s="149"/>
      <c r="D8" s="149"/>
      <c r="E8" s="149"/>
      <c r="F8" s="18" t="s">
        <v>16</v>
      </c>
      <c r="H8" s="149"/>
      <c r="I8" s="160"/>
      <c r="J8" s="160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62"/>
      <c r="AD8" s="163"/>
    </row>
    <row r="9" spans="1:30" s="8" customFormat="1" ht="16.5" customHeight="1">
      <c r="A9" s="141"/>
      <c r="B9" s="147"/>
      <c r="C9" s="24"/>
      <c r="D9" s="24"/>
      <c r="E9" s="24"/>
      <c r="F9" s="24"/>
      <c r="G9" s="24"/>
      <c r="H9" s="24"/>
      <c r="I9" s="141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56"/>
      <c r="AD9" s="148"/>
    </row>
    <row r="10" spans="1:30" s="63" customFormat="1" ht="24" customHeight="1">
      <c r="A10" s="160"/>
      <c r="B10" s="161"/>
      <c r="C10" s="149"/>
      <c r="D10" s="149"/>
      <c r="E10" s="149"/>
      <c r="F10" s="18" t="s">
        <v>41</v>
      </c>
      <c r="G10" s="149"/>
      <c r="H10" s="149"/>
      <c r="I10" s="160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62"/>
      <c r="AD10" s="163"/>
    </row>
    <row r="11" spans="1:30" s="8" customFormat="1" ht="16.5" customHeight="1">
      <c r="A11" s="141"/>
      <c r="B11" s="147"/>
      <c r="C11" s="24"/>
      <c r="D11" s="24"/>
      <c r="E11" s="24"/>
      <c r="F11" s="55"/>
      <c r="G11" s="24"/>
      <c r="H11" s="24"/>
      <c r="I11" s="141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56"/>
      <c r="AD11" s="148"/>
    </row>
    <row r="12" spans="1:30" s="63" customFormat="1" ht="24" customHeight="1">
      <c r="A12" s="160"/>
      <c r="B12" s="161"/>
      <c r="C12" s="149"/>
      <c r="D12" s="149"/>
      <c r="E12" s="149"/>
      <c r="F12" s="171" t="s">
        <v>42</v>
      </c>
      <c r="G12" s="18"/>
      <c r="H12" s="160"/>
      <c r="I12" s="160"/>
      <c r="J12" s="164"/>
      <c r="K12" s="149"/>
      <c r="L12" s="160"/>
      <c r="M12" s="160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62"/>
      <c r="AD12" s="163"/>
    </row>
    <row r="13" spans="1:30" s="8" customFormat="1" ht="16.5" customHeight="1">
      <c r="A13" s="141"/>
      <c r="B13" s="147"/>
      <c r="C13" s="24"/>
      <c r="D13" s="24"/>
      <c r="E13" s="24"/>
      <c r="F13" s="151"/>
      <c r="G13" s="151"/>
      <c r="H13" s="151"/>
      <c r="I13" s="152"/>
      <c r="J13" s="150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56"/>
      <c r="AD13" s="148"/>
    </row>
    <row r="14" spans="1:30" s="67" customFormat="1" ht="16.5" customHeight="1">
      <c r="A14" s="165"/>
      <c r="B14" s="167" t="str">
        <f>+'TOT-0515'!B14</f>
        <v>Desde el 01 al 31 de mayo de 2015</v>
      </c>
      <c r="C14" s="139"/>
      <c r="D14" s="139"/>
      <c r="E14" s="139"/>
      <c r="F14" s="139"/>
      <c r="G14" s="139"/>
      <c r="H14" s="139"/>
      <c r="I14" s="139"/>
      <c r="J14" s="139"/>
      <c r="K14" s="166"/>
      <c r="L14" s="16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69"/>
      <c r="AD14" s="170"/>
    </row>
    <row r="15" spans="1:30" s="8" customFormat="1" ht="16.5" customHeight="1" thickBot="1">
      <c r="A15" s="141"/>
      <c r="B15" s="147"/>
      <c r="C15" s="24"/>
      <c r="D15" s="24"/>
      <c r="E15" s="24"/>
      <c r="F15" s="24"/>
      <c r="G15" s="24"/>
      <c r="H15" s="24"/>
      <c r="I15" s="153"/>
      <c r="J15" s="24"/>
      <c r="K15" s="138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56"/>
      <c r="AD15" s="148"/>
    </row>
    <row r="16" spans="1:30" s="8" customFormat="1" ht="16.5" customHeight="1" thickBot="1" thickTop="1">
      <c r="A16" s="141"/>
      <c r="B16" s="147"/>
      <c r="C16" s="24"/>
      <c r="D16" s="24"/>
      <c r="E16" s="24"/>
      <c r="F16" s="172" t="s">
        <v>62</v>
      </c>
      <c r="G16" s="173"/>
      <c r="H16" s="174"/>
      <c r="I16" s="406">
        <v>1.147</v>
      </c>
      <c r="J16" s="141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56"/>
      <c r="AD16" s="148"/>
    </row>
    <row r="17" spans="1:30" s="8" customFormat="1" ht="16.5" customHeight="1" thickBot="1" thickTop="1">
      <c r="A17" s="141"/>
      <c r="B17" s="147"/>
      <c r="C17" s="24"/>
      <c r="D17" s="24"/>
      <c r="E17" s="24"/>
      <c r="F17" s="175" t="s">
        <v>43</v>
      </c>
      <c r="G17" s="176"/>
      <c r="H17" s="176"/>
      <c r="I17" s="177">
        <f>30*'TOT-0515'!B13</f>
        <v>30</v>
      </c>
      <c r="J17" s="24"/>
      <c r="K17" s="196" t="str">
        <f>IF(I17=30," ",IF(I17=60,"  Coeficiente duplicado por tasa de falla &gt;4 Sal. x año/100 km.","  REVISAR COEFICIENTE"))</f>
        <v> 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154"/>
      <c r="X17" s="154"/>
      <c r="Y17" s="154"/>
      <c r="Z17" s="154"/>
      <c r="AA17" s="154"/>
      <c r="AB17" s="154"/>
      <c r="AC17" s="56"/>
      <c r="AD17" s="148"/>
    </row>
    <row r="18" spans="1:30" s="8" customFormat="1" ht="16.5" customHeight="1" thickBot="1" thickTop="1">
      <c r="A18" s="141"/>
      <c r="B18" s="147"/>
      <c r="C18" s="428">
        <v>3</v>
      </c>
      <c r="D18" s="428">
        <v>4</v>
      </c>
      <c r="E18" s="428">
        <v>5</v>
      </c>
      <c r="F18" s="428">
        <v>6</v>
      </c>
      <c r="G18" s="428">
        <v>7</v>
      </c>
      <c r="H18" s="428">
        <v>8</v>
      </c>
      <c r="I18" s="428">
        <v>9</v>
      </c>
      <c r="J18" s="428">
        <v>10</v>
      </c>
      <c r="K18" s="428">
        <v>11</v>
      </c>
      <c r="L18" s="428">
        <v>12</v>
      </c>
      <c r="M18" s="428">
        <v>13</v>
      </c>
      <c r="N18" s="428">
        <v>14</v>
      </c>
      <c r="O18" s="428">
        <v>15</v>
      </c>
      <c r="P18" s="428">
        <v>16</v>
      </c>
      <c r="Q18" s="428">
        <v>17</v>
      </c>
      <c r="R18" s="428">
        <v>18</v>
      </c>
      <c r="S18" s="428">
        <v>19</v>
      </c>
      <c r="T18" s="428">
        <v>20</v>
      </c>
      <c r="U18" s="428">
        <v>21</v>
      </c>
      <c r="V18" s="428">
        <v>22</v>
      </c>
      <c r="W18" s="428">
        <v>23</v>
      </c>
      <c r="X18" s="428">
        <v>24</v>
      </c>
      <c r="Y18" s="428">
        <v>25</v>
      </c>
      <c r="Z18" s="428">
        <v>26</v>
      </c>
      <c r="AA18" s="428">
        <v>27</v>
      </c>
      <c r="AB18" s="428">
        <v>28</v>
      </c>
      <c r="AC18" s="428">
        <v>29</v>
      </c>
      <c r="AD18" s="148"/>
    </row>
    <row r="19" spans="1:30" s="323" customFormat="1" ht="33.75" customHeight="1" thickBot="1" thickTop="1">
      <c r="A19" s="320"/>
      <c r="B19" s="321"/>
      <c r="C19" s="133" t="s">
        <v>22</v>
      </c>
      <c r="D19" s="133" t="s">
        <v>66</v>
      </c>
      <c r="E19" s="133" t="s">
        <v>67</v>
      </c>
      <c r="F19" s="182" t="s">
        <v>44</v>
      </c>
      <c r="G19" s="178" t="s">
        <v>45</v>
      </c>
      <c r="H19" s="180" t="s">
        <v>46</v>
      </c>
      <c r="I19" s="181" t="s">
        <v>23</v>
      </c>
      <c r="J19" s="233" t="s">
        <v>25</v>
      </c>
      <c r="K19" s="178" t="s">
        <v>26</v>
      </c>
      <c r="L19" s="178" t="s">
        <v>27</v>
      </c>
      <c r="M19" s="182" t="s">
        <v>47</v>
      </c>
      <c r="N19" s="182" t="s">
        <v>48</v>
      </c>
      <c r="O19" s="136" t="s">
        <v>49</v>
      </c>
      <c r="P19" s="179" t="s">
        <v>50</v>
      </c>
      <c r="Q19" s="182" t="s">
        <v>31</v>
      </c>
      <c r="R19" s="178" t="s">
        <v>51</v>
      </c>
      <c r="S19" s="303" t="s">
        <v>52</v>
      </c>
      <c r="T19" s="308" t="s">
        <v>53</v>
      </c>
      <c r="U19" s="314" t="s">
        <v>33</v>
      </c>
      <c r="V19" s="324" t="s">
        <v>54</v>
      </c>
      <c r="W19" s="325"/>
      <c r="X19" s="333" t="s">
        <v>55</v>
      </c>
      <c r="Y19" s="353"/>
      <c r="Z19" s="343" t="s">
        <v>36</v>
      </c>
      <c r="AA19" s="344" t="s">
        <v>37</v>
      </c>
      <c r="AB19" s="231" t="s">
        <v>38</v>
      </c>
      <c r="AC19" s="183" t="s">
        <v>39</v>
      </c>
      <c r="AD19" s="322"/>
    </row>
    <row r="20" spans="1:30" s="8" customFormat="1" ht="16.5" customHeight="1" thickTop="1">
      <c r="A20" s="141"/>
      <c r="B20" s="147"/>
      <c r="C20" s="49"/>
      <c r="D20" s="49"/>
      <c r="E20" s="49"/>
      <c r="F20" s="414"/>
      <c r="G20" s="415"/>
      <c r="H20" s="415"/>
      <c r="I20" s="415"/>
      <c r="J20" s="242"/>
      <c r="K20" s="414"/>
      <c r="L20" s="415"/>
      <c r="M20" s="20"/>
      <c r="N20" s="20"/>
      <c r="O20" s="415"/>
      <c r="P20" s="19"/>
      <c r="Q20" s="415"/>
      <c r="R20" s="415"/>
      <c r="S20" s="304"/>
      <c r="T20" s="309"/>
      <c r="U20" s="315"/>
      <c r="V20" s="326"/>
      <c r="W20" s="327"/>
      <c r="X20" s="334"/>
      <c r="Y20" s="335"/>
      <c r="Z20" s="349"/>
      <c r="AA20" s="345"/>
      <c r="AB20" s="19"/>
      <c r="AC20" s="400"/>
      <c r="AD20" s="148"/>
    </row>
    <row r="21" spans="1:30" s="8" customFormat="1" ht="16.5" customHeight="1">
      <c r="A21" s="141"/>
      <c r="B21" s="147"/>
      <c r="C21" s="49"/>
      <c r="D21" s="49"/>
      <c r="E21" s="49"/>
      <c r="F21" s="416"/>
      <c r="G21" s="416"/>
      <c r="H21" s="416"/>
      <c r="I21" s="416"/>
      <c r="J21" s="243"/>
      <c r="K21" s="418"/>
      <c r="L21" s="416"/>
      <c r="M21" s="16"/>
      <c r="N21" s="16"/>
      <c r="O21" s="416"/>
      <c r="P21" s="15"/>
      <c r="Q21" s="416"/>
      <c r="R21" s="416"/>
      <c r="S21" s="305"/>
      <c r="T21" s="310"/>
      <c r="U21" s="316"/>
      <c r="V21" s="328"/>
      <c r="W21" s="329"/>
      <c r="X21" s="336"/>
      <c r="Y21" s="337"/>
      <c r="Z21" s="350"/>
      <c r="AA21" s="346"/>
      <c r="AB21" s="15"/>
      <c r="AC21" s="184"/>
      <c r="AD21" s="148"/>
    </row>
    <row r="22" spans="1:30" s="8" customFormat="1" ht="16.5" customHeight="1">
      <c r="A22" s="141"/>
      <c r="B22" s="155"/>
      <c r="C22" s="49">
        <v>16</v>
      </c>
      <c r="D22" s="49">
        <v>285553</v>
      </c>
      <c r="E22" s="49">
        <v>752</v>
      </c>
      <c r="F22" s="40" t="s">
        <v>83</v>
      </c>
      <c r="G22" s="39" t="s">
        <v>84</v>
      </c>
      <c r="H22" s="53">
        <v>30</v>
      </c>
      <c r="I22" s="246" t="s">
        <v>65</v>
      </c>
      <c r="J22" s="244">
        <f>H22*$I$16</f>
        <v>34.410000000000004</v>
      </c>
      <c r="K22" s="51">
        <v>42125</v>
      </c>
      <c r="L22" s="51">
        <v>42133.49444444444</v>
      </c>
      <c r="M22" s="21">
        <f>IF(F22="","",(L22-K22)*24)</f>
        <v>203.8666666665813</v>
      </c>
      <c r="N22" s="22">
        <f>IF(F22="","",ROUND((L22-K22)*24*60,0))</f>
        <v>12232</v>
      </c>
      <c r="O22" s="52" t="s">
        <v>85</v>
      </c>
      <c r="P22" s="52" t="str">
        <f>IF(F22="","",IF(OR(O22="P",O22="RP"),"--","NO"))</f>
        <v>--</v>
      </c>
      <c r="Q22" s="302">
        <v>50</v>
      </c>
      <c r="R22" s="52" t="str">
        <f>IF(F22="","","NO")</f>
        <v>NO</v>
      </c>
      <c r="S22" s="306">
        <f>$I$17*IF(OR(O22="P",O22="RP"),0.1,1)*IF(R22="SI",1,0.1)</f>
        <v>0.30000000000000004</v>
      </c>
      <c r="T22" s="311" t="str">
        <f>IF(O22="P",J22*S22*ROUND(N22/60,2),"--")</f>
        <v>--</v>
      </c>
      <c r="U22" s="317">
        <f>IF(O22="RP",J22*S22*ROUND(N22/60,2)*Q22/100,"--")</f>
        <v>1052.2750050000002</v>
      </c>
      <c r="V22" s="330" t="str">
        <f>IF(AND(O22="F",P22="NO"),J22*S22,"--")</f>
        <v>--</v>
      </c>
      <c r="W22" s="331" t="str">
        <f>IF(O22="F",J22*S22*ROUND(N22/60,2),"--")</f>
        <v>--</v>
      </c>
      <c r="X22" s="338" t="str">
        <f>IF(AND(O22="R",P22="NO"),J22*S22*Q22/100,"--")</f>
        <v>--</v>
      </c>
      <c r="Y22" s="339" t="str">
        <f>IF(O22="R",J22*S22*ROUND(N22/60,2)*Q22/100,"--")</f>
        <v>--</v>
      </c>
      <c r="Z22" s="351" t="str">
        <f>IF(O22="RF",J22*S22*ROUND(N22/60,2),"--")</f>
        <v>--</v>
      </c>
      <c r="AA22" s="347" t="str">
        <f>IF(O22="RR",J22*S22*ROUND(N22/60,2)*Q22/100,"--")</f>
        <v>--</v>
      </c>
      <c r="AB22" s="52" t="s">
        <v>73</v>
      </c>
      <c r="AC22" s="26">
        <f>IF(F22="","",SUM(T22:AA22)*IF(AB22="SI",1,2))</f>
        <v>1052.2750050000002</v>
      </c>
      <c r="AD22" s="398"/>
    </row>
    <row r="23" spans="1:30" s="8" customFormat="1" ht="16.5" customHeight="1">
      <c r="A23" s="141"/>
      <c r="B23" s="155"/>
      <c r="C23" s="49">
        <v>17</v>
      </c>
      <c r="D23" s="49">
        <v>288076</v>
      </c>
      <c r="E23" s="49">
        <v>3625</v>
      </c>
      <c r="F23" s="40" t="s">
        <v>86</v>
      </c>
      <c r="G23" s="39" t="s">
        <v>87</v>
      </c>
      <c r="H23" s="53">
        <v>50</v>
      </c>
      <c r="I23" s="246" t="s">
        <v>65</v>
      </c>
      <c r="J23" s="244">
        <f aca="true" t="shared" si="0" ref="J23:J34">H23*$I$16</f>
        <v>57.35</v>
      </c>
      <c r="K23" s="51">
        <v>42126.404861111114</v>
      </c>
      <c r="L23" s="51">
        <v>42126.40902777778</v>
      </c>
      <c r="M23" s="21">
        <f aca="true" t="shared" si="1" ref="M23:M34">IF(F23="","",(L23-K23)*24)</f>
        <v>0.09999999997671694</v>
      </c>
      <c r="N23" s="22">
        <f aca="true" t="shared" si="2" ref="N23:N34">IF(F23="","",ROUND((L23-K23)*24*60,0))</f>
        <v>6</v>
      </c>
      <c r="O23" s="52" t="s">
        <v>88</v>
      </c>
      <c r="P23" s="52" t="str">
        <f aca="true" t="shared" si="3" ref="P23:P36">IF(F23="","",IF(OR(O23="P",O23="RP"),"--","NO"))</f>
        <v>NO</v>
      </c>
      <c r="Q23" s="302">
        <v>60</v>
      </c>
      <c r="R23" s="52" t="s">
        <v>73</v>
      </c>
      <c r="S23" s="306">
        <f aca="true" t="shared" si="4" ref="S23:S34">$I$17*IF(OR(O23="P",O23="RP"),0.1,1)*IF(R23="SI",1,0.1)</f>
        <v>30</v>
      </c>
      <c r="T23" s="311" t="str">
        <f aca="true" t="shared" si="5" ref="T23:T34">IF(O23="P",J23*S23*ROUND(N23/60,2),"--")</f>
        <v>--</v>
      </c>
      <c r="U23" s="317" t="str">
        <f aca="true" t="shared" si="6" ref="U23:U34">IF(O23="RP",J23*S23*ROUND(N23/60,2)*Q23/100,"--")</f>
        <v>--</v>
      </c>
      <c r="V23" s="330" t="str">
        <f aca="true" t="shared" si="7" ref="V23:V34">IF(AND(O23="F",P23="NO"),J23*S23,"--")</f>
        <v>--</v>
      </c>
      <c r="W23" s="331" t="str">
        <f aca="true" t="shared" si="8" ref="W23:W34">IF(O23="F",J23*S23*ROUND(N23/60,2),"--")</f>
        <v>--</v>
      </c>
      <c r="X23" s="338">
        <f aca="true" t="shared" si="9" ref="X23:X34">IF(AND(O23="R",P23="NO"),J23*S23*Q23/100,"--")</f>
        <v>1032.3</v>
      </c>
      <c r="Y23" s="339">
        <f aca="true" t="shared" si="10" ref="Y23:Y34">IF(O23="R",J23*S23*ROUND(N23/60,2)*Q23/100,"--")</f>
        <v>103.23</v>
      </c>
      <c r="Z23" s="351" t="str">
        <f aca="true" t="shared" si="11" ref="Z23:Z34">IF(O23="RF",J23*S23*ROUND(N23/60,2),"--")</f>
        <v>--</v>
      </c>
      <c r="AA23" s="347" t="str">
        <f aca="true" t="shared" si="12" ref="AA23:AA34">IF(O23="RR",J23*S23*ROUND(N23/60,2)*Q23/100,"--")</f>
        <v>--</v>
      </c>
      <c r="AB23" s="52" t="s">
        <v>73</v>
      </c>
      <c r="AC23" s="26">
        <f aca="true" t="shared" si="13" ref="AC23:AC36">IF(F23="","",SUM(T23:AA23)*IF(AB23="SI",1,2))</f>
        <v>1135.53</v>
      </c>
      <c r="AD23" s="398"/>
    </row>
    <row r="24" spans="1:30" s="8" customFormat="1" ht="16.5" customHeight="1">
      <c r="A24" s="141"/>
      <c r="B24" s="147"/>
      <c r="C24" s="49">
        <v>18</v>
      </c>
      <c r="D24" s="49">
        <v>288103</v>
      </c>
      <c r="E24" s="49">
        <v>4263</v>
      </c>
      <c r="F24" s="40" t="s">
        <v>93</v>
      </c>
      <c r="G24" s="39" t="s">
        <v>94</v>
      </c>
      <c r="H24" s="53">
        <v>7.5</v>
      </c>
      <c r="I24" s="246" t="s">
        <v>95</v>
      </c>
      <c r="J24" s="244">
        <f t="shared" si="0"/>
        <v>8.602500000000001</v>
      </c>
      <c r="K24" s="51">
        <v>42126.74722222222</v>
      </c>
      <c r="L24" s="51">
        <v>42126.76388888889</v>
      </c>
      <c r="M24" s="21">
        <f t="shared" si="1"/>
        <v>0.4000000000814907</v>
      </c>
      <c r="N24" s="22">
        <f t="shared" si="2"/>
        <v>24</v>
      </c>
      <c r="O24" s="52" t="s">
        <v>88</v>
      </c>
      <c r="P24" s="52" t="str">
        <f t="shared" si="3"/>
        <v>NO</v>
      </c>
      <c r="Q24" s="302">
        <v>60</v>
      </c>
      <c r="R24" s="52" t="s">
        <v>73</v>
      </c>
      <c r="S24" s="306">
        <f t="shared" si="4"/>
        <v>30</v>
      </c>
      <c r="T24" s="311" t="str">
        <f t="shared" si="5"/>
        <v>--</v>
      </c>
      <c r="U24" s="317" t="str">
        <f t="shared" si="6"/>
        <v>--</v>
      </c>
      <c r="V24" s="330" t="str">
        <f t="shared" si="7"/>
        <v>--</v>
      </c>
      <c r="W24" s="331" t="str">
        <f t="shared" si="8"/>
        <v>--</v>
      </c>
      <c r="X24" s="338">
        <f t="shared" si="9"/>
        <v>154.84500000000003</v>
      </c>
      <c r="Y24" s="339">
        <f t="shared" si="10"/>
        <v>61.93800000000001</v>
      </c>
      <c r="Z24" s="351" t="str">
        <f t="shared" si="11"/>
        <v>--</v>
      </c>
      <c r="AA24" s="347" t="str">
        <f t="shared" si="12"/>
        <v>--</v>
      </c>
      <c r="AB24" s="52" t="s">
        <v>73</v>
      </c>
      <c r="AC24" s="26">
        <f t="shared" si="13"/>
        <v>216.78300000000004</v>
      </c>
      <c r="AD24" s="398"/>
    </row>
    <row r="25" spans="1:30" s="8" customFormat="1" ht="16.5" customHeight="1">
      <c r="A25" s="141"/>
      <c r="B25" s="147"/>
      <c r="C25" s="49">
        <v>19</v>
      </c>
      <c r="D25" s="49">
        <v>288106</v>
      </c>
      <c r="E25" s="49">
        <v>4730</v>
      </c>
      <c r="F25" s="40" t="s">
        <v>93</v>
      </c>
      <c r="G25" s="39" t="s">
        <v>87</v>
      </c>
      <c r="H25" s="53">
        <v>15</v>
      </c>
      <c r="I25" s="246" t="s">
        <v>65</v>
      </c>
      <c r="J25" s="244">
        <f t="shared" si="0"/>
        <v>17.205000000000002</v>
      </c>
      <c r="K25" s="51">
        <v>42127.36875</v>
      </c>
      <c r="L25" s="51">
        <v>42127.42152777778</v>
      </c>
      <c r="M25" s="21">
        <f t="shared" si="1"/>
        <v>1.2666666666045785</v>
      </c>
      <c r="N25" s="22">
        <f t="shared" si="2"/>
        <v>76</v>
      </c>
      <c r="O25" s="52" t="s">
        <v>77</v>
      </c>
      <c r="P25" s="52" t="str">
        <f t="shared" si="3"/>
        <v>NO</v>
      </c>
      <c r="Q25" s="52" t="s">
        <v>91</v>
      </c>
      <c r="R25" s="52" t="s">
        <v>73</v>
      </c>
      <c r="S25" s="306">
        <f t="shared" si="4"/>
        <v>30</v>
      </c>
      <c r="T25" s="311" t="str">
        <f t="shared" si="5"/>
        <v>--</v>
      </c>
      <c r="U25" s="317" t="str">
        <f t="shared" si="6"/>
        <v>--</v>
      </c>
      <c r="V25" s="330">
        <f t="shared" si="7"/>
        <v>516.1500000000001</v>
      </c>
      <c r="W25" s="331">
        <f t="shared" si="8"/>
        <v>655.5105000000001</v>
      </c>
      <c r="X25" s="338" t="str">
        <f t="shared" si="9"/>
        <v>--</v>
      </c>
      <c r="Y25" s="339" t="str">
        <f t="shared" si="10"/>
        <v>--</v>
      </c>
      <c r="Z25" s="351" t="str">
        <f t="shared" si="11"/>
        <v>--</v>
      </c>
      <c r="AA25" s="347" t="str">
        <f t="shared" si="12"/>
        <v>--</v>
      </c>
      <c r="AB25" s="52" t="s">
        <v>73</v>
      </c>
      <c r="AC25" s="26">
        <f t="shared" si="13"/>
        <v>1171.6605000000002</v>
      </c>
      <c r="AD25" s="398"/>
    </row>
    <row r="26" spans="1:30" s="8" customFormat="1" ht="16.5" customHeight="1">
      <c r="A26" s="141"/>
      <c r="B26" s="147"/>
      <c r="C26" s="49">
        <v>20</v>
      </c>
      <c r="D26" s="49">
        <v>288256</v>
      </c>
      <c r="E26" s="49">
        <v>5074</v>
      </c>
      <c r="F26" s="40" t="s">
        <v>96</v>
      </c>
      <c r="G26" s="39" t="s">
        <v>97</v>
      </c>
      <c r="H26" s="53">
        <v>50</v>
      </c>
      <c r="I26" s="431" t="s">
        <v>65</v>
      </c>
      <c r="J26" s="244">
        <f t="shared" si="0"/>
        <v>57.35</v>
      </c>
      <c r="K26" s="51">
        <v>42130.322222222225</v>
      </c>
      <c r="L26" s="51">
        <v>42130.393055555556</v>
      </c>
      <c r="M26" s="21">
        <f t="shared" si="1"/>
        <v>1.6999999999534339</v>
      </c>
      <c r="N26" s="22">
        <f t="shared" si="2"/>
        <v>102</v>
      </c>
      <c r="O26" s="52" t="s">
        <v>77</v>
      </c>
      <c r="P26" s="52" t="str">
        <f t="shared" si="3"/>
        <v>NO</v>
      </c>
      <c r="Q26" s="52" t="s">
        <v>91</v>
      </c>
      <c r="R26" s="52" t="s">
        <v>73</v>
      </c>
      <c r="S26" s="306">
        <f t="shared" si="4"/>
        <v>30</v>
      </c>
      <c r="T26" s="311" t="str">
        <f t="shared" si="5"/>
        <v>--</v>
      </c>
      <c r="U26" s="317" t="str">
        <f t="shared" si="6"/>
        <v>--</v>
      </c>
      <c r="V26" s="330">
        <f t="shared" si="7"/>
        <v>1720.5</v>
      </c>
      <c r="W26" s="331">
        <f t="shared" si="8"/>
        <v>2924.85</v>
      </c>
      <c r="X26" s="338" t="str">
        <f t="shared" si="9"/>
        <v>--</v>
      </c>
      <c r="Y26" s="339" t="str">
        <f t="shared" si="10"/>
        <v>--</v>
      </c>
      <c r="Z26" s="351" t="str">
        <f t="shared" si="11"/>
        <v>--</v>
      </c>
      <c r="AA26" s="347" t="str">
        <f t="shared" si="12"/>
        <v>--</v>
      </c>
      <c r="AB26" s="52" t="s">
        <v>73</v>
      </c>
      <c r="AC26" s="26">
        <f t="shared" si="13"/>
        <v>4645.35</v>
      </c>
      <c r="AD26" s="398"/>
    </row>
    <row r="27" spans="1:30" s="8" customFormat="1" ht="16.5" customHeight="1">
      <c r="A27" s="141"/>
      <c r="B27" s="147"/>
      <c r="C27" s="49">
        <v>21</v>
      </c>
      <c r="D27" s="49">
        <v>288261</v>
      </c>
      <c r="E27" s="49">
        <v>771</v>
      </c>
      <c r="F27" s="40" t="s">
        <v>98</v>
      </c>
      <c r="G27" s="39" t="s">
        <v>97</v>
      </c>
      <c r="H27" s="53">
        <v>30</v>
      </c>
      <c r="I27" s="246" t="s">
        <v>65</v>
      </c>
      <c r="J27" s="244">
        <f t="shared" si="0"/>
        <v>34.410000000000004</v>
      </c>
      <c r="K27" s="51">
        <v>42133.490277777775</v>
      </c>
      <c r="L27" s="51">
        <v>42133.52291666667</v>
      </c>
      <c r="M27" s="21">
        <f t="shared" si="1"/>
        <v>0.7833333334419876</v>
      </c>
      <c r="N27" s="22">
        <f t="shared" si="2"/>
        <v>47</v>
      </c>
      <c r="O27" s="52" t="s">
        <v>88</v>
      </c>
      <c r="P27" s="52" t="str">
        <f t="shared" si="3"/>
        <v>NO</v>
      </c>
      <c r="Q27" s="302">
        <v>40</v>
      </c>
      <c r="R27" s="52" t="s">
        <v>73</v>
      </c>
      <c r="S27" s="306">
        <f t="shared" si="4"/>
        <v>30</v>
      </c>
      <c r="T27" s="311" t="str">
        <f t="shared" si="5"/>
        <v>--</v>
      </c>
      <c r="U27" s="317" t="str">
        <f t="shared" si="6"/>
        <v>--</v>
      </c>
      <c r="V27" s="330" t="str">
        <f t="shared" si="7"/>
        <v>--</v>
      </c>
      <c r="W27" s="331" t="str">
        <f t="shared" si="8"/>
        <v>--</v>
      </c>
      <c r="X27" s="338">
        <f t="shared" si="9"/>
        <v>412.9200000000001</v>
      </c>
      <c r="Y27" s="339">
        <f t="shared" si="10"/>
        <v>322.0776000000001</v>
      </c>
      <c r="Z27" s="351" t="str">
        <f t="shared" si="11"/>
        <v>--</v>
      </c>
      <c r="AA27" s="347" t="str">
        <f t="shared" si="12"/>
        <v>--</v>
      </c>
      <c r="AB27" s="52" t="s">
        <v>73</v>
      </c>
      <c r="AC27" s="26">
        <f t="shared" si="13"/>
        <v>734.9976000000001</v>
      </c>
      <c r="AD27" s="398"/>
    </row>
    <row r="28" spans="1:30" s="8" customFormat="1" ht="16.5" customHeight="1">
      <c r="A28" s="141"/>
      <c r="B28" s="147"/>
      <c r="C28" s="49">
        <v>22</v>
      </c>
      <c r="D28" s="49">
        <v>288262</v>
      </c>
      <c r="E28" s="49">
        <v>772</v>
      </c>
      <c r="F28" s="40" t="s">
        <v>98</v>
      </c>
      <c r="G28" s="39" t="s">
        <v>92</v>
      </c>
      <c r="H28" s="53">
        <v>30</v>
      </c>
      <c r="I28" s="246" t="s">
        <v>99</v>
      </c>
      <c r="J28" s="244">
        <f t="shared" si="0"/>
        <v>34.410000000000004</v>
      </c>
      <c r="K28" s="51">
        <v>42133.490277777775</v>
      </c>
      <c r="L28" s="51">
        <v>42133.52291666667</v>
      </c>
      <c r="M28" s="21">
        <f t="shared" si="1"/>
        <v>0.7833333334419876</v>
      </c>
      <c r="N28" s="22">
        <f t="shared" si="2"/>
        <v>47</v>
      </c>
      <c r="O28" s="52" t="s">
        <v>88</v>
      </c>
      <c r="P28" s="52" t="str">
        <f t="shared" si="3"/>
        <v>NO</v>
      </c>
      <c r="Q28" s="302">
        <v>40</v>
      </c>
      <c r="R28" s="52" t="s">
        <v>73</v>
      </c>
      <c r="S28" s="306">
        <f t="shared" si="4"/>
        <v>30</v>
      </c>
      <c r="T28" s="311" t="str">
        <f t="shared" si="5"/>
        <v>--</v>
      </c>
      <c r="U28" s="317" t="str">
        <f t="shared" si="6"/>
        <v>--</v>
      </c>
      <c r="V28" s="330" t="str">
        <f t="shared" si="7"/>
        <v>--</v>
      </c>
      <c r="W28" s="331" t="str">
        <f t="shared" si="8"/>
        <v>--</v>
      </c>
      <c r="X28" s="338">
        <f t="shared" si="9"/>
        <v>412.9200000000001</v>
      </c>
      <c r="Y28" s="339">
        <f t="shared" si="10"/>
        <v>322.0776000000001</v>
      </c>
      <c r="Z28" s="351" t="str">
        <f t="shared" si="11"/>
        <v>--</v>
      </c>
      <c r="AA28" s="347" t="str">
        <f t="shared" si="12"/>
        <v>--</v>
      </c>
      <c r="AB28" s="52" t="s">
        <v>73</v>
      </c>
      <c r="AC28" s="26">
        <f t="shared" si="13"/>
        <v>734.9976000000001</v>
      </c>
      <c r="AD28" s="398"/>
    </row>
    <row r="29" spans="1:30" s="8" customFormat="1" ht="16.5" customHeight="1">
      <c r="A29" s="141"/>
      <c r="B29" s="147"/>
      <c r="C29" s="49">
        <v>23</v>
      </c>
      <c r="D29" s="49">
        <v>288263</v>
      </c>
      <c r="E29" s="49">
        <v>773</v>
      </c>
      <c r="F29" s="40" t="s">
        <v>98</v>
      </c>
      <c r="G29" s="39" t="s">
        <v>94</v>
      </c>
      <c r="H29" s="53">
        <v>30</v>
      </c>
      <c r="I29" s="246" t="s">
        <v>65</v>
      </c>
      <c r="J29" s="244">
        <f t="shared" si="0"/>
        <v>34.410000000000004</v>
      </c>
      <c r="K29" s="51">
        <v>42133.490277777775</v>
      </c>
      <c r="L29" s="51">
        <v>42133.52291666667</v>
      </c>
      <c r="M29" s="21">
        <f t="shared" si="1"/>
        <v>0.7833333334419876</v>
      </c>
      <c r="N29" s="22">
        <f t="shared" si="2"/>
        <v>47</v>
      </c>
      <c r="O29" s="52" t="s">
        <v>88</v>
      </c>
      <c r="P29" s="52" t="str">
        <f t="shared" si="3"/>
        <v>NO</v>
      </c>
      <c r="Q29" s="302">
        <v>60</v>
      </c>
      <c r="R29" s="52" t="s">
        <v>73</v>
      </c>
      <c r="S29" s="306">
        <f t="shared" si="4"/>
        <v>30</v>
      </c>
      <c r="T29" s="311" t="str">
        <f t="shared" si="5"/>
        <v>--</v>
      </c>
      <c r="U29" s="317" t="str">
        <f t="shared" si="6"/>
        <v>--</v>
      </c>
      <c r="V29" s="330" t="str">
        <f t="shared" si="7"/>
        <v>--</v>
      </c>
      <c r="W29" s="331" t="str">
        <f t="shared" si="8"/>
        <v>--</v>
      </c>
      <c r="X29" s="338">
        <f t="shared" si="9"/>
        <v>619.3800000000001</v>
      </c>
      <c r="Y29" s="339">
        <f t="shared" si="10"/>
        <v>483.1164000000001</v>
      </c>
      <c r="Z29" s="351" t="str">
        <f t="shared" si="11"/>
        <v>--</v>
      </c>
      <c r="AA29" s="347" t="str">
        <f t="shared" si="12"/>
        <v>--</v>
      </c>
      <c r="AB29" s="52" t="s">
        <v>73</v>
      </c>
      <c r="AC29" s="26">
        <f t="shared" si="13"/>
        <v>1102.4964000000002</v>
      </c>
      <c r="AD29" s="398"/>
    </row>
    <row r="30" spans="1:30" s="8" customFormat="1" ht="16.5" customHeight="1">
      <c r="A30" s="141"/>
      <c r="B30" s="147"/>
      <c r="C30" s="49">
        <v>24</v>
      </c>
      <c r="D30" s="49">
        <v>288264</v>
      </c>
      <c r="E30" s="49">
        <v>4072</v>
      </c>
      <c r="F30" s="40" t="s">
        <v>98</v>
      </c>
      <c r="G30" s="39" t="s">
        <v>87</v>
      </c>
      <c r="H30" s="53">
        <v>30</v>
      </c>
      <c r="I30" s="431" t="s">
        <v>65</v>
      </c>
      <c r="J30" s="244">
        <f t="shared" si="0"/>
        <v>34.410000000000004</v>
      </c>
      <c r="K30" s="51">
        <v>42133.490277777775</v>
      </c>
      <c r="L30" s="51">
        <v>42133.52291666667</v>
      </c>
      <c r="M30" s="21">
        <f t="shared" si="1"/>
        <v>0.7833333334419876</v>
      </c>
      <c r="N30" s="22">
        <f t="shared" si="2"/>
        <v>47</v>
      </c>
      <c r="O30" s="52" t="s">
        <v>88</v>
      </c>
      <c r="P30" s="52" t="str">
        <f t="shared" si="3"/>
        <v>NO</v>
      </c>
      <c r="Q30" s="302">
        <v>60</v>
      </c>
      <c r="R30" s="52" t="s">
        <v>73</v>
      </c>
      <c r="S30" s="306">
        <f t="shared" si="4"/>
        <v>30</v>
      </c>
      <c r="T30" s="311" t="str">
        <f t="shared" si="5"/>
        <v>--</v>
      </c>
      <c r="U30" s="317" t="str">
        <f t="shared" si="6"/>
        <v>--</v>
      </c>
      <c r="V30" s="330" t="str">
        <f t="shared" si="7"/>
        <v>--</v>
      </c>
      <c r="W30" s="331" t="str">
        <f t="shared" si="8"/>
        <v>--</v>
      </c>
      <c r="X30" s="338">
        <f t="shared" si="9"/>
        <v>619.3800000000001</v>
      </c>
      <c r="Y30" s="339">
        <f t="shared" si="10"/>
        <v>483.1164000000001</v>
      </c>
      <c r="Z30" s="351" t="str">
        <f t="shared" si="11"/>
        <v>--</v>
      </c>
      <c r="AA30" s="347" t="str">
        <f t="shared" si="12"/>
        <v>--</v>
      </c>
      <c r="AB30" s="52" t="s">
        <v>73</v>
      </c>
      <c r="AC30" s="26">
        <f t="shared" si="13"/>
        <v>1102.4964000000002</v>
      </c>
      <c r="AD30" s="398"/>
    </row>
    <row r="31" spans="1:30" s="8" customFormat="1" ht="16.5" customHeight="1">
      <c r="A31" s="141"/>
      <c r="B31" s="147"/>
      <c r="C31" s="49">
        <v>25</v>
      </c>
      <c r="D31" s="49">
        <v>288265</v>
      </c>
      <c r="E31" s="49">
        <v>4719</v>
      </c>
      <c r="F31" s="40" t="s">
        <v>98</v>
      </c>
      <c r="G31" s="39" t="s">
        <v>100</v>
      </c>
      <c r="H31" s="53">
        <v>30</v>
      </c>
      <c r="I31" s="246" t="s">
        <v>65</v>
      </c>
      <c r="J31" s="244">
        <f t="shared" si="0"/>
        <v>34.410000000000004</v>
      </c>
      <c r="K31" s="51">
        <v>42133.490277777775</v>
      </c>
      <c r="L31" s="51">
        <v>42133.52291666667</v>
      </c>
      <c r="M31" s="21">
        <f t="shared" si="1"/>
        <v>0.7833333334419876</v>
      </c>
      <c r="N31" s="22">
        <f t="shared" si="2"/>
        <v>47</v>
      </c>
      <c r="O31" s="52" t="s">
        <v>88</v>
      </c>
      <c r="P31" s="52" t="str">
        <f t="shared" si="3"/>
        <v>NO</v>
      </c>
      <c r="Q31" s="302">
        <v>50</v>
      </c>
      <c r="R31" s="52" t="s">
        <v>73</v>
      </c>
      <c r="S31" s="306">
        <f t="shared" si="4"/>
        <v>30</v>
      </c>
      <c r="T31" s="311" t="str">
        <f t="shared" si="5"/>
        <v>--</v>
      </c>
      <c r="U31" s="317" t="str">
        <f t="shared" si="6"/>
        <v>--</v>
      </c>
      <c r="V31" s="330" t="str">
        <f t="shared" si="7"/>
        <v>--</v>
      </c>
      <c r="W31" s="331" t="str">
        <f t="shared" si="8"/>
        <v>--</v>
      </c>
      <c r="X31" s="338">
        <f t="shared" si="9"/>
        <v>516.1500000000001</v>
      </c>
      <c r="Y31" s="339">
        <f t="shared" si="10"/>
        <v>402.5970000000001</v>
      </c>
      <c r="Z31" s="351" t="str">
        <f t="shared" si="11"/>
        <v>--</v>
      </c>
      <c r="AA31" s="347" t="str">
        <f t="shared" si="12"/>
        <v>--</v>
      </c>
      <c r="AB31" s="52" t="s">
        <v>73</v>
      </c>
      <c r="AC31" s="26">
        <f t="shared" si="13"/>
        <v>918.7470000000002</v>
      </c>
      <c r="AD31" s="398"/>
    </row>
    <row r="32" spans="1:30" s="8" customFormat="1" ht="16.5" customHeight="1">
      <c r="A32" s="141"/>
      <c r="B32" s="147"/>
      <c r="C32" s="49">
        <v>26</v>
      </c>
      <c r="D32" s="49">
        <v>288273</v>
      </c>
      <c r="E32" s="49">
        <v>750</v>
      </c>
      <c r="F32" s="40" t="s">
        <v>83</v>
      </c>
      <c r="G32" s="39" t="s">
        <v>87</v>
      </c>
      <c r="H32" s="53">
        <v>15</v>
      </c>
      <c r="I32" s="246" t="s">
        <v>65</v>
      </c>
      <c r="J32" s="244">
        <f t="shared" si="0"/>
        <v>17.205000000000002</v>
      </c>
      <c r="K32" s="51">
        <v>42133.49513888889</v>
      </c>
      <c r="L32" s="51">
        <v>42133.50763888889</v>
      </c>
      <c r="M32" s="21">
        <f t="shared" si="1"/>
        <v>0.3000000001047738</v>
      </c>
      <c r="N32" s="22">
        <f t="shared" si="2"/>
        <v>18</v>
      </c>
      <c r="O32" s="52" t="s">
        <v>88</v>
      </c>
      <c r="P32" s="52" t="str">
        <f t="shared" si="3"/>
        <v>NO</v>
      </c>
      <c r="Q32" s="302">
        <v>60</v>
      </c>
      <c r="R32" s="52" t="str">
        <f>IF(F32="","","NO")</f>
        <v>NO</v>
      </c>
      <c r="S32" s="306">
        <f t="shared" si="4"/>
        <v>3</v>
      </c>
      <c r="T32" s="311" t="str">
        <f t="shared" si="5"/>
        <v>--</v>
      </c>
      <c r="U32" s="317" t="str">
        <f t="shared" si="6"/>
        <v>--</v>
      </c>
      <c r="V32" s="330" t="str">
        <f t="shared" si="7"/>
        <v>--</v>
      </c>
      <c r="W32" s="331" t="str">
        <f t="shared" si="8"/>
        <v>--</v>
      </c>
      <c r="X32" s="338">
        <f t="shared" si="9"/>
        <v>30.969000000000005</v>
      </c>
      <c r="Y32" s="339">
        <f t="shared" si="10"/>
        <v>9.290700000000001</v>
      </c>
      <c r="Z32" s="351" t="str">
        <f t="shared" si="11"/>
        <v>--</v>
      </c>
      <c r="AA32" s="347" t="str">
        <f t="shared" si="12"/>
        <v>--</v>
      </c>
      <c r="AB32" s="52" t="s">
        <v>73</v>
      </c>
      <c r="AC32" s="26">
        <f t="shared" si="13"/>
        <v>40.25970000000001</v>
      </c>
      <c r="AD32" s="398"/>
    </row>
    <row r="33" spans="1:30" s="8" customFormat="1" ht="16.5" customHeight="1">
      <c r="A33" s="141"/>
      <c r="B33" s="147"/>
      <c r="C33" s="49">
        <v>27</v>
      </c>
      <c r="D33" s="49">
        <v>288274</v>
      </c>
      <c r="E33" s="49">
        <v>752</v>
      </c>
      <c r="F33" s="40" t="s">
        <v>83</v>
      </c>
      <c r="G33" s="39" t="s">
        <v>84</v>
      </c>
      <c r="H33" s="53">
        <v>30</v>
      </c>
      <c r="I33" s="246" t="s">
        <v>65</v>
      </c>
      <c r="J33" s="244">
        <f t="shared" si="0"/>
        <v>34.410000000000004</v>
      </c>
      <c r="K33" s="51">
        <v>42133.49513888889</v>
      </c>
      <c r="L33" s="51">
        <v>42133.50763888889</v>
      </c>
      <c r="M33" s="21">
        <f t="shared" si="1"/>
        <v>0.3000000001047738</v>
      </c>
      <c r="N33" s="22">
        <f t="shared" si="2"/>
        <v>18</v>
      </c>
      <c r="O33" s="52" t="s">
        <v>88</v>
      </c>
      <c r="P33" s="52" t="str">
        <f t="shared" si="3"/>
        <v>NO</v>
      </c>
      <c r="Q33" s="302">
        <v>40</v>
      </c>
      <c r="R33" s="52" t="str">
        <f>IF(F33="","","NO")</f>
        <v>NO</v>
      </c>
      <c r="S33" s="306">
        <f t="shared" si="4"/>
        <v>3</v>
      </c>
      <c r="T33" s="311" t="str">
        <f t="shared" si="5"/>
        <v>--</v>
      </c>
      <c r="U33" s="317" t="str">
        <f t="shared" si="6"/>
        <v>--</v>
      </c>
      <c r="V33" s="330" t="str">
        <f t="shared" si="7"/>
        <v>--</v>
      </c>
      <c r="W33" s="331" t="str">
        <f t="shared" si="8"/>
        <v>--</v>
      </c>
      <c r="X33" s="338">
        <f t="shared" si="9"/>
        <v>41.29200000000001</v>
      </c>
      <c r="Y33" s="339">
        <f t="shared" si="10"/>
        <v>12.387600000000003</v>
      </c>
      <c r="Z33" s="351" t="str">
        <f t="shared" si="11"/>
        <v>--</v>
      </c>
      <c r="AA33" s="347" t="str">
        <f t="shared" si="12"/>
        <v>--</v>
      </c>
      <c r="AB33" s="52" t="s">
        <v>73</v>
      </c>
      <c r="AC33" s="26">
        <f t="shared" si="13"/>
        <v>53.67960000000001</v>
      </c>
      <c r="AD33" s="398"/>
    </row>
    <row r="34" spans="1:30" s="8" customFormat="1" ht="16.5" customHeight="1">
      <c r="A34" s="141"/>
      <c r="B34" s="147"/>
      <c r="C34" s="49">
        <v>28</v>
      </c>
      <c r="D34" s="49">
        <v>288317</v>
      </c>
      <c r="E34" s="49">
        <v>752</v>
      </c>
      <c r="F34" s="40" t="s">
        <v>83</v>
      </c>
      <c r="G34" s="39" t="s">
        <v>84</v>
      </c>
      <c r="H34" s="53">
        <v>30</v>
      </c>
      <c r="I34" s="246" t="s">
        <v>65</v>
      </c>
      <c r="J34" s="244">
        <f t="shared" si="0"/>
        <v>34.410000000000004</v>
      </c>
      <c r="K34" s="51">
        <v>42133.50833333333</v>
      </c>
      <c r="L34" s="51">
        <v>42155.99930555555</v>
      </c>
      <c r="M34" s="21">
        <f t="shared" si="1"/>
        <v>539.7833333333256</v>
      </c>
      <c r="N34" s="22">
        <f t="shared" si="2"/>
        <v>32387</v>
      </c>
      <c r="O34" s="52" t="s">
        <v>85</v>
      </c>
      <c r="P34" s="52" t="str">
        <f t="shared" si="3"/>
        <v>--</v>
      </c>
      <c r="Q34" s="302">
        <v>50</v>
      </c>
      <c r="R34" s="52" t="str">
        <f>IF(F34="","","NO")</f>
        <v>NO</v>
      </c>
      <c r="S34" s="306">
        <f t="shared" si="4"/>
        <v>0.30000000000000004</v>
      </c>
      <c r="T34" s="311" t="str">
        <f t="shared" si="5"/>
        <v>--</v>
      </c>
      <c r="U34" s="317">
        <f t="shared" si="6"/>
        <v>2786.0744700000005</v>
      </c>
      <c r="V34" s="330" t="str">
        <f t="shared" si="7"/>
        <v>--</v>
      </c>
      <c r="W34" s="331" t="str">
        <f t="shared" si="8"/>
        <v>--</v>
      </c>
      <c r="X34" s="338" t="str">
        <f t="shared" si="9"/>
        <v>--</v>
      </c>
      <c r="Y34" s="339" t="str">
        <f t="shared" si="10"/>
        <v>--</v>
      </c>
      <c r="Z34" s="351" t="str">
        <f t="shared" si="11"/>
        <v>--</v>
      </c>
      <c r="AA34" s="347" t="str">
        <f t="shared" si="12"/>
        <v>--</v>
      </c>
      <c r="AB34" s="52" t="s">
        <v>73</v>
      </c>
      <c r="AC34" s="26">
        <f t="shared" si="13"/>
        <v>2786.0744700000005</v>
      </c>
      <c r="AD34" s="398"/>
    </row>
    <row r="35" spans="1:30" s="8" customFormat="1" ht="16.5" customHeight="1">
      <c r="A35" s="141"/>
      <c r="B35" s="147"/>
      <c r="C35" s="49"/>
      <c r="D35" s="49"/>
      <c r="E35" s="49"/>
      <c r="F35" s="40"/>
      <c r="G35" s="39"/>
      <c r="H35" s="53"/>
      <c r="I35" s="50"/>
      <c r="J35" s="244"/>
      <c r="K35" s="51"/>
      <c r="L35" s="51"/>
      <c r="M35" s="21"/>
      <c r="N35" s="22"/>
      <c r="O35" s="52"/>
      <c r="P35" s="52"/>
      <c r="Q35" s="52"/>
      <c r="R35" s="52"/>
      <c r="S35" s="306"/>
      <c r="T35" s="311"/>
      <c r="U35" s="317"/>
      <c r="V35" s="330"/>
      <c r="W35" s="331"/>
      <c r="X35" s="338"/>
      <c r="Y35" s="339"/>
      <c r="Z35" s="351"/>
      <c r="AA35" s="347"/>
      <c r="AB35" s="52"/>
      <c r="AC35" s="26"/>
      <c r="AD35" s="148"/>
    </row>
    <row r="36" spans="1:30" s="8" customFormat="1" ht="16.5" customHeight="1">
      <c r="A36" s="141"/>
      <c r="B36" s="147"/>
      <c r="C36" s="49"/>
      <c r="D36" s="49"/>
      <c r="E36" s="49"/>
      <c r="F36" s="40"/>
      <c r="G36" s="39"/>
      <c r="H36" s="53"/>
      <c r="I36" s="50"/>
      <c r="J36" s="244">
        <f>H36*$I$16</f>
        <v>0</v>
      </c>
      <c r="K36" s="51"/>
      <c r="L36" s="51"/>
      <c r="M36" s="21">
        <f>IF(F36="","",(L36-K36)*24)</f>
      </c>
      <c r="N36" s="22">
        <f>IF(F36="","",ROUND((L36-K36)*24*60,0))</f>
      </c>
      <c r="O36" s="52"/>
      <c r="P36" s="52">
        <f t="shared" si="3"/>
      </c>
      <c r="Q36" s="302">
        <f>IF(F36="","","--")</f>
      </c>
      <c r="R36" s="52">
        <f>IF(F36="","","NO")</f>
      </c>
      <c r="S36" s="306">
        <f>$I$17*IF(OR(O36="P",O36="RP"),0.1,1)*IF(R36="SI",1,0.1)</f>
        <v>3</v>
      </c>
      <c r="T36" s="311" t="str">
        <f>IF(O36="P",J36*S36*ROUND(N36/60,2),"--")</f>
        <v>--</v>
      </c>
      <c r="U36" s="317" t="str">
        <f>IF(O36="RP",J36*S36*ROUND(N36/60,2)*Q36/100,"--")</f>
        <v>--</v>
      </c>
      <c r="V36" s="330" t="str">
        <f>IF(AND(O36="F",P36="NO"),J36*S36,"--")</f>
        <v>--</v>
      </c>
      <c r="W36" s="331" t="str">
        <f>IF(O36="F",J36*S36*ROUND(N36/60,2),"--")</f>
        <v>--</v>
      </c>
      <c r="X36" s="338" t="str">
        <f>IF(AND(O36="R",P36="NO"),J36*S36*Q36/100,"--")</f>
        <v>--</v>
      </c>
      <c r="Y36" s="339" t="str">
        <f>IF(O36="R",J36*S36*ROUND(N36/60,2)*Q36/100,"--")</f>
        <v>--</v>
      </c>
      <c r="Z36" s="351" t="str">
        <f>IF(O36="RF",J36*S36*ROUND(N36/60,2),"--")</f>
        <v>--</v>
      </c>
      <c r="AA36" s="347" t="str">
        <f>IF(O36="RR",J36*S36*ROUND(N36/60,2)*Q36/100,"--")</f>
        <v>--</v>
      </c>
      <c r="AB36" s="52">
        <f>IF(F36="","","SI")</f>
      </c>
      <c r="AC36" s="26">
        <f t="shared" si="13"/>
      </c>
      <c r="AD36" s="148"/>
    </row>
    <row r="37" spans="1:30" s="8" customFormat="1" ht="16.5" customHeight="1" thickBot="1">
      <c r="A37" s="141"/>
      <c r="B37" s="147"/>
      <c r="C37" s="417"/>
      <c r="D37" s="417"/>
      <c r="E37" s="417"/>
      <c r="F37" s="417"/>
      <c r="G37" s="417"/>
      <c r="H37" s="417"/>
      <c r="I37" s="417"/>
      <c r="J37" s="301"/>
      <c r="K37" s="417"/>
      <c r="L37" s="417"/>
      <c r="M37" s="23"/>
      <c r="N37" s="23"/>
      <c r="O37" s="417"/>
      <c r="P37" s="23"/>
      <c r="Q37" s="417"/>
      <c r="R37" s="417"/>
      <c r="S37" s="307"/>
      <c r="T37" s="312"/>
      <c r="U37" s="318"/>
      <c r="V37" s="357"/>
      <c r="W37" s="356"/>
      <c r="X37" s="340"/>
      <c r="Y37" s="341"/>
      <c r="Z37" s="352"/>
      <c r="AA37" s="348"/>
      <c r="AB37" s="23"/>
      <c r="AC37" s="185"/>
      <c r="AD37" s="148"/>
    </row>
    <row r="38" spans="1:30" s="8" customFormat="1" ht="16.5" customHeight="1" thickBot="1" thickTop="1">
      <c r="A38" s="141"/>
      <c r="B38" s="147"/>
      <c r="C38" s="209" t="s">
        <v>40</v>
      </c>
      <c r="D38" s="430" t="s">
        <v>120</v>
      </c>
      <c r="E38" s="211"/>
      <c r="F38" s="210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313">
        <f>SUM(T20:T37)</f>
        <v>0</v>
      </c>
      <c r="U38" s="319">
        <f aca="true" t="shared" si="14" ref="U38:AA38">SUM(U20:U37)</f>
        <v>3838.349475000001</v>
      </c>
      <c r="V38" s="332">
        <f t="shared" si="14"/>
        <v>2236.65</v>
      </c>
      <c r="W38" s="332">
        <f t="shared" si="14"/>
        <v>3580.3605</v>
      </c>
      <c r="X38" s="342">
        <f t="shared" si="14"/>
        <v>3840.1560000000004</v>
      </c>
      <c r="Y38" s="342">
        <f t="shared" si="14"/>
        <v>2199.8313000000003</v>
      </c>
      <c r="Z38" s="354">
        <f t="shared" si="14"/>
        <v>0</v>
      </c>
      <c r="AA38" s="355">
        <f t="shared" si="14"/>
        <v>0</v>
      </c>
      <c r="AB38" s="25"/>
      <c r="AC38" s="239">
        <f>ROUND(SUM(AC20:AC37),2)</f>
        <v>15695.35</v>
      </c>
      <c r="AD38" s="148"/>
    </row>
    <row r="39" spans="1:30" s="224" customFormat="1" ht="9.75" thickTop="1">
      <c r="A39" s="225"/>
      <c r="B39" s="226"/>
      <c r="C39" s="211"/>
      <c r="D39" s="211"/>
      <c r="E39" s="211"/>
      <c r="F39" s="212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8"/>
      <c r="U39" s="228"/>
      <c r="V39" s="228"/>
      <c r="W39" s="228"/>
      <c r="X39" s="228"/>
      <c r="Y39" s="228"/>
      <c r="Z39" s="228"/>
      <c r="AA39" s="228"/>
      <c r="AB39" s="227"/>
      <c r="AC39" s="229"/>
      <c r="AD39" s="230"/>
    </row>
    <row r="40" spans="1:30" s="8" customFormat="1" ht="16.5" customHeight="1" thickBot="1">
      <c r="A40" s="141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8"/>
    </row>
    <row r="41" spans="2:30" ht="16.5" customHeight="1" thickTop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2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zoomScale="75" zoomScaleNormal="75" zoomScalePageLayoutView="0" workbookViewId="0" topLeftCell="A1">
      <selection activeCell="F26" sqref="F26"/>
    </sheetView>
  </sheetViews>
  <sheetFormatPr defaultColWidth="11.421875" defaultRowHeight="12.75"/>
  <cols>
    <col min="1" max="3" width="4.140625" style="0" customWidth="1"/>
    <col min="4" max="5" width="13.7109375" style="0" customWidth="1"/>
    <col min="6" max="7" width="25.7109375" style="0" customWidth="1"/>
    <col min="8" max="8" width="8.7109375" style="0" customWidth="1"/>
    <col min="9" max="9" width="12.7109375" style="0" customWidth="1"/>
    <col min="10" max="10" width="7.140625" style="0" hidden="1" customWidth="1"/>
    <col min="11" max="11" width="16.28125" style="0" customWidth="1"/>
    <col min="12" max="12" width="16.421875" style="0" customWidth="1"/>
    <col min="13" max="15" width="9.7109375" style="0" customWidth="1"/>
    <col min="16" max="18" width="7.7109375" style="0" customWidth="1"/>
    <col min="19" max="19" width="10.421875" style="0" hidden="1" customWidth="1"/>
    <col min="20" max="21" width="12.28125" style="0" hidden="1" customWidth="1"/>
    <col min="22" max="22" width="10.57421875" style="0" hidden="1" customWidth="1"/>
    <col min="23" max="23" width="13.28125" style="0" hidden="1" customWidth="1"/>
    <col min="24" max="25" width="8.28125" style="0" hidden="1" customWidth="1"/>
    <col min="26" max="27" width="12.2812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6:30" s="61" customFormat="1" ht="30" customHeight="1"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405"/>
    </row>
    <row r="2" spans="2:30" s="61" customFormat="1" ht="26.25">
      <c r="B2" s="413" t="str">
        <f>+'TOT-0515'!B2</f>
        <v>ANEXO V al Memorándum  D.T.E.E.  N° 821/2015.-</v>
      </c>
      <c r="C2" s="62"/>
      <c r="D2" s="62"/>
      <c r="E2" s="62"/>
      <c r="F2" s="143"/>
      <c r="G2" s="74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</row>
    <row r="3" spans="6:30" s="8" customFormat="1" ht="15.75" customHeight="1"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0" s="59" customFormat="1" ht="10.5" customHeight="1">
      <c r="A4" s="427" t="s">
        <v>68</v>
      </c>
      <c r="B4" s="126"/>
      <c r="C4" s="427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</row>
    <row r="5" spans="1:30" s="59" customFormat="1" ht="11.25">
      <c r="A5" s="427" t="s">
        <v>69</v>
      </c>
      <c r="B5" s="126"/>
      <c r="C5" s="126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</row>
    <row r="6" spans="1:30" s="8" customFormat="1" ht="16.5" customHeight="1" thickBo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</row>
    <row r="7" spans="1:30" s="8" customFormat="1" ht="16.5" customHeight="1" thickTop="1">
      <c r="A7" s="141"/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6"/>
    </row>
    <row r="8" spans="1:30" s="63" customFormat="1" ht="21.75" customHeight="1">
      <c r="A8" s="160"/>
      <c r="B8" s="161"/>
      <c r="C8" s="149"/>
      <c r="D8" s="149"/>
      <c r="E8" s="149"/>
      <c r="F8" s="18" t="s">
        <v>16</v>
      </c>
      <c r="H8" s="149"/>
      <c r="I8" s="160"/>
      <c r="J8" s="160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62"/>
      <c r="AD8" s="163"/>
    </row>
    <row r="9" spans="1:30" s="8" customFormat="1" ht="16.5" customHeight="1">
      <c r="A9" s="141"/>
      <c r="B9" s="147"/>
      <c r="C9" s="24"/>
      <c r="D9" s="24"/>
      <c r="E9" s="24"/>
      <c r="F9" s="24"/>
      <c r="G9" s="24"/>
      <c r="H9" s="24"/>
      <c r="I9" s="141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56"/>
      <c r="AD9" s="148"/>
    </row>
    <row r="10" spans="1:30" s="63" customFormat="1" ht="24" customHeight="1">
      <c r="A10" s="160"/>
      <c r="B10" s="161"/>
      <c r="C10" s="149"/>
      <c r="D10" s="149"/>
      <c r="E10" s="149"/>
      <c r="F10" s="18" t="s">
        <v>41</v>
      </c>
      <c r="G10" s="149"/>
      <c r="H10" s="149"/>
      <c r="I10" s="160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62"/>
      <c r="AD10" s="163"/>
    </row>
    <row r="11" spans="1:30" s="8" customFormat="1" ht="16.5" customHeight="1">
      <c r="A11" s="141"/>
      <c r="B11" s="147"/>
      <c r="C11" s="24"/>
      <c r="D11" s="24"/>
      <c r="E11" s="24"/>
      <c r="F11" s="55"/>
      <c r="G11" s="24"/>
      <c r="H11" s="24"/>
      <c r="I11" s="141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56"/>
      <c r="AD11" s="148"/>
    </row>
    <row r="12" spans="1:30" s="63" customFormat="1" ht="24" customHeight="1">
      <c r="A12" s="160"/>
      <c r="B12" s="161"/>
      <c r="C12" s="149"/>
      <c r="D12" s="149"/>
      <c r="E12" s="149"/>
      <c r="F12" s="171" t="s">
        <v>42</v>
      </c>
      <c r="G12" s="18"/>
      <c r="H12" s="160"/>
      <c r="I12" s="160"/>
      <c r="J12" s="164"/>
      <c r="K12" s="149"/>
      <c r="L12" s="160"/>
      <c r="M12" s="160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62"/>
      <c r="AD12" s="163"/>
    </row>
    <row r="13" spans="1:30" s="8" customFormat="1" ht="16.5" customHeight="1">
      <c r="A13" s="141"/>
      <c r="B13" s="147"/>
      <c r="C13" s="24"/>
      <c r="D13" s="24"/>
      <c r="E13" s="24"/>
      <c r="F13" s="151"/>
      <c r="G13" s="151"/>
      <c r="H13" s="151"/>
      <c r="I13" s="152"/>
      <c r="J13" s="150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56"/>
      <c r="AD13" s="148"/>
    </row>
    <row r="14" spans="1:30" s="67" customFormat="1" ht="16.5" customHeight="1">
      <c r="A14" s="165"/>
      <c r="B14" s="167" t="str">
        <f>+'TOT-0515'!B14</f>
        <v>Desde el 01 al 31 de mayo de 2015</v>
      </c>
      <c r="C14" s="139"/>
      <c r="D14" s="139"/>
      <c r="E14" s="139"/>
      <c r="F14" s="139"/>
      <c r="G14" s="139"/>
      <c r="H14" s="139"/>
      <c r="I14" s="139"/>
      <c r="J14" s="139"/>
      <c r="K14" s="166"/>
      <c r="L14" s="16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69"/>
      <c r="AD14" s="170"/>
    </row>
    <row r="15" spans="1:30" s="8" customFormat="1" ht="16.5" customHeight="1" thickBot="1">
      <c r="A15" s="141"/>
      <c r="B15" s="147"/>
      <c r="C15" s="24"/>
      <c r="D15" s="24"/>
      <c r="E15" s="24"/>
      <c r="F15" s="24"/>
      <c r="G15" s="24"/>
      <c r="H15" s="24"/>
      <c r="I15" s="153"/>
      <c r="J15" s="24"/>
      <c r="K15" s="138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56"/>
      <c r="AD15" s="148"/>
    </row>
    <row r="16" spans="1:30" s="8" customFormat="1" ht="16.5" customHeight="1" thickBot="1" thickTop="1">
      <c r="A16" s="141"/>
      <c r="B16" s="147"/>
      <c r="C16" s="24"/>
      <c r="D16" s="24"/>
      <c r="E16" s="24"/>
      <c r="F16" s="172" t="s">
        <v>62</v>
      </c>
      <c r="G16" s="173"/>
      <c r="H16" s="174"/>
      <c r="I16" s="406">
        <v>1.147</v>
      </c>
      <c r="J16" s="141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56"/>
      <c r="AD16" s="148"/>
    </row>
    <row r="17" spans="1:30" s="8" customFormat="1" ht="16.5" customHeight="1" thickBot="1" thickTop="1">
      <c r="A17" s="141"/>
      <c r="B17" s="147"/>
      <c r="C17" s="24"/>
      <c r="D17" s="24"/>
      <c r="E17" s="24"/>
      <c r="F17" s="175" t="s">
        <v>43</v>
      </c>
      <c r="G17" s="176"/>
      <c r="H17" s="176"/>
      <c r="I17" s="177">
        <f>30*'TOT-0515'!B13</f>
        <v>30</v>
      </c>
      <c r="J17" s="24"/>
      <c r="K17" s="196" t="str">
        <f>IF(I17=30," ",IF(I17=60,"  Coeficiente duplicado por tasa de falla &gt;4 Sal. x año/100 km.","  REVISAR COEFICIENTE"))</f>
        <v> 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154"/>
      <c r="X17" s="154"/>
      <c r="Y17" s="154"/>
      <c r="Z17" s="154"/>
      <c r="AA17" s="154"/>
      <c r="AB17" s="154"/>
      <c r="AC17" s="56"/>
      <c r="AD17" s="148"/>
    </row>
    <row r="18" spans="1:30" s="8" customFormat="1" ht="16.5" customHeight="1" thickBot="1" thickTop="1">
      <c r="A18" s="141"/>
      <c r="B18" s="147"/>
      <c r="C18" s="428">
        <v>3</v>
      </c>
      <c r="D18" s="428">
        <v>4</v>
      </c>
      <c r="E18" s="428">
        <v>5</v>
      </c>
      <c r="F18" s="428">
        <v>6</v>
      </c>
      <c r="G18" s="428">
        <v>7</v>
      </c>
      <c r="H18" s="428">
        <v>8</v>
      </c>
      <c r="I18" s="428">
        <v>9</v>
      </c>
      <c r="J18" s="428">
        <v>10</v>
      </c>
      <c r="K18" s="428">
        <v>11</v>
      </c>
      <c r="L18" s="428">
        <v>12</v>
      </c>
      <c r="M18" s="428">
        <v>13</v>
      </c>
      <c r="N18" s="428">
        <v>14</v>
      </c>
      <c r="O18" s="428">
        <v>15</v>
      </c>
      <c r="P18" s="428">
        <v>16</v>
      </c>
      <c r="Q18" s="428">
        <v>17</v>
      </c>
      <c r="R18" s="428">
        <v>18</v>
      </c>
      <c r="S18" s="428">
        <v>19</v>
      </c>
      <c r="T18" s="428">
        <v>20</v>
      </c>
      <c r="U18" s="428">
        <v>21</v>
      </c>
      <c r="V18" s="428">
        <v>22</v>
      </c>
      <c r="W18" s="428">
        <v>23</v>
      </c>
      <c r="X18" s="428">
        <v>24</v>
      </c>
      <c r="Y18" s="428">
        <v>25</v>
      </c>
      <c r="Z18" s="428">
        <v>26</v>
      </c>
      <c r="AA18" s="428">
        <v>27</v>
      </c>
      <c r="AB18" s="428">
        <v>28</v>
      </c>
      <c r="AC18" s="428">
        <v>29</v>
      </c>
      <c r="AD18" s="148"/>
    </row>
    <row r="19" spans="1:30" s="323" customFormat="1" ht="33.75" customHeight="1" thickBot="1" thickTop="1">
      <c r="A19" s="320"/>
      <c r="B19" s="321"/>
      <c r="C19" s="133" t="s">
        <v>22</v>
      </c>
      <c r="D19" s="133" t="s">
        <v>66</v>
      </c>
      <c r="E19" s="133" t="s">
        <v>67</v>
      </c>
      <c r="F19" s="182" t="s">
        <v>44</v>
      </c>
      <c r="G19" s="178" t="s">
        <v>45</v>
      </c>
      <c r="H19" s="180" t="s">
        <v>46</v>
      </c>
      <c r="I19" s="181" t="s">
        <v>23</v>
      </c>
      <c r="J19" s="233" t="s">
        <v>25</v>
      </c>
      <c r="K19" s="178" t="s">
        <v>26</v>
      </c>
      <c r="L19" s="178" t="s">
        <v>27</v>
      </c>
      <c r="M19" s="182" t="s">
        <v>47</v>
      </c>
      <c r="N19" s="182" t="s">
        <v>48</v>
      </c>
      <c r="O19" s="136" t="s">
        <v>49</v>
      </c>
      <c r="P19" s="179" t="s">
        <v>50</v>
      </c>
      <c r="Q19" s="182" t="s">
        <v>31</v>
      </c>
      <c r="R19" s="178" t="s">
        <v>51</v>
      </c>
      <c r="S19" s="303" t="s">
        <v>52</v>
      </c>
      <c r="T19" s="308" t="s">
        <v>53</v>
      </c>
      <c r="U19" s="314" t="s">
        <v>33</v>
      </c>
      <c r="V19" s="324" t="s">
        <v>54</v>
      </c>
      <c r="W19" s="325"/>
      <c r="X19" s="333" t="s">
        <v>55</v>
      </c>
      <c r="Y19" s="353"/>
      <c r="Z19" s="343" t="s">
        <v>36</v>
      </c>
      <c r="AA19" s="344" t="s">
        <v>37</v>
      </c>
      <c r="AB19" s="231" t="s">
        <v>38</v>
      </c>
      <c r="AC19" s="183" t="s">
        <v>39</v>
      </c>
      <c r="AD19" s="322"/>
    </row>
    <row r="20" spans="1:30" s="8" customFormat="1" ht="16.5" customHeight="1" thickTop="1">
      <c r="A20" s="141"/>
      <c r="B20" s="147"/>
      <c r="C20" s="49"/>
      <c r="D20" s="49"/>
      <c r="E20" s="49"/>
      <c r="F20" s="414"/>
      <c r="G20" s="415"/>
      <c r="H20" s="415"/>
      <c r="I20" s="415"/>
      <c r="J20" s="242"/>
      <c r="K20" s="414"/>
      <c r="L20" s="415"/>
      <c r="M20" s="20"/>
      <c r="N20" s="20"/>
      <c r="O20" s="415"/>
      <c r="P20" s="19"/>
      <c r="Q20" s="415"/>
      <c r="R20" s="415"/>
      <c r="S20" s="304"/>
      <c r="T20" s="309"/>
      <c r="U20" s="315"/>
      <c r="V20" s="326"/>
      <c r="W20" s="327"/>
      <c r="X20" s="334"/>
      <c r="Y20" s="335"/>
      <c r="Z20" s="349"/>
      <c r="AA20" s="345"/>
      <c r="AB20" s="19"/>
      <c r="AC20" s="400">
        <f>'T-05 (1)'!AC38</f>
        <v>15695.35</v>
      </c>
      <c r="AD20" s="148"/>
    </row>
    <row r="21" spans="1:30" s="8" customFormat="1" ht="16.5" customHeight="1">
      <c r="A21" s="141"/>
      <c r="B21" s="147"/>
      <c r="C21" s="49"/>
      <c r="D21" s="49"/>
      <c r="E21" s="49"/>
      <c r="F21" s="416"/>
      <c r="G21" s="416"/>
      <c r="H21" s="416"/>
      <c r="I21" s="416"/>
      <c r="J21" s="243"/>
      <c r="K21" s="418"/>
      <c r="L21" s="416"/>
      <c r="M21" s="16"/>
      <c r="N21" s="16"/>
      <c r="O21" s="416"/>
      <c r="P21" s="15"/>
      <c r="Q21" s="416"/>
      <c r="R21" s="416"/>
      <c r="S21" s="305"/>
      <c r="T21" s="310"/>
      <c r="U21" s="316"/>
      <c r="V21" s="328"/>
      <c r="W21" s="329"/>
      <c r="X21" s="336"/>
      <c r="Y21" s="337"/>
      <c r="Z21" s="350"/>
      <c r="AA21" s="346"/>
      <c r="AB21" s="15"/>
      <c r="AC21" s="184"/>
      <c r="AD21" s="148"/>
    </row>
    <row r="22" spans="1:30" s="8" customFormat="1" ht="16.5" customHeight="1">
      <c r="A22" s="141"/>
      <c r="B22" s="147"/>
      <c r="C22" s="49">
        <v>30</v>
      </c>
      <c r="D22" s="49">
        <v>288665</v>
      </c>
      <c r="E22" s="49">
        <v>765</v>
      </c>
      <c r="F22" s="40" t="s">
        <v>101</v>
      </c>
      <c r="G22" s="39" t="s">
        <v>92</v>
      </c>
      <c r="H22" s="53">
        <v>15</v>
      </c>
      <c r="I22" s="246" t="s">
        <v>65</v>
      </c>
      <c r="J22" s="244">
        <f aca="true" t="shared" si="0" ref="J22:J29">H22*$I$16</f>
        <v>17.205000000000002</v>
      </c>
      <c r="K22" s="51">
        <v>42143.82152777778</v>
      </c>
      <c r="L22" s="51">
        <v>42143.85</v>
      </c>
      <c r="M22" s="21">
        <f aca="true" t="shared" si="1" ref="M22:M29">IF(F22="","",(L22-K22)*24)</f>
        <v>0.6833333332906477</v>
      </c>
      <c r="N22" s="22">
        <f aca="true" t="shared" si="2" ref="N22:N29">IF(F22="","",ROUND((L22-K22)*24*60,0))</f>
        <v>41</v>
      </c>
      <c r="O22" s="52" t="s">
        <v>77</v>
      </c>
      <c r="P22" s="52" t="str">
        <f aca="true" t="shared" si="3" ref="P22:P31">IF(F22="","",IF(OR(O22="P",O22="RP"),"--","NO"))</f>
        <v>NO</v>
      </c>
      <c r="Q22" s="52" t="s">
        <v>91</v>
      </c>
      <c r="R22" s="52" t="s">
        <v>73</v>
      </c>
      <c r="S22" s="306">
        <f aca="true" t="shared" si="4" ref="S22:S29">$I$17*IF(OR(O22="P",O22="RP"),0.1,1)*IF(R22="SI",1,0.1)</f>
        <v>30</v>
      </c>
      <c r="T22" s="311" t="str">
        <f aca="true" t="shared" si="5" ref="T22:T29">IF(O22="P",J22*S22*ROUND(N22/60,2),"--")</f>
        <v>--</v>
      </c>
      <c r="U22" s="317" t="str">
        <f aca="true" t="shared" si="6" ref="U22:U29">IF(O22="RP",J22*S22*ROUND(N22/60,2)*Q22/100,"--")</f>
        <v>--</v>
      </c>
      <c r="V22" s="330">
        <f aca="true" t="shared" si="7" ref="V22:V29">IF(AND(O22="F",P22="NO"),J22*S22,"--")</f>
        <v>516.1500000000001</v>
      </c>
      <c r="W22" s="331">
        <f aca="true" t="shared" si="8" ref="W22:W29">IF(O22="F",J22*S22*ROUND(N22/60,2),"--")</f>
        <v>350.9820000000001</v>
      </c>
      <c r="X22" s="338" t="str">
        <f aca="true" t="shared" si="9" ref="X22:X29">IF(AND(O22="R",P22="NO"),J22*S22*Q22/100,"--")</f>
        <v>--</v>
      </c>
      <c r="Y22" s="339" t="str">
        <f aca="true" t="shared" si="10" ref="Y22:Y29">IF(O22="R",J22*S22*ROUND(N22/60,2)*Q22/100,"--")</f>
        <v>--</v>
      </c>
      <c r="Z22" s="351" t="str">
        <f aca="true" t="shared" si="11" ref="Z22:Z29">IF(O22="RF",J22*S22*ROUND(N22/60,2),"--")</f>
        <v>--</v>
      </c>
      <c r="AA22" s="347" t="str">
        <f aca="true" t="shared" si="12" ref="AA22:AA29">IF(O22="RR",J22*S22*ROUND(N22/60,2)*Q22/100,"--")</f>
        <v>--</v>
      </c>
      <c r="AB22" s="52" t="s">
        <v>73</v>
      </c>
      <c r="AC22" s="26">
        <f aca="true" t="shared" si="13" ref="AC22:AC31">IF(F22="","",SUM(T22:AA22)*IF(AB22="SI",1,2))</f>
        <v>867.1320000000002</v>
      </c>
      <c r="AD22" s="398"/>
    </row>
    <row r="23" spans="1:30" s="8" customFormat="1" ht="16.5" customHeight="1">
      <c r="A23" s="141"/>
      <c r="B23" s="147"/>
      <c r="C23" s="49">
        <v>31</v>
      </c>
      <c r="D23" s="49" t="s">
        <v>115</v>
      </c>
      <c r="E23" s="49">
        <v>765</v>
      </c>
      <c r="F23" s="40" t="s">
        <v>101</v>
      </c>
      <c r="G23" s="39" t="s">
        <v>92</v>
      </c>
      <c r="H23" s="53">
        <v>15</v>
      </c>
      <c r="I23" s="246" t="s">
        <v>65</v>
      </c>
      <c r="J23" s="244">
        <f t="shared" si="0"/>
        <v>17.205000000000002</v>
      </c>
      <c r="K23" s="51">
        <v>42143.85</v>
      </c>
      <c r="L23" s="51">
        <v>42155.99930555555</v>
      </c>
      <c r="M23" s="21">
        <f>IF(F23="","",(L23-K23)*24)</f>
        <v>291.58333333331393</v>
      </c>
      <c r="N23" s="22">
        <f>IF(F23="","",ROUND((L23-K23)*24*60,0))</f>
        <v>17495</v>
      </c>
      <c r="O23" s="52" t="s">
        <v>77</v>
      </c>
      <c r="P23" s="52" t="str">
        <f t="shared" si="3"/>
        <v>NO</v>
      </c>
      <c r="Q23" s="52" t="s">
        <v>91</v>
      </c>
      <c r="R23" s="52" t="s">
        <v>114</v>
      </c>
      <c r="S23" s="306">
        <f t="shared" si="4"/>
        <v>3</v>
      </c>
      <c r="T23" s="311" t="str">
        <f>IF(O23="P",J23*S23*ROUND(N23/60,2),"--")</f>
        <v>--</v>
      </c>
      <c r="U23" s="317" t="str">
        <f>IF(O23="RP",J23*S23*ROUND(N23/60,2)*Q23/100,"--")</f>
        <v>--</v>
      </c>
      <c r="V23" s="330">
        <f>IF(AND(O23="F",P23="NO"),J23*S23,"--")</f>
        <v>51.61500000000001</v>
      </c>
      <c r="W23" s="331">
        <f>IF(O23="F",J23*S23*ROUND(N23/60,2),"--")</f>
        <v>15049.901700000002</v>
      </c>
      <c r="X23" s="338" t="str">
        <f>IF(AND(O23="R",P23="NO"),J23*S23*Q23/100,"--")</f>
        <v>--</v>
      </c>
      <c r="Y23" s="339" t="str">
        <f>IF(O23="R",J23*S23*ROUND(N23/60,2)*Q23/100,"--")</f>
        <v>--</v>
      </c>
      <c r="Z23" s="351" t="str">
        <f>IF(O23="RF",J23*S23*ROUND(N23/60,2),"--")</f>
        <v>--</v>
      </c>
      <c r="AA23" s="347" t="str">
        <f>IF(O23="RR",J23*S23*ROUND(N23/60,2)*Q23/100,"--")</f>
        <v>--</v>
      </c>
      <c r="AB23" s="52" t="s">
        <v>73</v>
      </c>
      <c r="AC23" s="26">
        <f>IF(F23="","",SUM(T23:AA23)*IF(AB23="SI",1,2))</f>
        <v>15101.516700000002</v>
      </c>
      <c r="AD23" s="398"/>
    </row>
    <row r="24" spans="1:30" s="8" customFormat="1" ht="16.5" customHeight="1">
      <c r="A24" s="141"/>
      <c r="B24" s="147"/>
      <c r="C24" s="49">
        <v>32</v>
      </c>
      <c r="D24" s="49">
        <v>288699</v>
      </c>
      <c r="E24" s="49">
        <v>754</v>
      </c>
      <c r="F24" s="40" t="s">
        <v>83</v>
      </c>
      <c r="G24" s="39" t="s">
        <v>97</v>
      </c>
      <c r="H24" s="53">
        <v>20</v>
      </c>
      <c r="I24" s="246" t="s">
        <v>103</v>
      </c>
      <c r="J24" s="244">
        <f t="shared" si="0"/>
        <v>22.94</v>
      </c>
      <c r="K24" s="51">
        <v>42147.09722222222</v>
      </c>
      <c r="L24" s="51">
        <v>42147.13958333333</v>
      </c>
      <c r="M24" s="21">
        <f t="shared" si="1"/>
        <v>1.0166666666627862</v>
      </c>
      <c r="N24" s="22">
        <f t="shared" si="2"/>
        <v>61</v>
      </c>
      <c r="O24" s="52" t="s">
        <v>77</v>
      </c>
      <c r="P24" s="52" t="str">
        <f t="shared" si="3"/>
        <v>NO</v>
      </c>
      <c r="Q24" s="52" t="s">
        <v>91</v>
      </c>
      <c r="R24" s="52" t="s">
        <v>73</v>
      </c>
      <c r="S24" s="306">
        <f t="shared" si="4"/>
        <v>30</v>
      </c>
      <c r="T24" s="311" t="str">
        <f t="shared" si="5"/>
        <v>--</v>
      </c>
      <c r="U24" s="317" t="str">
        <f t="shared" si="6"/>
        <v>--</v>
      </c>
      <c r="V24" s="330">
        <f t="shared" si="7"/>
        <v>688.2</v>
      </c>
      <c r="W24" s="331">
        <f t="shared" si="8"/>
        <v>701.964</v>
      </c>
      <c r="X24" s="338" t="str">
        <f t="shared" si="9"/>
        <v>--</v>
      </c>
      <c r="Y24" s="339" t="str">
        <f t="shared" si="10"/>
        <v>--</v>
      </c>
      <c r="Z24" s="351" t="str">
        <f t="shared" si="11"/>
        <v>--</v>
      </c>
      <c r="AA24" s="347" t="str">
        <f t="shared" si="12"/>
        <v>--</v>
      </c>
      <c r="AB24" s="52" t="s">
        <v>73</v>
      </c>
      <c r="AC24" s="26">
        <f t="shared" si="13"/>
        <v>1390.1640000000002</v>
      </c>
      <c r="AD24" s="398"/>
    </row>
    <row r="25" spans="1:30" s="8" customFormat="1" ht="16.5" customHeight="1">
      <c r="A25" s="141"/>
      <c r="B25" s="147"/>
      <c r="C25" s="49">
        <v>33</v>
      </c>
      <c r="D25" s="49">
        <v>288700</v>
      </c>
      <c r="E25" s="49">
        <v>774</v>
      </c>
      <c r="F25" s="40" t="s">
        <v>83</v>
      </c>
      <c r="G25" s="39" t="s">
        <v>92</v>
      </c>
      <c r="H25" s="53">
        <v>20</v>
      </c>
      <c r="I25" s="246" t="s">
        <v>103</v>
      </c>
      <c r="J25" s="244">
        <f t="shared" si="0"/>
        <v>22.94</v>
      </c>
      <c r="K25" s="51">
        <v>42147.09722222222</v>
      </c>
      <c r="L25" s="51">
        <v>42147.13958333333</v>
      </c>
      <c r="M25" s="21">
        <f t="shared" si="1"/>
        <v>1.0166666666627862</v>
      </c>
      <c r="N25" s="22">
        <f t="shared" si="2"/>
        <v>61</v>
      </c>
      <c r="O25" s="52" t="s">
        <v>77</v>
      </c>
      <c r="P25" s="52" t="str">
        <f t="shared" si="3"/>
        <v>NO</v>
      </c>
      <c r="Q25" s="52" t="s">
        <v>91</v>
      </c>
      <c r="R25" s="52" t="s">
        <v>73</v>
      </c>
      <c r="S25" s="306">
        <f t="shared" si="4"/>
        <v>30</v>
      </c>
      <c r="T25" s="311" t="str">
        <f t="shared" si="5"/>
        <v>--</v>
      </c>
      <c r="U25" s="317" t="str">
        <f t="shared" si="6"/>
        <v>--</v>
      </c>
      <c r="V25" s="330">
        <f t="shared" si="7"/>
        <v>688.2</v>
      </c>
      <c r="W25" s="331">
        <f t="shared" si="8"/>
        <v>701.964</v>
      </c>
      <c r="X25" s="338" t="str">
        <f t="shared" si="9"/>
        <v>--</v>
      </c>
      <c r="Y25" s="339" t="str">
        <f t="shared" si="10"/>
        <v>--</v>
      </c>
      <c r="Z25" s="351" t="str">
        <f t="shared" si="11"/>
        <v>--</v>
      </c>
      <c r="AA25" s="347" t="str">
        <f t="shared" si="12"/>
        <v>--</v>
      </c>
      <c r="AB25" s="52" t="s">
        <v>73</v>
      </c>
      <c r="AC25" s="26">
        <f t="shared" si="13"/>
        <v>1390.1640000000002</v>
      </c>
      <c r="AD25" s="398"/>
    </row>
    <row r="26" spans="1:30" s="8" customFormat="1" ht="16.5" customHeight="1">
      <c r="A26" s="141"/>
      <c r="B26" s="147"/>
      <c r="C26" s="49">
        <v>34</v>
      </c>
      <c r="D26" s="49" t="s">
        <v>116</v>
      </c>
      <c r="E26" s="49">
        <v>774</v>
      </c>
      <c r="F26" s="40" t="s">
        <v>83</v>
      </c>
      <c r="G26" s="39" t="s">
        <v>92</v>
      </c>
      <c r="H26" s="53">
        <v>20</v>
      </c>
      <c r="I26" s="246" t="s">
        <v>103</v>
      </c>
      <c r="J26" s="244">
        <f t="shared" si="0"/>
        <v>22.94</v>
      </c>
      <c r="K26" s="51">
        <v>42147.13958333333</v>
      </c>
      <c r="L26" s="51">
        <v>42147.510416666664</v>
      </c>
      <c r="M26" s="21">
        <f>IF(F26="","",(L26-K26)*24)</f>
        <v>8.900000000023283</v>
      </c>
      <c r="N26" s="22">
        <f>IF(F26="","",ROUND((L26-K26)*24*60,0))</f>
        <v>534</v>
      </c>
      <c r="O26" s="52" t="s">
        <v>77</v>
      </c>
      <c r="P26" s="52" t="str">
        <f t="shared" si="3"/>
        <v>NO</v>
      </c>
      <c r="Q26" s="52" t="s">
        <v>91</v>
      </c>
      <c r="R26" s="52" t="s">
        <v>114</v>
      </c>
      <c r="S26" s="306">
        <f t="shared" si="4"/>
        <v>3</v>
      </c>
      <c r="T26" s="311" t="str">
        <f t="shared" si="5"/>
        <v>--</v>
      </c>
      <c r="U26" s="317" t="str">
        <f t="shared" si="6"/>
        <v>--</v>
      </c>
      <c r="V26" s="330">
        <f t="shared" si="7"/>
        <v>68.82000000000001</v>
      </c>
      <c r="W26" s="331">
        <f t="shared" si="8"/>
        <v>612.498</v>
      </c>
      <c r="X26" s="338" t="str">
        <f t="shared" si="9"/>
        <v>--</v>
      </c>
      <c r="Y26" s="339" t="str">
        <f t="shared" si="10"/>
        <v>--</v>
      </c>
      <c r="Z26" s="351" t="str">
        <f t="shared" si="11"/>
        <v>--</v>
      </c>
      <c r="AA26" s="347" t="str">
        <f t="shared" si="12"/>
        <v>--</v>
      </c>
      <c r="AB26" s="52" t="s">
        <v>73</v>
      </c>
      <c r="AC26" s="26">
        <f>IF(F26="","",SUM(T26:AA26)*IF(AB26="SI",1,2))</f>
        <v>681.3180000000001</v>
      </c>
      <c r="AD26" s="398"/>
    </row>
    <row r="27" spans="1:30" s="8" customFormat="1" ht="16.5" customHeight="1">
      <c r="A27" s="141"/>
      <c r="B27" s="147"/>
      <c r="C27" s="49">
        <v>35</v>
      </c>
      <c r="D27" s="49">
        <v>288708</v>
      </c>
      <c r="E27" s="49">
        <v>773</v>
      </c>
      <c r="F27" s="40" t="s">
        <v>98</v>
      </c>
      <c r="G27" s="39" t="s">
        <v>94</v>
      </c>
      <c r="H27" s="53">
        <v>30</v>
      </c>
      <c r="I27" s="246" t="s">
        <v>65</v>
      </c>
      <c r="J27" s="244">
        <f t="shared" si="0"/>
        <v>34.410000000000004</v>
      </c>
      <c r="K27" s="51">
        <v>42147.64722222222</v>
      </c>
      <c r="L27" s="51">
        <v>42147.77847222222</v>
      </c>
      <c r="M27" s="21">
        <f t="shared" si="1"/>
        <v>3.1499999999650754</v>
      </c>
      <c r="N27" s="22">
        <f t="shared" si="2"/>
        <v>189</v>
      </c>
      <c r="O27" s="52" t="s">
        <v>77</v>
      </c>
      <c r="P27" s="52" t="str">
        <f t="shared" si="3"/>
        <v>NO</v>
      </c>
      <c r="Q27" s="52" t="s">
        <v>91</v>
      </c>
      <c r="R27" s="52" t="str">
        <f>IF(F27="","","NO")</f>
        <v>NO</v>
      </c>
      <c r="S27" s="306">
        <f t="shared" si="4"/>
        <v>3</v>
      </c>
      <c r="T27" s="311" t="str">
        <f t="shared" si="5"/>
        <v>--</v>
      </c>
      <c r="U27" s="317" t="str">
        <f t="shared" si="6"/>
        <v>--</v>
      </c>
      <c r="V27" s="330">
        <f t="shared" si="7"/>
        <v>103.23000000000002</v>
      </c>
      <c r="W27" s="331">
        <f t="shared" si="8"/>
        <v>325.1745</v>
      </c>
      <c r="X27" s="338" t="str">
        <f t="shared" si="9"/>
        <v>--</v>
      </c>
      <c r="Y27" s="339" t="str">
        <f t="shared" si="10"/>
        <v>--</v>
      </c>
      <c r="Z27" s="351" t="str">
        <f t="shared" si="11"/>
        <v>--</v>
      </c>
      <c r="AA27" s="347" t="str">
        <f t="shared" si="12"/>
        <v>--</v>
      </c>
      <c r="AB27" s="52" t="s">
        <v>73</v>
      </c>
      <c r="AC27" s="26">
        <f t="shared" si="13"/>
        <v>428.40450000000004</v>
      </c>
      <c r="AD27" s="398"/>
    </row>
    <row r="28" spans="1:30" s="8" customFormat="1" ht="16.5" customHeight="1">
      <c r="A28" s="141"/>
      <c r="B28" s="147"/>
      <c r="C28" s="49">
        <v>36</v>
      </c>
      <c r="D28" s="49">
        <v>288709</v>
      </c>
      <c r="E28" s="49">
        <v>4719</v>
      </c>
      <c r="F28" s="40" t="s">
        <v>98</v>
      </c>
      <c r="G28" s="39" t="s">
        <v>100</v>
      </c>
      <c r="H28" s="53">
        <v>30</v>
      </c>
      <c r="I28" s="246" t="s">
        <v>65</v>
      </c>
      <c r="J28" s="244">
        <f t="shared" si="0"/>
        <v>34.410000000000004</v>
      </c>
      <c r="K28" s="51">
        <v>42147.64722222222</v>
      </c>
      <c r="L28" s="51">
        <v>42147.77847222222</v>
      </c>
      <c r="M28" s="21">
        <f t="shared" si="1"/>
        <v>3.1499999999650754</v>
      </c>
      <c r="N28" s="22">
        <f t="shared" si="2"/>
        <v>189</v>
      </c>
      <c r="O28" s="52" t="s">
        <v>77</v>
      </c>
      <c r="P28" s="52" t="str">
        <f t="shared" si="3"/>
        <v>NO</v>
      </c>
      <c r="Q28" s="52" t="s">
        <v>91</v>
      </c>
      <c r="R28" s="52" t="str">
        <f>IF(F28="","","NO")</f>
        <v>NO</v>
      </c>
      <c r="S28" s="306">
        <f t="shared" si="4"/>
        <v>3</v>
      </c>
      <c r="T28" s="311" t="str">
        <f t="shared" si="5"/>
        <v>--</v>
      </c>
      <c r="U28" s="317" t="str">
        <f t="shared" si="6"/>
        <v>--</v>
      </c>
      <c r="V28" s="330">
        <f t="shared" si="7"/>
        <v>103.23000000000002</v>
      </c>
      <c r="W28" s="331">
        <f t="shared" si="8"/>
        <v>325.1745</v>
      </c>
      <c r="X28" s="338" t="str">
        <f t="shared" si="9"/>
        <v>--</v>
      </c>
      <c r="Y28" s="339" t="str">
        <f t="shared" si="10"/>
        <v>--</v>
      </c>
      <c r="Z28" s="351" t="str">
        <f t="shared" si="11"/>
        <v>--</v>
      </c>
      <c r="AA28" s="347" t="str">
        <f t="shared" si="12"/>
        <v>--</v>
      </c>
      <c r="AB28" s="52" t="s">
        <v>73</v>
      </c>
      <c r="AC28" s="26">
        <f t="shared" si="13"/>
        <v>428.40450000000004</v>
      </c>
      <c r="AD28" s="398"/>
    </row>
    <row r="29" spans="1:30" s="8" customFormat="1" ht="16.5" customHeight="1">
      <c r="A29" s="141"/>
      <c r="B29" s="147"/>
      <c r="C29" s="49">
        <v>37</v>
      </c>
      <c r="D29" s="49">
        <v>288712</v>
      </c>
      <c r="E29" s="49">
        <v>769</v>
      </c>
      <c r="F29" s="40" t="s">
        <v>89</v>
      </c>
      <c r="G29" s="39" t="s">
        <v>90</v>
      </c>
      <c r="H29" s="53">
        <v>15</v>
      </c>
      <c r="I29" s="246" t="s">
        <v>65</v>
      </c>
      <c r="J29" s="244">
        <f t="shared" si="0"/>
        <v>17.205000000000002</v>
      </c>
      <c r="K29" s="51">
        <v>42147.82013888889</v>
      </c>
      <c r="L29" s="51">
        <v>42147.8375</v>
      </c>
      <c r="M29" s="21">
        <f t="shared" si="1"/>
        <v>0.41666666662786156</v>
      </c>
      <c r="N29" s="22">
        <f t="shared" si="2"/>
        <v>25</v>
      </c>
      <c r="O29" s="52" t="s">
        <v>77</v>
      </c>
      <c r="P29" s="52" t="str">
        <f t="shared" si="3"/>
        <v>NO</v>
      </c>
      <c r="Q29" s="52" t="s">
        <v>91</v>
      </c>
      <c r="R29" s="52" t="s">
        <v>73</v>
      </c>
      <c r="S29" s="306">
        <f t="shared" si="4"/>
        <v>30</v>
      </c>
      <c r="T29" s="311" t="str">
        <f t="shared" si="5"/>
        <v>--</v>
      </c>
      <c r="U29" s="317" t="str">
        <f t="shared" si="6"/>
        <v>--</v>
      </c>
      <c r="V29" s="330">
        <f t="shared" si="7"/>
        <v>516.1500000000001</v>
      </c>
      <c r="W29" s="331">
        <f t="shared" si="8"/>
        <v>216.78300000000004</v>
      </c>
      <c r="X29" s="338" t="str">
        <f t="shared" si="9"/>
        <v>--</v>
      </c>
      <c r="Y29" s="339" t="str">
        <f t="shared" si="10"/>
        <v>--</v>
      </c>
      <c r="Z29" s="351" t="str">
        <f t="shared" si="11"/>
        <v>--</v>
      </c>
      <c r="AA29" s="347" t="str">
        <f t="shared" si="12"/>
        <v>--</v>
      </c>
      <c r="AB29" s="52" t="s">
        <v>73</v>
      </c>
      <c r="AC29" s="26">
        <f t="shared" si="13"/>
        <v>732.9330000000001</v>
      </c>
      <c r="AD29" s="398"/>
    </row>
    <row r="30" spans="1:30" s="8" customFormat="1" ht="16.5" customHeight="1">
      <c r="A30" s="141"/>
      <c r="B30" s="147"/>
      <c r="C30" s="49">
        <v>38</v>
      </c>
      <c r="D30" s="49">
        <v>288742</v>
      </c>
      <c r="E30" s="49">
        <v>773</v>
      </c>
      <c r="F30" s="40" t="s">
        <v>98</v>
      </c>
      <c r="G30" s="39" t="s">
        <v>94</v>
      </c>
      <c r="H30" s="53">
        <v>30</v>
      </c>
      <c r="I30" s="246" t="s">
        <v>65</v>
      </c>
      <c r="J30" s="244">
        <f>H30*$I$16</f>
        <v>34.410000000000004</v>
      </c>
      <c r="K30" s="51">
        <v>42148.018055555556</v>
      </c>
      <c r="L30" s="51">
        <v>42148.035416666666</v>
      </c>
      <c r="M30" s="21">
        <f>IF(F30="","",(L30-K30)*24)</f>
        <v>0.41666666662786156</v>
      </c>
      <c r="N30" s="22">
        <f>IF(F30="","",ROUND((L30-K30)*24*60,0))</f>
        <v>25</v>
      </c>
      <c r="O30" s="52" t="s">
        <v>77</v>
      </c>
      <c r="P30" s="52" t="str">
        <f t="shared" si="3"/>
        <v>NO</v>
      </c>
      <c r="Q30" s="52" t="s">
        <v>91</v>
      </c>
      <c r="R30" s="52" t="str">
        <f>IF(F30="","","NO")</f>
        <v>NO</v>
      </c>
      <c r="S30" s="306">
        <f>$I$17*IF(OR(O30="P",O30="RP"),0.1,1)*IF(R30="SI",1,0.1)</f>
        <v>3</v>
      </c>
      <c r="T30" s="311" t="str">
        <f>IF(O30="P",J30*S30*ROUND(N30/60,2),"--")</f>
        <v>--</v>
      </c>
      <c r="U30" s="317" t="str">
        <f>IF(O30="RP",J30*S30*ROUND(N30/60,2)*Q30/100,"--")</f>
        <v>--</v>
      </c>
      <c r="V30" s="330">
        <f>IF(AND(O30="F",P30="NO"),J30*S30,"--")</f>
        <v>103.23000000000002</v>
      </c>
      <c r="W30" s="331">
        <f>IF(O30="F",J30*S30*ROUND(N30/60,2),"--")</f>
        <v>43.35660000000001</v>
      </c>
      <c r="X30" s="338" t="str">
        <f>IF(AND(O30="R",P30="NO"),J30*S30*Q30/100,"--")</f>
        <v>--</v>
      </c>
      <c r="Y30" s="339" t="str">
        <f>IF(O30="R",J30*S30*ROUND(N30/60,2)*Q30/100,"--")</f>
        <v>--</v>
      </c>
      <c r="Z30" s="351" t="str">
        <f>IF(O30="RF",J30*S30*ROUND(N30/60,2),"--")</f>
        <v>--</v>
      </c>
      <c r="AA30" s="347" t="str">
        <f>IF(O30="RR",J30*S30*ROUND(N30/60,2)*Q30/100,"--")</f>
        <v>--</v>
      </c>
      <c r="AB30" s="52" t="s">
        <v>73</v>
      </c>
      <c r="AC30" s="26">
        <f t="shared" si="13"/>
        <v>146.58660000000003</v>
      </c>
      <c r="AD30" s="148"/>
    </row>
    <row r="31" spans="1:30" s="8" customFormat="1" ht="16.5" customHeight="1">
      <c r="A31" s="141"/>
      <c r="B31" s="147"/>
      <c r="C31" s="49">
        <v>39</v>
      </c>
      <c r="D31" s="49">
        <v>288743</v>
      </c>
      <c r="E31" s="49">
        <v>4719</v>
      </c>
      <c r="F31" s="40" t="s">
        <v>98</v>
      </c>
      <c r="G31" s="39" t="s">
        <v>100</v>
      </c>
      <c r="H31" s="53">
        <v>30</v>
      </c>
      <c r="I31" s="246" t="s">
        <v>65</v>
      </c>
      <c r="J31" s="244">
        <f>H31*$I$16</f>
        <v>34.410000000000004</v>
      </c>
      <c r="K31" s="51">
        <v>42148.018055555556</v>
      </c>
      <c r="L31" s="51">
        <v>42148.035416666666</v>
      </c>
      <c r="M31" s="21">
        <f>IF(F31="","",(L31-K31)*24)</f>
        <v>0.41666666662786156</v>
      </c>
      <c r="N31" s="22">
        <f>IF(F31="","",ROUND((L31-K31)*24*60,0))</f>
        <v>25</v>
      </c>
      <c r="O31" s="52" t="s">
        <v>77</v>
      </c>
      <c r="P31" s="52" t="str">
        <f t="shared" si="3"/>
        <v>NO</v>
      </c>
      <c r="Q31" s="52" t="s">
        <v>91</v>
      </c>
      <c r="R31" s="52" t="str">
        <f>IF(F31="","","NO")</f>
        <v>NO</v>
      </c>
      <c r="S31" s="306">
        <f>$I$17*IF(OR(O31="P",O31="RP"),0.1,1)*IF(R31="SI",1,0.1)</f>
        <v>3</v>
      </c>
      <c r="T31" s="311" t="str">
        <f>IF(O31="P",J31*S31*ROUND(N31/60,2),"--")</f>
        <v>--</v>
      </c>
      <c r="U31" s="317" t="str">
        <f>IF(O31="RP",J31*S31*ROUND(N31/60,2)*Q31/100,"--")</f>
        <v>--</v>
      </c>
      <c r="V31" s="330">
        <f>IF(AND(O31="F",P31="NO"),J31*S31,"--")</f>
        <v>103.23000000000002</v>
      </c>
      <c r="W31" s="331">
        <f>IF(O31="F",J31*S31*ROUND(N31/60,2),"--")</f>
        <v>43.35660000000001</v>
      </c>
      <c r="X31" s="338" t="str">
        <f>IF(AND(O31="R",P31="NO"),J31*S31*Q31/100,"--")</f>
        <v>--</v>
      </c>
      <c r="Y31" s="339" t="str">
        <f>IF(O31="R",J31*S31*ROUND(N31/60,2)*Q31/100,"--")</f>
        <v>--</v>
      </c>
      <c r="Z31" s="351" t="str">
        <f>IF(O31="RF",J31*S31*ROUND(N31/60,2),"--")</f>
        <v>--</v>
      </c>
      <c r="AA31" s="347" t="str">
        <f>IF(O31="RR",J31*S31*ROUND(N31/60,2)*Q31/100,"--")</f>
        <v>--</v>
      </c>
      <c r="AB31" s="52" t="s">
        <v>73</v>
      </c>
      <c r="AC31" s="26">
        <f t="shared" si="13"/>
        <v>146.58660000000003</v>
      </c>
      <c r="AD31" s="148"/>
    </row>
    <row r="32" spans="1:30" s="8" customFormat="1" ht="16.5" customHeight="1">
      <c r="A32" s="141"/>
      <c r="B32" s="147"/>
      <c r="C32" s="447"/>
      <c r="D32" s="447"/>
      <c r="E32" s="447"/>
      <c r="F32" s="40"/>
      <c r="G32" s="40"/>
      <c r="H32" s="53"/>
      <c r="I32" s="246"/>
      <c r="J32" s="448"/>
      <c r="K32" s="424"/>
      <c r="L32" s="424"/>
      <c r="M32" s="364"/>
      <c r="N32" s="449"/>
      <c r="O32" s="366"/>
      <c r="P32" s="366"/>
      <c r="Q32" s="366"/>
      <c r="R32" s="366"/>
      <c r="S32" s="450"/>
      <c r="T32" s="451"/>
      <c r="U32" s="452"/>
      <c r="V32" s="453"/>
      <c r="W32" s="454"/>
      <c r="X32" s="338"/>
      <c r="Y32" s="339"/>
      <c r="Z32" s="455"/>
      <c r="AA32" s="456"/>
      <c r="AB32" s="366"/>
      <c r="AC32" s="368"/>
      <c r="AD32" s="148"/>
    </row>
    <row r="33" spans="1:30" s="8" customFormat="1" ht="16.5" customHeight="1">
      <c r="A33" s="141"/>
      <c r="B33" s="147"/>
      <c r="C33" s="447"/>
      <c r="D33" s="447"/>
      <c r="E33" s="447"/>
      <c r="F33" s="40"/>
      <c r="G33" s="40"/>
      <c r="H33" s="53"/>
      <c r="I33" s="246"/>
      <c r="J33" s="448"/>
      <c r="K33" s="424"/>
      <c r="L33" s="424"/>
      <c r="M33" s="364"/>
      <c r="N33" s="449"/>
      <c r="O33" s="366"/>
      <c r="P33" s="366"/>
      <c r="Q33" s="366"/>
      <c r="R33" s="366"/>
      <c r="S33" s="450"/>
      <c r="T33" s="451"/>
      <c r="U33" s="452"/>
      <c r="V33" s="453"/>
      <c r="W33" s="454"/>
      <c r="X33" s="338"/>
      <c r="Y33" s="339"/>
      <c r="Z33" s="455"/>
      <c r="AA33" s="456"/>
      <c r="AB33" s="366"/>
      <c r="AC33" s="368"/>
      <c r="AD33" s="148"/>
    </row>
    <row r="34" spans="1:30" s="8" customFormat="1" ht="16.5" customHeight="1">
      <c r="A34" s="141"/>
      <c r="B34" s="147"/>
      <c r="C34" s="447"/>
      <c r="D34" s="447"/>
      <c r="E34" s="447"/>
      <c r="F34" s="40"/>
      <c r="G34" s="40"/>
      <c r="H34" s="53"/>
      <c r="I34" s="246"/>
      <c r="J34" s="448"/>
      <c r="K34" s="424"/>
      <c r="L34" s="424"/>
      <c r="M34" s="364"/>
      <c r="N34" s="449"/>
      <c r="O34" s="366"/>
      <c r="P34" s="366"/>
      <c r="Q34" s="366"/>
      <c r="R34" s="366"/>
      <c r="S34" s="450"/>
      <c r="T34" s="451"/>
      <c r="U34" s="452"/>
      <c r="V34" s="453"/>
      <c r="W34" s="454"/>
      <c r="X34" s="338"/>
      <c r="Y34" s="339"/>
      <c r="Z34" s="455"/>
      <c r="AA34" s="456"/>
      <c r="AB34" s="366"/>
      <c r="AC34" s="368"/>
      <c r="AD34" s="148"/>
    </row>
    <row r="35" spans="1:30" s="8" customFormat="1" ht="16.5" customHeight="1" thickBot="1">
      <c r="A35" s="141"/>
      <c r="B35" s="147"/>
      <c r="C35" s="417"/>
      <c r="D35" s="417"/>
      <c r="E35" s="417"/>
      <c r="F35" s="417"/>
      <c r="G35" s="417"/>
      <c r="H35" s="417"/>
      <c r="I35" s="417"/>
      <c r="J35" s="301"/>
      <c r="K35" s="417"/>
      <c r="L35" s="417"/>
      <c r="M35" s="23"/>
      <c r="N35" s="23"/>
      <c r="O35" s="417"/>
      <c r="P35" s="23"/>
      <c r="Q35" s="417"/>
      <c r="R35" s="417"/>
      <c r="S35" s="307"/>
      <c r="T35" s="312"/>
      <c r="U35" s="318"/>
      <c r="V35" s="357"/>
      <c r="W35" s="356"/>
      <c r="X35" s="457"/>
      <c r="Y35" s="458"/>
      <c r="Z35" s="352"/>
      <c r="AA35" s="348"/>
      <c r="AB35" s="23"/>
      <c r="AC35" s="185"/>
      <c r="AD35" s="148"/>
    </row>
    <row r="36" spans="1:30" s="8" customFormat="1" ht="16.5" customHeight="1" thickBot="1" thickTop="1">
      <c r="A36" s="141"/>
      <c r="B36" s="147"/>
      <c r="C36" s="209" t="s">
        <v>40</v>
      </c>
      <c r="D36" s="430" t="s">
        <v>113</v>
      </c>
      <c r="E36" s="211"/>
      <c r="F36" s="210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313">
        <f>SUM(T20:T35)</f>
        <v>0</v>
      </c>
      <c r="U36" s="319">
        <f aca="true" t="shared" si="14" ref="U36:AA36">SUM(U20:U35)</f>
        <v>0</v>
      </c>
      <c r="V36" s="332">
        <f t="shared" si="14"/>
        <v>2942.0550000000003</v>
      </c>
      <c r="W36" s="332">
        <f t="shared" si="14"/>
        <v>18371.1549</v>
      </c>
      <c r="X36" s="342">
        <f t="shared" si="14"/>
        <v>0</v>
      </c>
      <c r="Y36" s="342">
        <f t="shared" si="14"/>
        <v>0</v>
      </c>
      <c r="Z36" s="354">
        <f t="shared" si="14"/>
        <v>0</v>
      </c>
      <c r="AA36" s="355">
        <f t="shared" si="14"/>
        <v>0</v>
      </c>
      <c r="AB36" s="25"/>
      <c r="AC36" s="239">
        <f>ROUND(SUM(AC20:AC35),2)</f>
        <v>37008.56</v>
      </c>
      <c r="AD36" s="148"/>
    </row>
    <row r="37" spans="1:30" s="224" customFormat="1" ht="9.75" thickTop="1">
      <c r="A37" s="225"/>
      <c r="B37" s="226"/>
      <c r="C37" s="211"/>
      <c r="D37" s="211"/>
      <c r="E37" s="211"/>
      <c r="F37" s="212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8"/>
      <c r="U37" s="228"/>
      <c r="V37" s="228"/>
      <c r="W37" s="228"/>
      <c r="X37" s="228"/>
      <c r="Y37" s="228"/>
      <c r="Z37" s="228"/>
      <c r="AA37" s="228"/>
      <c r="AB37" s="227"/>
      <c r="AC37" s="229"/>
      <c r="AD37" s="230"/>
    </row>
    <row r="38" spans="1:30" s="8" customFormat="1" ht="16.5" customHeight="1" thickBot="1">
      <c r="A38" s="141"/>
      <c r="B38" s="156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8"/>
    </row>
    <row r="39" spans="2:30" ht="16.5" customHeight="1" thickTop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2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zoomScale="75" zoomScaleNormal="75" zoomScalePageLayoutView="0" workbookViewId="0" topLeftCell="A1">
      <selection activeCell="F26" sqref="F26"/>
    </sheetView>
  </sheetViews>
  <sheetFormatPr defaultColWidth="11.421875" defaultRowHeight="12.75"/>
  <cols>
    <col min="1" max="3" width="4.140625" style="0" customWidth="1"/>
    <col min="4" max="5" width="13.7109375" style="0" customWidth="1"/>
    <col min="6" max="7" width="25.7109375" style="0" customWidth="1"/>
    <col min="8" max="8" width="8.7109375" style="0" customWidth="1"/>
    <col min="9" max="9" width="12.7109375" style="0" customWidth="1"/>
    <col min="10" max="10" width="7.140625" style="0" hidden="1" customWidth="1"/>
    <col min="11" max="11" width="16.28125" style="0" customWidth="1"/>
    <col min="12" max="12" width="16.421875" style="0" customWidth="1"/>
    <col min="13" max="15" width="9.7109375" style="0" customWidth="1"/>
    <col min="16" max="18" width="7.7109375" style="0" customWidth="1"/>
    <col min="19" max="19" width="10.421875" style="0" hidden="1" customWidth="1"/>
    <col min="20" max="21" width="12.28125" style="0" hidden="1" customWidth="1"/>
    <col min="22" max="22" width="11.00390625" style="0" hidden="1" customWidth="1"/>
    <col min="23" max="23" width="14.00390625" style="0" hidden="1" customWidth="1"/>
    <col min="24" max="25" width="8.28125" style="0" hidden="1" customWidth="1"/>
    <col min="26" max="27" width="12.2812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6:30" s="61" customFormat="1" ht="30" customHeight="1"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405"/>
    </row>
    <row r="2" spans="2:30" s="61" customFormat="1" ht="26.25">
      <c r="B2" s="413" t="str">
        <f>+'TOT-0515'!B2</f>
        <v>ANEXO V al Memorándum  D.T.E.E.  N° 821/2015.-</v>
      </c>
      <c r="C2" s="62"/>
      <c r="D2" s="62"/>
      <c r="E2" s="62"/>
      <c r="F2" s="143"/>
      <c r="G2" s="74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</row>
    <row r="3" spans="6:30" s="8" customFormat="1" ht="15.75" customHeight="1"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0" s="59" customFormat="1" ht="11.25">
      <c r="A4" s="427" t="s">
        <v>68</v>
      </c>
      <c r="B4" s="126"/>
      <c r="C4" s="427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</row>
    <row r="5" spans="1:30" s="59" customFormat="1" ht="11.25">
      <c r="A5" s="427" t="s">
        <v>69</v>
      </c>
      <c r="B5" s="126"/>
      <c r="C5" s="126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</row>
    <row r="6" spans="1:30" s="8" customFormat="1" ht="16.5" customHeight="1" thickBo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</row>
    <row r="7" spans="1:30" s="8" customFormat="1" ht="16.5" customHeight="1" thickTop="1">
      <c r="A7" s="141"/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6"/>
    </row>
    <row r="8" spans="1:30" s="63" customFormat="1" ht="21.75" customHeight="1">
      <c r="A8" s="160"/>
      <c r="B8" s="161"/>
      <c r="C8" s="149"/>
      <c r="D8" s="149"/>
      <c r="E8" s="149"/>
      <c r="F8" s="18" t="s">
        <v>16</v>
      </c>
      <c r="H8" s="149"/>
      <c r="I8" s="160"/>
      <c r="J8" s="160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62"/>
      <c r="AD8" s="163"/>
    </row>
    <row r="9" spans="1:30" s="8" customFormat="1" ht="16.5" customHeight="1">
      <c r="A9" s="141"/>
      <c r="B9" s="147"/>
      <c r="C9" s="24"/>
      <c r="D9" s="24"/>
      <c r="E9" s="24"/>
      <c r="F9" s="24"/>
      <c r="G9" s="24"/>
      <c r="H9" s="24"/>
      <c r="I9" s="141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56"/>
      <c r="AD9" s="148"/>
    </row>
    <row r="10" spans="1:30" s="63" customFormat="1" ht="24" customHeight="1">
      <c r="A10" s="160"/>
      <c r="B10" s="161"/>
      <c r="C10" s="149"/>
      <c r="D10" s="149"/>
      <c r="E10" s="149"/>
      <c r="F10" s="18" t="s">
        <v>41</v>
      </c>
      <c r="G10" s="149"/>
      <c r="H10" s="149"/>
      <c r="I10" s="160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62"/>
      <c r="AD10" s="163"/>
    </row>
    <row r="11" spans="1:30" s="8" customFormat="1" ht="16.5" customHeight="1">
      <c r="A11" s="141"/>
      <c r="B11" s="147"/>
      <c r="C11" s="24"/>
      <c r="D11" s="24"/>
      <c r="E11" s="24"/>
      <c r="F11" s="55"/>
      <c r="G11" s="24"/>
      <c r="H11" s="24"/>
      <c r="I11" s="141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56"/>
      <c r="AD11" s="148"/>
    </row>
    <row r="12" spans="1:30" s="63" customFormat="1" ht="24" customHeight="1">
      <c r="A12" s="160"/>
      <c r="B12" s="161"/>
      <c r="C12" s="149"/>
      <c r="D12" s="149"/>
      <c r="E12" s="149"/>
      <c r="F12" s="171" t="s">
        <v>42</v>
      </c>
      <c r="G12" s="18"/>
      <c r="H12" s="160"/>
      <c r="I12" s="160"/>
      <c r="J12" s="164"/>
      <c r="K12" s="149"/>
      <c r="L12" s="160"/>
      <c r="M12" s="160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62"/>
      <c r="AD12" s="163"/>
    </row>
    <row r="13" spans="1:30" s="8" customFormat="1" ht="16.5" customHeight="1">
      <c r="A13" s="141"/>
      <c r="B13" s="147"/>
      <c r="C13" s="24"/>
      <c r="D13" s="24"/>
      <c r="E13" s="24"/>
      <c r="F13" s="151"/>
      <c r="G13" s="151"/>
      <c r="H13" s="151"/>
      <c r="I13" s="152"/>
      <c r="J13" s="150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56"/>
      <c r="AD13" s="148"/>
    </row>
    <row r="14" spans="1:30" s="67" customFormat="1" ht="16.5" customHeight="1">
      <c r="A14" s="165"/>
      <c r="B14" s="167" t="str">
        <f>+'TOT-0515'!B14</f>
        <v>Desde el 01 al 31 de mayo de 2015</v>
      </c>
      <c r="C14" s="139"/>
      <c r="D14" s="139"/>
      <c r="E14" s="139"/>
      <c r="F14" s="139"/>
      <c r="G14" s="139"/>
      <c r="H14" s="139"/>
      <c r="I14" s="139"/>
      <c r="J14" s="139"/>
      <c r="K14" s="166"/>
      <c r="L14" s="16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69"/>
      <c r="AD14" s="170"/>
    </row>
    <row r="15" spans="1:30" s="8" customFormat="1" ht="16.5" customHeight="1" thickBot="1">
      <c r="A15" s="141"/>
      <c r="B15" s="147"/>
      <c r="C15" s="24"/>
      <c r="D15" s="24"/>
      <c r="E15" s="24"/>
      <c r="F15" s="24"/>
      <c r="G15" s="24"/>
      <c r="H15" s="24"/>
      <c r="I15" s="153"/>
      <c r="J15" s="24"/>
      <c r="K15" s="138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56"/>
      <c r="AD15" s="148"/>
    </row>
    <row r="16" spans="1:30" s="8" customFormat="1" ht="16.5" customHeight="1" thickBot="1" thickTop="1">
      <c r="A16" s="141"/>
      <c r="B16" s="147"/>
      <c r="C16" s="24"/>
      <c r="D16" s="24"/>
      <c r="E16" s="24"/>
      <c r="F16" s="172" t="s">
        <v>62</v>
      </c>
      <c r="G16" s="173"/>
      <c r="H16" s="174"/>
      <c r="I16" s="406">
        <v>1.147</v>
      </c>
      <c r="J16" s="141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56"/>
      <c r="AD16" s="148"/>
    </row>
    <row r="17" spans="1:30" s="8" customFormat="1" ht="16.5" customHeight="1" thickBot="1" thickTop="1">
      <c r="A17" s="141"/>
      <c r="B17" s="147"/>
      <c r="C17" s="24"/>
      <c r="D17" s="24"/>
      <c r="E17" s="24"/>
      <c r="F17" s="175" t="s">
        <v>43</v>
      </c>
      <c r="G17" s="176"/>
      <c r="H17" s="176"/>
      <c r="I17" s="177">
        <f>30*'TOT-0515'!B13</f>
        <v>30</v>
      </c>
      <c r="J17" s="24"/>
      <c r="K17" s="196" t="str">
        <f>IF(I17=30," ",IF(I17=60,"  Coeficiente duplicado por tasa de falla &gt;4 Sal. x año/100 km.","  REVISAR COEFICIENTE"))</f>
        <v> 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154"/>
      <c r="X17" s="154"/>
      <c r="Y17" s="154"/>
      <c r="Z17" s="154"/>
      <c r="AA17" s="154"/>
      <c r="AB17" s="154"/>
      <c r="AC17" s="56"/>
      <c r="AD17" s="148"/>
    </row>
    <row r="18" spans="1:30" s="8" customFormat="1" ht="16.5" customHeight="1" thickBot="1" thickTop="1">
      <c r="A18" s="141"/>
      <c r="B18" s="147"/>
      <c r="C18" s="428">
        <v>3</v>
      </c>
      <c r="D18" s="428">
        <v>4</v>
      </c>
      <c r="E18" s="428">
        <v>5</v>
      </c>
      <c r="F18" s="428">
        <v>6</v>
      </c>
      <c r="G18" s="428">
        <v>7</v>
      </c>
      <c r="H18" s="428">
        <v>8</v>
      </c>
      <c r="I18" s="428">
        <v>9</v>
      </c>
      <c r="J18" s="428">
        <v>10</v>
      </c>
      <c r="K18" s="428">
        <v>11</v>
      </c>
      <c r="L18" s="428">
        <v>12</v>
      </c>
      <c r="M18" s="428">
        <v>13</v>
      </c>
      <c r="N18" s="428">
        <v>14</v>
      </c>
      <c r="O18" s="428">
        <v>15</v>
      </c>
      <c r="P18" s="428">
        <v>16</v>
      </c>
      <c r="Q18" s="428">
        <v>17</v>
      </c>
      <c r="R18" s="428">
        <v>18</v>
      </c>
      <c r="S18" s="428">
        <v>19</v>
      </c>
      <c r="T18" s="428">
        <v>20</v>
      </c>
      <c r="U18" s="428">
        <v>21</v>
      </c>
      <c r="V18" s="428">
        <v>22</v>
      </c>
      <c r="W18" s="428">
        <v>23</v>
      </c>
      <c r="X18" s="428">
        <v>24</v>
      </c>
      <c r="Y18" s="428">
        <v>25</v>
      </c>
      <c r="Z18" s="428">
        <v>26</v>
      </c>
      <c r="AA18" s="428">
        <v>27</v>
      </c>
      <c r="AB18" s="428">
        <v>28</v>
      </c>
      <c r="AC18" s="428">
        <v>29</v>
      </c>
      <c r="AD18" s="148"/>
    </row>
    <row r="19" spans="1:30" s="323" customFormat="1" ht="33.75" customHeight="1" thickBot="1" thickTop="1">
      <c r="A19" s="320"/>
      <c r="B19" s="321"/>
      <c r="C19" s="133" t="s">
        <v>22</v>
      </c>
      <c r="D19" s="133" t="s">
        <v>66</v>
      </c>
      <c r="E19" s="133" t="s">
        <v>67</v>
      </c>
      <c r="F19" s="182" t="s">
        <v>44</v>
      </c>
      <c r="G19" s="178" t="s">
        <v>45</v>
      </c>
      <c r="H19" s="180" t="s">
        <v>46</v>
      </c>
      <c r="I19" s="181" t="s">
        <v>23</v>
      </c>
      <c r="J19" s="233" t="s">
        <v>25</v>
      </c>
      <c r="K19" s="178" t="s">
        <v>26</v>
      </c>
      <c r="L19" s="178" t="s">
        <v>27</v>
      </c>
      <c r="M19" s="182" t="s">
        <v>47</v>
      </c>
      <c r="N19" s="182" t="s">
        <v>48</v>
      </c>
      <c r="O19" s="136" t="s">
        <v>49</v>
      </c>
      <c r="P19" s="179" t="s">
        <v>50</v>
      </c>
      <c r="Q19" s="182" t="s">
        <v>31</v>
      </c>
      <c r="R19" s="178" t="s">
        <v>51</v>
      </c>
      <c r="S19" s="303" t="s">
        <v>52</v>
      </c>
      <c r="T19" s="308" t="s">
        <v>53</v>
      </c>
      <c r="U19" s="314" t="s">
        <v>33</v>
      </c>
      <c r="V19" s="324" t="s">
        <v>54</v>
      </c>
      <c r="W19" s="325"/>
      <c r="X19" s="333" t="s">
        <v>55</v>
      </c>
      <c r="Y19" s="353"/>
      <c r="Z19" s="343" t="s">
        <v>36</v>
      </c>
      <c r="AA19" s="344" t="s">
        <v>37</v>
      </c>
      <c r="AB19" s="231" t="s">
        <v>38</v>
      </c>
      <c r="AC19" s="183" t="s">
        <v>39</v>
      </c>
      <c r="AD19" s="322"/>
    </row>
    <row r="20" spans="1:30" s="8" customFormat="1" ht="16.5" customHeight="1" thickTop="1">
      <c r="A20" s="141"/>
      <c r="B20" s="147"/>
      <c r="C20" s="49"/>
      <c r="D20" s="49"/>
      <c r="E20" s="49"/>
      <c r="F20" s="414"/>
      <c r="G20" s="415"/>
      <c r="H20" s="415"/>
      <c r="I20" s="415"/>
      <c r="J20" s="242"/>
      <c r="K20" s="414"/>
      <c r="L20" s="415"/>
      <c r="M20" s="20"/>
      <c r="N20" s="20"/>
      <c r="O20" s="415"/>
      <c r="P20" s="19"/>
      <c r="Q20" s="415"/>
      <c r="R20" s="415"/>
      <c r="S20" s="304"/>
      <c r="T20" s="309"/>
      <c r="U20" s="315"/>
      <c r="V20" s="326"/>
      <c r="W20" s="327"/>
      <c r="X20" s="334"/>
      <c r="Y20" s="335"/>
      <c r="Z20" s="349"/>
      <c r="AA20" s="345"/>
      <c r="AB20" s="19"/>
      <c r="AC20" s="400">
        <f>'T-05 (2)'!AC36</f>
        <v>37008.56</v>
      </c>
      <c r="AD20" s="148"/>
    </row>
    <row r="21" spans="1:30" s="8" customFormat="1" ht="16.5" customHeight="1">
      <c r="A21" s="141"/>
      <c r="B21" s="147"/>
      <c r="C21" s="49"/>
      <c r="D21" s="49"/>
      <c r="E21" s="49"/>
      <c r="F21" s="416"/>
      <c r="G21" s="416"/>
      <c r="H21" s="416"/>
      <c r="I21" s="416"/>
      <c r="J21" s="243"/>
      <c r="K21" s="418"/>
      <c r="L21" s="416"/>
      <c r="M21" s="16"/>
      <c r="N21" s="16"/>
      <c r="O21" s="416"/>
      <c r="P21" s="15"/>
      <c r="Q21" s="416"/>
      <c r="R21" s="416"/>
      <c r="S21" s="305"/>
      <c r="T21" s="310"/>
      <c r="U21" s="316"/>
      <c r="V21" s="328"/>
      <c r="W21" s="329"/>
      <c r="X21" s="336"/>
      <c r="Y21" s="337"/>
      <c r="Z21" s="350"/>
      <c r="AA21" s="346"/>
      <c r="AB21" s="15"/>
      <c r="AC21" s="184"/>
      <c r="AD21" s="148"/>
    </row>
    <row r="22" spans="1:30" s="8" customFormat="1" ht="16.5" customHeight="1">
      <c r="A22" s="141"/>
      <c r="B22" s="155"/>
      <c r="C22" s="49">
        <v>40</v>
      </c>
      <c r="D22" s="49">
        <v>288744</v>
      </c>
      <c r="E22" s="49">
        <v>2640</v>
      </c>
      <c r="F22" s="40" t="s">
        <v>104</v>
      </c>
      <c r="G22" s="39" t="s">
        <v>92</v>
      </c>
      <c r="H22" s="53">
        <v>15</v>
      </c>
      <c r="I22" s="246" t="s">
        <v>65</v>
      </c>
      <c r="J22" s="244">
        <f>H22*$I$16</f>
        <v>17.205000000000002</v>
      </c>
      <c r="K22" s="51">
        <v>42148.222916666666</v>
      </c>
      <c r="L22" s="51">
        <v>42148.23055555556</v>
      </c>
      <c r="M22" s="21">
        <f>IF(F22="","",(L22-K22)*24)</f>
        <v>0.18333333340706304</v>
      </c>
      <c r="N22" s="22">
        <f>IF(F22="","",ROUND((L22-K22)*24*60,0))</f>
        <v>11</v>
      </c>
      <c r="O22" s="52" t="s">
        <v>77</v>
      </c>
      <c r="P22" s="52" t="str">
        <f>IF(F22="","",IF(OR(O22="P",O22="RP"),"--","NO"))</f>
        <v>NO</v>
      </c>
      <c r="Q22" s="52" t="s">
        <v>91</v>
      </c>
      <c r="R22" s="52" t="s">
        <v>73</v>
      </c>
      <c r="S22" s="306">
        <f>$I$17*IF(OR(O22="P",O22="RP"),0.1,1)*IF(R22="SI",1,0.1)</f>
        <v>30</v>
      </c>
      <c r="T22" s="311" t="str">
        <f>IF(O22="P",J22*S22*ROUND(N22/60,2),"--")</f>
        <v>--</v>
      </c>
      <c r="U22" s="317" t="str">
        <f>IF(O22="RP",J22*S22*ROUND(N22/60,2)*Q22/100,"--")</f>
        <v>--</v>
      </c>
      <c r="V22" s="330">
        <f>IF(AND(O22="F",P22="NO"),J22*S22,"--")</f>
        <v>516.1500000000001</v>
      </c>
      <c r="W22" s="331">
        <f>IF(O22="F",J22*S22*ROUND(N22/60,2),"--")</f>
        <v>92.90700000000001</v>
      </c>
      <c r="X22" s="338" t="str">
        <f>IF(AND(O22="R",P22="NO"),J22*S22*Q22/100,"--")</f>
        <v>--</v>
      </c>
      <c r="Y22" s="339" t="str">
        <f>IF(O22="R",J22*S22*ROUND(N22/60,2)*Q22/100,"--")</f>
        <v>--</v>
      </c>
      <c r="Z22" s="351" t="str">
        <f>IF(O22="RF",J22*S22*ROUND(N22/60,2),"--")</f>
        <v>--</v>
      </c>
      <c r="AA22" s="347" t="str">
        <f>IF(O22="RR",J22*S22*ROUND(N22/60,2)*Q22/100,"--")</f>
        <v>--</v>
      </c>
      <c r="AB22" s="52" t="s">
        <v>73</v>
      </c>
      <c r="AC22" s="26">
        <f>IF(F22="","",SUM(T22:AA22)*IF(AB22="SI",1,2))</f>
        <v>609.0570000000001</v>
      </c>
      <c r="AD22" s="398"/>
    </row>
    <row r="23" spans="1:30" s="8" customFormat="1" ht="16.5" customHeight="1">
      <c r="A23" s="141"/>
      <c r="B23" s="155"/>
      <c r="C23" s="49">
        <v>41</v>
      </c>
      <c r="D23" s="49" t="s">
        <v>117</v>
      </c>
      <c r="E23" s="49">
        <v>2640</v>
      </c>
      <c r="F23" s="40" t="s">
        <v>104</v>
      </c>
      <c r="G23" s="39" t="s">
        <v>92</v>
      </c>
      <c r="H23" s="53">
        <v>15</v>
      </c>
      <c r="I23" s="246" t="s">
        <v>65</v>
      </c>
      <c r="J23" s="244">
        <f>H23*$I$16</f>
        <v>17.205000000000002</v>
      </c>
      <c r="K23" s="51">
        <v>42148.23055555556</v>
      </c>
      <c r="L23" s="51">
        <v>42148.26597222222</v>
      </c>
      <c r="M23" s="21">
        <f>IF(F23="","",(L23-K23)*24)</f>
        <v>0.8499999999767169</v>
      </c>
      <c r="N23" s="22">
        <f>IF(F23="","",ROUND((L23-K23)*24*60,0))</f>
        <v>51</v>
      </c>
      <c r="O23" s="52" t="s">
        <v>77</v>
      </c>
      <c r="P23" s="52" t="str">
        <f aca="true" t="shared" si="0" ref="P23:P37">IF(F23="","",IF(OR(O23="P",O23="RP"),"--","NO"))</f>
        <v>NO</v>
      </c>
      <c r="Q23" s="52" t="s">
        <v>91</v>
      </c>
      <c r="R23" s="52" t="s">
        <v>114</v>
      </c>
      <c r="S23" s="306">
        <f>$I$17*IF(OR(O23="P",O23="RP"),0.1,1)*IF(R23="SI",1,0.1)</f>
        <v>3</v>
      </c>
      <c r="T23" s="311" t="str">
        <f>IF(O23="P",J23*S23*ROUND(N23/60,2),"--")</f>
        <v>--</v>
      </c>
      <c r="U23" s="317" t="str">
        <f>IF(O23="RP",J23*S23*ROUND(N23/60,2)*Q23/100,"--")</f>
        <v>--</v>
      </c>
      <c r="V23" s="330">
        <f>IF(AND(O23="F",P23="NO"),J23*S23,"--")</f>
        <v>51.61500000000001</v>
      </c>
      <c r="W23" s="331">
        <f>IF(O23="F",J23*S23*ROUND(N23/60,2),"--")</f>
        <v>43.87275</v>
      </c>
      <c r="X23" s="338" t="str">
        <f>IF(AND(O23="R",P23="NO"),J23*S23*Q23/100,"--")</f>
        <v>--</v>
      </c>
      <c r="Y23" s="339" t="str">
        <f>IF(O23="R",J23*S23*ROUND(N23/60,2)*Q23/100,"--")</f>
        <v>--</v>
      </c>
      <c r="Z23" s="351" t="str">
        <f>IF(O23="RF",J23*S23*ROUND(N23/60,2),"--")</f>
        <v>--</v>
      </c>
      <c r="AA23" s="347" t="str">
        <f>IF(O23="RR",J23*S23*ROUND(N23/60,2)*Q23/100,"--")</f>
        <v>--</v>
      </c>
      <c r="AB23" s="52" t="s">
        <v>73</v>
      </c>
      <c r="AC23" s="26">
        <f>IF(F23="","",SUM(T23:AA23)*IF(AB23="SI",1,2))</f>
        <v>95.48775</v>
      </c>
      <c r="AD23" s="398"/>
    </row>
    <row r="24" spans="1:30" s="8" customFormat="1" ht="16.5" customHeight="1">
      <c r="A24" s="141"/>
      <c r="B24" s="155"/>
      <c r="C24" s="49">
        <v>42</v>
      </c>
      <c r="D24" s="49">
        <v>288757</v>
      </c>
      <c r="E24" s="49">
        <v>773</v>
      </c>
      <c r="F24" s="40" t="s">
        <v>98</v>
      </c>
      <c r="G24" s="39" t="s">
        <v>94</v>
      </c>
      <c r="H24" s="53">
        <v>30</v>
      </c>
      <c r="I24" s="246" t="s">
        <v>65</v>
      </c>
      <c r="J24" s="244">
        <f aca="true" t="shared" si="1" ref="J24:J35">H24*$I$16</f>
        <v>34.410000000000004</v>
      </c>
      <c r="K24" s="51">
        <v>42148.30347222222</v>
      </c>
      <c r="L24" s="51">
        <v>42148.638194444444</v>
      </c>
      <c r="M24" s="21">
        <f aca="true" t="shared" si="2" ref="M24:M35">IF(F24="","",(L24-K24)*24)</f>
        <v>8.033333333325572</v>
      </c>
      <c r="N24" s="22">
        <f aca="true" t="shared" si="3" ref="N24:N35">IF(F24="","",ROUND((L24-K24)*24*60,0))</f>
        <v>482</v>
      </c>
      <c r="O24" s="52" t="s">
        <v>77</v>
      </c>
      <c r="P24" s="52" t="str">
        <f t="shared" si="0"/>
        <v>NO</v>
      </c>
      <c r="Q24" s="52" t="s">
        <v>91</v>
      </c>
      <c r="R24" s="52" t="str">
        <f aca="true" t="shared" si="4" ref="R24:R35">IF(F24="","","NO")</f>
        <v>NO</v>
      </c>
      <c r="S24" s="306">
        <f aca="true" t="shared" si="5" ref="S24:S35">$I$17*IF(OR(O24="P",O24="RP"),0.1,1)*IF(R24="SI",1,0.1)</f>
        <v>3</v>
      </c>
      <c r="T24" s="311" t="str">
        <f aca="true" t="shared" si="6" ref="T24:T35">IF(O24="P",J24*S24*ROUND(N24/60,2),"--")</f>
        <v>--</v>
      </c>
      <c r="U24" s="317" t="str">
        <f aca="true" t="shared" si="7" ref="U24:U35">IF(O24="RP",J24*S24*ROUND(N24/60,2)*Q24/100,"--")</f>
        <v>--</v>
      </c>
      <c r="V24" s="330">
        <f aca="true" t="shared" si="8" ref="V24:V35">IF(AND(O24="F",P24="NO"),J24*S24,"--")</f>
        <v>103.23000000000002</v>
      </c>
      <c r="W24" s="331">
        <f aca="true" t="shared" si="9" ref="W24:W35">IF(O24="F",J24*S24*ROUND(N24/60,2),"--")</f>
        <v>828.9369</v>
      </c>
      <c r="X24" s="338" t="str">
        <f aca="true" t="shared" si="10" ref="X24:X35">IF(AND(O24="R",P24="NO"),J24*S24*Q24/100,"--")</f>
        <v>--</v>
      </c>
      <c r="Y24" s="339" t="str">
        <f aca="true" t="shared" si="11" ref="Y24:Y35">IF(O24="R",J24*S24*ROUND(N24/60,2)*Q24/100,"--")</f>
        <v>--</v>
      </c>
      <c r="Z24" s="351" t="str">
        <f aca="true" t="shared" si="12" ref="Z24:Z35">IF(O24="RF",J24*S24*ROUND(N24/60,2),"--")</f>
        <v>--</v>
      </c>
      <c r="AA24" s="347" t="str">
        <f aca="true" t="shared" si="13" ref="AA24:AA35">IF(O24="RR",J24*S24*ROUND(N24/60,2)*Q24/100,"--")</f>
        <v>--</v>
      </c>
      <c r="AB24" s="52" t="s">
        <v>73</v>
      </c>
      <c r="AC24" s="26">
        <f aca="true" t="shared" si="14" ref="AC24:AC37">IF(F24="","",SUM(T24:AA24)*IF(AB24="SI",1,2))</f>
        <v>932.1669</v>
      </c>
      <c r="AD24" s="398"/>
    </row>
    <row r="25" spans="1:30" s="8" customFormat="1" ht="16.5" customHeight="1">
      <c r="A25" s="141"/>
      <c r="B25" s="147"/>
      <c r="C25" s="49">
        <v>43</v>
      </c>
      <c r="D25" s="49">
        <v>288758</v>
      </c>
      <c r="E25" s="49">
        <v>4719</v>
      </c>
      <c r="F25" s="40" t="s">
        <v>98</v>
      </c>
      <c r="G25" s="39" t="s">
        <v>100</v>
      </c>
      <c r="H25" s="53">
        <v>30</v>
      </c>
      <c r="I25" s="246" t="s">
        <v>65</v>
      </c>
      <c r="J25" s="244">
        <f t="shared" si="1"/>
        <v>34.410000000000004</v>
      </c>
      <c r="K25" s="51">
        <v>42148.30347222222</v>
      </c>
      <c r="L25" s="51">
        <v>42148.638194444444</v>
      </c>
      <c r="M25" s="21">
        <f t="shared" si="2"/>
        <v>8.033333333325572</v>
      </c>
      <c r="N25" s="22">
        <f t="shared" si="3"/>
        <v>482</v>
      </c>
      <c r="O25" s="52" t="s">
        <v>77</v>
      </c>
      <c r="P25" s="52" t="str">
        <f t="shared" si="0"/>
        <v>NO</v>
      </c>
      <c r="Q25" s="52" t="s">
        <v>91</v>
      </c>
      <c r="R25" s="52" t="str">
        <f t="shared" si="4"/>
        <v>NO</v>
      </c>
      <c r="S25" s="306">
        <f t="shared" si="5"/>
        <v>3</v>
      </c>
      <c r="T25" s="311" t="str">
        <f t="shared" si="6"/>
        <v>--</v>
      </c>
      <c r="U25" s="317" t="str">
        <f t="shared" si="7"/>
        <v>--</v>
      </c>
      <c r="V25" s="330">
        <f t="shared" si="8"/>
        <v>103.23000000000002</v>
      </c>
      <c r="W25" s="331">
        <f t="shared" si="9"/>
        <v>828.9369</v>
      </c>
      <c r="X25" s="338" t="str">
        <f t="shared" si="10"/>
        <v>--</v>
      </c>
      <c r="Y25" s="339" t="str">
        <f t="shared" si="11"/>
        <v>--</v>
      </c>
      <c r="Z25" s="351" t="str">
        <f t="shared" si="12"/>
        <v>--</v>
      </c>
      <c r="AA25" s="347" t="str">
        <f t="shared" si="13"/>
        <v>--</v>
      </c>
      <c r="AB25" s="52" t="s">
        <v>73</v>
      </c>
      <c r="AC25" s="26">
        <f t="shared" si="14"/>
        <v>932.1669</v>
      </c>
      <c r="AD25" s="398"/>
    </row>
    <row r="26" spans="1:30" s="8" customFormat="1" ht="16.5" customHeight="1">
      <c r="A26" s="141"/>
      <c r="B26" s="147"/>
      <c r="C26" s="49">
        <v>44</v>
      </c>
      <c r="D26" s="49">
        <v>288929</v>
      </c>
      <c r="E26" s="49">
        <v>754</v>
      </c>
      <c r="F26" s="40" t="s">
        <v>83</v>
      </c>
      <c r="G26" s="39" t="s">
        <v>97</v>
      </c>
      <c r="H26" s="53">
        <v>20</v>
      </c>
      <c r="I26" s="246" t="s">
        <v>103</v>
      </c>
      <c r="J26" s="244">
        <f t="shared" si="1"/>
        <v>22.94</v>
      </c>
      <c r="K26" s="51">
        <v>42150.31180555555</v>
      </c>
      <c r="L26" s="51">
        <v>42150.325</v>
      </c>
      <c r="M26" s="21">
        <f t="shared" si="2"/>
        <v>0.3166666666511446</v>
      </c>
      <c r="N26" s="22">
        <f t="shared" si="3"/>
        <v>19</v>
      </c>
      <c r="O26" s="52" t="s">
        <v>77</v>
      </c>
      <c r="P26" s="52" t="str">
        <f t="shared" si="0"/>
        <v>NO</v>
      </c>
      <c r="Q26" s="52" t="s">
        <v>91</v>
      </c>
      <c r="R26" s="52" t="s">
        <v>73</v>
      </c>
      <c r="S26" s="306">
        <f t="shared" si="5"/>
        <v>30</v>
      </c>
      <c r="T26" s="311" t="str">
        <f t="shared" si="6"/>
        <v>--</v>
      </c>
      <c r="U26" s="317" t="str">
        <f t="shared" si="7"/>
        <v>--</v>
      </c>
      <c r="V26" s="330">
        <f t="shared" si="8"/>
        <v>688.2</v>
      </c>
      <c r="W26" s="331">
        <f t="shared" si="9"/>
        <v>220.22400000000002</v>
      </c>
      <c r="X26" s="338" t="str">
        <f t="shared" si="10"/>
        <v>--</v>
      </c>
      <c r="Y26" s="339" t="str">
        <f t="shared" si="11"/>
        <v>--</v>
      </c>
      <c r="Z26" s="351" t="str">
        <f t="shared" si="12"/>
        <v>--</v>
      </c>
      <c r="AA26" s="347" t="str">
        <f t="shared" si="13"/>
        <v>--</v>
      </c>
      <c r="AB26" s="52" t="s">
        <v>73</v>
      </c>
      <c r="AC26" s="26">
        <f t="shared" si="14"/>
        <v>908.4240000000001</v>
      </c>
      <c r="AD26" s="398"/>
    </row>
    <row r="27" spans="1:30" s="8" customFormat="1" ht="16.5" customHeight="1">
      <c r="A27" s="141"/>
      <c r="B27" s="147"/>
      <c r="C27" s="49">
        <v>45</v>
      </c>
      <c r="D27" s="49">
        <v>288930</v>
      </c>
      <c r="E27" s="49">
        <v>774</v>
      </c>
      <c r="F27" s="40" t="s">
        <v>83</v>
      </c>
      <c r="G27" s="39" t="s">
        <v>92</v>
      </c>
      <c r="H27" s="53">
        <v>20</v>
      </c>
      <c r="I27" s="246" t="s">
        <v>103</v>
      </c>
      <c r="J27" s="244">
        <f t="shared" si="1"/>
        <v>22.94</v>
      </c>
      <c r="K27" s="51">
        <v>42150.31180555555</v>
      </c>
      <c r="L27" s="51">
        <v>42150.325</v>
      </c>
      <c r="M27" s="21">
        <f t="shared" si="2"/>
        <v>0.3166666666511446</v>
      </c>
      <c r="N27" s="22">
        <f t="shared" si="3"/>
        <v>19</v>
      </c>
      <c r="O27" s="52" t="s">
        <v>77</v>
      </c>
      <c r="P27" s="52" t="str">
        <f t="shared" si="0"/>
        <v>NO</v>
      </c>
      <c r="Q27" s="52" t="s">
        <v>91</v>
      </c>
      <c r="R27" s="52" t="s">
        <v>73</v>
      </c>
      <c r="S27" s="306">
        <f t="shared" si="5"/>
        <v>30</v>
      </c>
      <c r="T27" s="311" t="str">
        <f t="shared" si="6"/>
        <v>--</v>
      </c>
      <c r="U27" s="317" t="str">
        <f t="shared" si="7"/>
        <v>--</v>
      </c>
      <c r="V27" s="330">
        <f t="shared" si="8"/>
        <v>688.2</v>
      </c>
      <c r="W27" s="331">
        <f t="shared" si="9"/>
        <v>220.22400000000002</v>
      </c>
      <c r="X27" s="338" t="str">
        <f t="shared" si="10"/>
        <v>--</v>
      </c>
      <c r="Y27" s="339" t="str">
        <f t="shared" si="11"/>
        <v>--</v>
      </c>
      <c r="Z27" s="351" t="str">
        <f t="shared" si="12"/>
        <v>--</v>
      </c>
      <c r="AA27" s="347" t="str">
        <f t="shared" si="13"/>
        <v>--</v>
      </c>
      <c r="AB27" s="52" t="s">
        <v>73</v>
      </c>
      <c r="AC27" s="26">
        <f t="shared" si="14"/>
        <v>908.4240000000001</v>
      </c>
      <c r="AD27" s="398"/>
    </row>
    <row r="28" spans="1:30" s="8" customFormat="1" ht="16.5" customHeight="1">
      <c r="A28" s="141"/>
      <c r="B28" s="147"/>
      <c r="C28" s="49">
        <v>46</v>
      </c>
      <c r="D28" s="49" t="s">
        <v>118</v>
      </c>
      <c r="E28" s="49">
        <v>774</v>
      </c>
      <c r="F28" s="40" t="s">
        <v>83</v>
      </c>
      <c r="G28" s="39" t="s">
        <v>92</v>
      </c>
      <c r="H28" s="53">
        <v>20</v>
      </c>
      <c r="I28" s="246" t="s">
        <v>103</v>
      </c>
      <c r="J28" s="244">
        <f t="shared" si="1"/>
        <v>22.94</v>
      </c>
      <c r="K28" s="51">
        <v>42150.325</v>
      </c>
      <c r="L28" s="51">
        <v>42155.99930555555</v>
      </c>
      <c r="M28" s="21">
        <f>IF(F28="","",(L28-K28)*24)</f>
        <v>136.18333333334886</v>
      </c>
      <c r="N28" s="22">
        <f>IF(F28="","",ROUND((L28-K28)*24*60,0))</f>
        <v>8171</v>
      </c>
      <c r="O28" s="52" t="s">
        <v>77</v>
      </c>
      <c r="P28" s="52" t="str">
        <f t="shared" si="0"/>
        <v>NO</v>
      </c>
      <c r="Q28" s="52" t="s">
        <v>91</v>
      </c>
      <c r="R28" s="52" t="s">
        <v>114</v>
      </c>
      <c r="S28" s="306">
        <f t="shared" si="5"/>
        <v>3</v>
      </c>
      <c r="T28" s="311" t="str">
        <f t="shared" si="6"/>
        <v>--</v>
      </c>
      <c r="U28" s="317" t="str">
        <f t="shared" si="7"/>
        <v>--</v>
      </c>
      <c r="V28" s="330">
        <f t="shared" si="8"/>
        <v>68.82000000000001</v>
      </c>
      <c r="W28" s="331">
        <f t="shared" si="9"/>
        <v>9371.907600000002</v>
      </c>
      <c r="X28" s="338" t="str">
        <f t="shared" si="10"/>
        <v>--</v>
      </c>
      <c r="Y28" s="339" t="str">
        <f t="shared" si="11"/>
        <v>--</v>
      </c>
      <c r="Z28" s="351" t="str">
        <f t="shared" si="12"/>
        <v>--</v>
      </c>
      <c r="AA28" s="347" t="str">
        <f t="shared" si="13"/>
        <v>--</v>
      </c>
      <c r="AB28" s="52" t="s">
        <v>73</v>
      </c>
      <c r="AC28" s="26">
        <f>IF(F28="","",SUM(T28:AA28)*IF(AB28="SI",1,2))</f>
        <v>9440.727600000002</v>
      </c>
      <c r="AD28" s="398"/>
    </row>
    <row r="29" spans="1:30" s="8" customFormat="1" ht="16.5" customHeight="1">
      <c r="A29" s="141"/>
      <c r="B29" s="147"/>
      <c r="C29" s="49">
        <v>47</v>
      </c>
      <c r="D29" s="49">
        <v>288938</v>
      </c>
      <c r="E29" s="49">
        <v>764</v>
      </c>
      <c r="F29" s="40" t="s">
        <v>101</v>
      </c>
      <c r="G29" s="39" t="s">
        <v>94</v>
      </c>
      <c r="H29" s="53">
        <v>30</v>
      </c>
      <c r="I29" s="246" t="s">
        <v>102</v>
      </c>
      <c r="J29" s="244">
        <f t="shared" si="1"/>
        <v>34.410000000000004</v>
      </c>
      <c r="K29" s="51">
        <v>42150.33194444444</v>
      </c>
      <c r="L29" s="51">
        <v>42150.552777777775</v>
      </c>
      <c r="M29" s="21">
        <f t="shared" si="2"/>
        <v>5.2999999999883585</v>
      </c>
      <c r="N29" s="22">
        <f t="shared" si="3"/>
        <v>318</v>
      </c>
      <c r="O29" s="52" t="s">
        <v>85</v>
      </c>
      <c r="P29" s="52" t="str">
        <f t="shared" si="0"/>
        <v>--</v>
      </c>
      <c r="Q29" s="302">
        <v>40</v>
      </c>
      <c r="R29" s="52" t="str">
        <f t="shared" si="4"/>
        <v>NO</v>
      </c>
      <c r="S29" s="306">
        <f t="shared" si="5"/>
        <v>0.30000000000000004</v>
      </c>
      <c r="T29" s="311" t="str">
        <f t="shared" si="6"/>
        <v>--</v>
      </c>
      <c r="U29" s="317">
        <f t="shared" si="7"/>
        <v>21.88476</v>
      </c>
      <c r="V29" s="330" t="str">
        <f t="shared" si="8"/>
        <v>--</v>
      </c>
      <c r="W29" s="331" t="str">
        <f t="shared" si="9"/>
        <v>--</v>
      </c>
      <c r="X29" s="338" t="str">
        <f t="shared" si="10"/>
        <v>--</v>
      </c>
      <c r="Y29" s="339" t="str">
        <f t="shared" si="11"/>
        <v>--</v>
      </c>
      <c r="Z29" s="351" t="str">
        <f t="shared" si="12"/>
        <v>--</v>
      </c>
      <c r="AA29" s="347" t="str">
        <f t="shared" si="13"/>
        <v>--</v>
      </c>
      <c r="AB29" s="52" t="s">
        <v>73</v>
      </c>
      <c r="AC29" s="26">
        <f t="shared" si="14"/>
        <v>21.88476</v>
      </c>
      <c r="AD29" s="398"/>
    </row>
    <row r="30" spans="1:30" s="8" customFormat="1" ht="16.5" customHeight="1">
      <c r="A30" s="141"/>
      <c r="B30" s="147"/>
      <c r="C30" s="49">
        <v>48</v>
      </c>
      <c r="D30" s="49">
        <v>288939</v>
      </c>
      <c r="E30" s="49">
        <v>4611</v>
      </c>
      <c r="F30" s="40" t="s">
        <v>101</v>
      </c>
      <c r="G30" s="39" t="s">
        <v>100</v>
      </c>
      <c r="H30" s="53">
        <v>30</v>
      </c>
      <c r="I30" s="431" t="s">
        <v>65</v>
      </c>
      <c r="J30" s="244">
        <f t="shared" si="1"/>
        <v>34.410000000000004</v>
      </c>
      <c r="K30" s="51">
        <v>42150.33194444444</v>
      </c>
      <c r="L30" s="51">
        <v>42150.552777777775</v>
      </c>
      <c r="M30" s="21">
        <f t="shared" si="2"/>
        <v>5.2999999999883585</v>
      </c>
      <c r="N30" s="22">
        <f t="shared" si="3"/>
        <v>318</v>
      </c>
      <c r="O30" s="52" t="s">
        <v>85</v>
      </c>
      <c r="P30" s="52" t="str">
        <f t="shared" si="0"/>
        <v>--</v>
      </c>
      <c r="Q30" s="302">
        <v>50</v>
      </c>
      <c r="R30" s="52" t="str">
        <f t="shared" si="4"/>
        <v>NO</v>
      </c>
      <c r="S30" s="306">
        <f t="shared" si="5"/>
        <v>0.30000000000000004</v>
      </c>
      <c r="T30" s="311" t="str">
        <f t="shared" si="6"/>
        <v>--</v>
      </c>
      <c r="U30" s="317">
        <f t="shared" si="7"/>
        <v>27.355950000000004</v>
      </c>
      <c r="V30" s="330" t="str">
        <f t="shared" si="8"/>
        <v>--</v>
      </c>
      <c r="W30" s="331" t="str">
        <f t="shared" si="9"/>
        <v>--</v>
      </c>
      <c r="X30" s="338" t="str">
        <f t="shared" si="10"/>
        <v>--</v>
      </c>
      <c r="Y30" s="339" t="str">
        <f t="shared" si="11"/>
        <v>--</v>
      </c>
      <c r="Z30" s="351" t="str">
        <f t="shared" si="12"/>
        <v>--</v>
      </c>
      <c r="AA30" s="347" t="str">
        <f t="shared" si="13"/>
        <v>--</v>
      </c>
      <c r="AB30" s="52" t="s">
        <v>73</v>
      </c>
      <c r="AC30" s="26">
        <f t="shared" si="14"/>
        <v>27.355950000000004</v>
      </c>
      <c r="AD30" s="398"/>
    </row>
    <row r="31" spans="1:30" s="8" customFormat="1" ht="16.5" customHeight="1">
      <c r="A31" s="141"/>
      <c r="B31" s="147"/>
      <c r="C31" s="49">
        <v>49</v>
      </c>
      <c r="D31" s="49">
        <v>288940</v>
      </c>
      <c r="E31" s="49">
        <v>754</v>
      </c>
      <c r="F31" s="40" t="s">
        <v>83</v>
      </c>
      <c r="G31" s="39" t="s">
        <v>97</v>
      </c>
      <c r="H31" s="53">
        <v>20</v>
      </c>
      <c r="I31" s="246" t="s">
        <v>103</v>
      </c>
      <c r="J31" s="244">
        <f t="shared" si="1"/>
        <v>22.94</v>
      </c>
      <c r="K31" s="51">
        <v>42153.69583333333</v>
      </c>
      <c r="L31" s="51">
        <v>42153.71597222222</v>
      </c>
      <c r="M31" s="21">
        <f t="shared" si="2"/>
        <v>0.48333333333721384</v>
      </c>
      <c r="N31" s="22">
        <f t="shared" si="3"/>
        <v>29</v>
      </c>
      <c r="O31" s="52" t="s">
        <v>77</v>
      </c>
      <c r="P31" s="52" t="str">
        <f t="shared" si="0"/>
        <v>NO</v>
      </c>
      <c r="Q31" s="52" t="s">
        <v>91</v>
      </c>
      <c r="R31" s="52" t="s">
        <v>73</v>
      </c>
      <c r="S31" s="306">
        <f t="shared" si="5"/>
        <v>30</v>
      </c>
      <c r="T31" s="311" t="str">
        <f t="shared" si="6"/>
        <v>--</v>
      </c>
      <c r="U31" s="317" t="str">
        <f t="shared" si="7"/>
        <v>--</v>
      </c>
      <c r="V31" s="330">
        <f t="shared" si="8"/>
        <v>688.2</v>
      </c>
      <c r="W31" s="331">
        <f t="shared" si="9"/>
        <v>330.336</v>
      </c>
      <c r="X31" s="338" t="str">
        <f t="shared" si="10"/>
        <v>--</v>
      </c>
      <c r="Y31" s="339" t="str">
        <f t="shared" si="11"/>
        <v>--</v>
      </c>
      <c r="Z31" s="351" t="str">
        <f t="shared" si="12"/>
        <v>--</v>
      </c>
      <c r="AA31" s="347" t="str">
        <f t="shared" si="13"/>
        <v>--</v>
      </c>
      <c r="AB31" s="52" t="s">
        <v>73</v>
      </c>
      <c r="AC31" s="26">
        <f t="shared" si="14"/>
        <v>1018.5360000000001</v>
      </c>
      <c r="AD31" s="398"/>
    </row>
    <row r="32" spans="1:30" s="8" customFormat="1" ht="16.5" customHeight="1">
      <c r="A32" s="141"/>
      <c r="B32" s="147"/>
      <c r="C32" s="49"/>
      <c r="D32" s="49"/>
      <c r="E32" s="49"/>
      <c r="F32" s="40"/>
      <c r="G32" s="39"/>
      <c r="H32" s="53"/>
      <c r="I32" s="50"/>
      <c r="J32" s="244">
        <f t="shared" si="1"/>
        <v>0</v>
      </c>
      <c r="K32" s="51"/>
      <c r="L32" s="51"/>
      <c r="M32" s="21">
        <f t="shared" si="2"/>
      </c>
      <c r="N32" s="22">
        <f t="shared" si="3"/>
      </c>
      <c r="O32" s="52"/>
      <c r="P32" s="52">
        <f t="shared" si="0"/>
      </c>
      <c r="Q32" s="302">
        <f aca="true" t="shared" si="15" ref="Q32:Q37">IF(F32="","","--")</f>
      </c>
      <c r="R32" s="52">
        <f t="shared" si="4"/>
      </c>
      <c r="S32" s="306">
        <f t="shared" si="5"/>
        <v>3</v>
      </c>
      <c r="T32" s="311" t="str">
        <f t="shared" si="6"/>
        <v>--</v>
      </c>
      <c r="U32" s="317" t="str">
        <f t="shared" si="7"/>
        <v>--</v>
      </c>
      <c r="V32" s="330" t="str">
        <f t="shared" si="8"/>
        <v>--</v>
      </c>
      <c r="W32" s="331" t="str">
        <f t="shared" si="9"/>
        <v>--</v>
      </c>
      <c r="X32" s="338" t="str">
        <f t="shared" si="10"/>
        <v>--</v>
      </c>
      <c r="Y32" s="339" t="str">
        <f t="shared" si="11"/>
        <v>--</v>
      </c>
      <c r="Z32" s="351" t="str">
        <f t="shared" si="12"/>
        <v>--</v>
      </c>
      <c r="AA32" s="347" t="str">
        <f t="shared" si="13"/>
        <v>--</v>
      </c>
      <c r="AB32" s="52">
        <f aca="true" t="shared" si="16" ref="AB32:AB37">IF(F32="","","SI")</f>
      </c>
      <c r="AC32" s="26">
        <f t="shared" si="14"/>
      </c>
      <c r="AD32" s="398"/>
    </row>
    <row r="33" spans="1:30" s="8" customFormat="1" ht="16.5" customHeight="1">
      <c r="A33" s="141"/>
      <c r="B33" s="147"/>
      <c r="C33" s="49"/>
      <c r="D33" s="49"/>
      <c r="E33" s="49"/>
      <c r="F33" s="40"/>
      <c r="G33" s="39"/>
      <c r="H33" s="53"/>
      <c r="I33" s="50"/>
      <c r="J33" s="244">
        <f t="shared" si="1"/>
        <v>0</v>
      </c>
      <c r="K33" s="51"/>
      <c r="L33" s="51"/>
      <c r="M33" s="21">
        <f t="shared" si="2"/>
      </c>
      <c r="N33" s="22">
        <f t="shared" si="3"/>
      </c>
      <c r="O33" s="52"/>
      <c r="P33" s="52">
        <f t="shared" si="0"/>
      </c>
      <c r="Q33" s="302">
        <f t="shared" si="15"/>
      </c>
      <c r="R33" s="52">
        <f t="shared" si="4"/>
      </c>
      <c r="S33" s="306">
        <f t="shared" si="5"/>
        <v>3</v>
      </c>
      <c r="T33" s="311" t="str">
        <f t="shared" si="6"/>
        <v>--</v>
      </c>
      <c r="U33" s="317" t="str">
        <f t="shared" si="7"/>
        <v>--</v>
      </c>
      <c r="V33" s="330" t="str">
        <f t="shared" si="8"/>
        <v>--</v>
      </c>
      <c r="W33" s="331" t="str">
        <f t="shared" si="9"/>
        <v>--</v>
      </c>
      <c r="X33" s="338" t="str">
        <f t="shared" si="10"/>
        <v>--</v>
      </c>
      <c r="Y33" s="339" t="str">
        <f t="shared" si="11"/>
        <v>--</v>
      </c>
      <c r="Z33" s="351" t="str">
        <f t="shared" si="12"/>
        <v>--</v>
      </c>
      <c r="AA33" s="347" t="str">
        <f t="shared" si="13"/>
        <v>--</v>
      </c>
      <c r="AB33" s="52">
        <f t="shared" si="16"/>
      </c>
      <c r="AC33" s="26">
        <f t="shared" si="14"/>
      </c>
      <c r="AD33" s="398"/>
    </row>
    <row r="34" spans="1:30" s="8" customFormat="1" ht="16.5" customHeight="1">
      <c r="A34" s="141"/>
      <c r="B34" s="147"/>
      <c r="C34" s="49"/>
      <c r="D34" s="49"/>
      <c r="E34" s="49"/>
      <c r="F34" s="40"/>
      <c r="G34" s="39"/>
      <c r="H34" s="53"/>
      <c r="I34" s="50"/>
      <c r="J34" s="244">
        <f t="shared" si="1"/>
        <v>0</v>
      </c>
      <c r="K34" s="51"/>
      <c r="L34" s="51"/>
      <c r="M34" s="21">
        <f t="shared" si="2"/>
      </c>
      <c r="N34" s="22">
        <f t="shared" si="3"/>
      </c>
      <c r="O34" s="52"/>
      <c r="P34" s="52">
        <f t="shared" si="0"/>
      </c>
      <c r="Q34" s="302">
        <f t="shared" si="15"/>
      </c>
      <c r="R34" s="52">
        <f t="shared" si="4"/>
      </c>
      <c r="S34" s="306">
        <f t="shared" si="5"/>
        <v>3</v>
      </c>
      <c r="T34" s="311" t="str">
        <f t="shared" si="6"/>
        <v>--</v>
      </c>
      <c r="U34" s="317" t="str">
        <f t="shared" si="7"/>
        <v>--</v>
      </c>
      <c r="V34" s="330" t="str">
        <f t="shared" si="8"/>
        <v>--</v>
      </c>
      <c r="W34" s="331" t="str">
        <f t="shared" si="9"/>
        <v>--</v>
      </c>
      <c r="X34" s="338" t="str">
        <f t="shared" si="10"/>
        <v>--</v>
      </c>
      <c r="Y34" s="339" t="str">
        <f t="shared" si="11"/>
        <v>--</v>
      </c>
      <c r="Z34" s="351" t="str">
        <f t="shared" si="12"/>
        <v>--</v>
      </c>
      <c r="AA34" s="347" t="str">
        <f t="shared" si="13"/>
        <v>--</v>
      </c>
      <c r="AB34" s="52">
        <f t="shared" si="16"/>
      </c>
      <c r="AC34" s="26">
        <f t="shared" si="14"/>
      </c>
      <c r="AD34" s="148"/>
    </row>
    <row r="35" spans="1:30" s="8" customFormat="1" ht="16.5" customHeight="1">
      <c r="A35" s="141"/>
      <c r="B35" s="147"/>
      <c r="C35" s="49"/>
      <c r="D35" s="49"/>
      <c r="E35" s="49"/>
      <c r="F35" s="40"/>
      <c r="G35" s="39"/>
      <c r="H35" s="53"/>
      <c r="I35" s="50"/>
      <c r="J35" s="244">
        <f t="shared" si="1"/>
        <v>0</v>
      </c>
      <c r="K35" s="51"/>
      <c r="L35" s="51"/>
      <c r="M35" s="21">
        <f t="shared" si="2"/>
      </c>
      <c r="N35" s="22">
        <f t="shared" si="3"/>
      </c>
      <c r="O35" s="52"/>
      <c r="P35" s="52">
        <f t="shared" si="0"/>
      </c>
      <c r="Q35" s="302">
        <f t="shared" si="15"/>
      </c>
      <c r="R35" s="52">
        <f t="shared" si="4"/>
      </c>
      <c r="S35" s="306">
        <f t="shared" si="5"/>
        <v>3</v>
      </c>
      <c r="T35" s="311" t="str">
        <f t="shared" si="6"/>
        <v>--</v>
      </c>
      <c r="U35" s="317" t="str">
        <f t="shared" si="7"/>
        <v>--</v>
      </c>
      <c r="V35" s="330" t="str">
        <f t="shared" si="8"/>
        <v>--</v>
      </c>
      <c r="W35" s="331" t="str">
        <f t="shared" si="9"/>
        <v>--</v>
      </c>
      <c r="X35" s="338" t="str">
        <f t="shared" si="10"/>
        <v>--</v>
      </c>
      <c r="Y35" s="339" t="str">
        <f t="shared" si="11"/>
        <v>--</v>
      </c>
      <c r="Z35" s="351" t="str">
        <f t="shared" si="12"/>
        <v>--</v>
      </c>
      <c r="AA35" s="347" t="str">
        <f t="shared" si="13"/>
        <v>--</v>
      </c>
      <c r="AB35" s="52">
        <f t="shared" si="16"/>
      </c>
      <c r="AC35" s="26">
        <f t="shared" si="14"/>
      </c>
      <c r="AD35" s="148"/>
    </row>
    <row r="36" spans="1:30" s="8" customFormat="1" ht="16.5" customHeight="1">
      <c r="A36" s="141"/>
      <c r="B36" s="147"/>
      <c r="C36" s="49"/>
      <c r="D36" s="49"/>
      <c r="E36" s="49"/>
      <c r="F36" s="40"/>
      <c r="G36" s="39"/>
      <c r="H36" s="53"/>
      <c r="I36" s="50"/>
      <c r="J36" s="244">
        <f>H36*$I$16</f>
        <v>0</v>
      </c>
      <c r="K36" s="51"/>
      <c r="L36" s="51"/>
      <c r="M36" s="21">
        <f>IF(F36="","",(L36-K36)*24)</f>
      </c>
      <c r="N36" s="22">
        <f>IF(F36="","",ROUND((L36-K36)*24*60,0))</f>
      </c>
      <c r="O36" s="52"/>
      <c r="P36" s="52">
        <f t="shared" si="0"/>
      </c>
      <c r="Q36" s="302">
        <f t="shared" si="15"/>
      </c>
      <c r="R36" s="52">
        <f>IF(F36="","","NO")</f>
      </c>
      <c r="S36" s="306">
        <f>$I$17*IF(OR(O36="P",O36="RP"),0.1,1)*IF(R36="SI",1,0.1)</f>
        <v>3</v>
      </c>
      <c r="T36" s="311" t="str">
        <f>IF(O36="P",J36*S36*ROUND(N36/60,2),"--")</f>
        <v>--</v>
      </c>
      <c r="U36" s="317" t="str">
        <f>IF(O36="RP",J36*S36*ROUND(N36/60,2)*Q36/100,"--")</f>
        <v>--</v>
      </c>
      <c r="V36" s="330" t="str">
        <f>IF(AND(O36="F",P36="NO"),J36*S36,"--")</f>
        <v>--</v>
      </c>
      <c r="W36" s="331" t="str">
        <f>IF(O36="F",J36*S36*ROUND(N36/60,2),"--")</f>
        <v>--</v>
      </c>
      <c r="X36" s="338" t="str">
        <f>IF(AND(O36="R",P36="NO"),J36*S36*Q36/100,"--")</f>
        <v>--</v>
      </c>
      <c r="Y36" s="339" t="str">
        <f>IF(O36="R",J36*S36*ROUND(N36/60,2)*Q36/100,"--")</f>
        <v>--</v>
      </c>
      <c r="Z36" s="351" t="str">
        <f>IF(O36="RF",J36*S36*ROUND(N36/60,2),"--")</f>
        <v>--</v>
      </c>
      <c r="AA36" s="347" t="str">
        <f>IF(O36="RR",J36*S36*ROUND(N36/60,2)*Q36/100,"--")</f>
        <v>--</v>
      </c>
      <c r="AB36" s="52">
        <f t="shared" si="16"/>
      </c>
      <c r="AC36" s="26">
        <f t="shared" si="14"/>
      </c>
      <c r="AD36" s="148"/>
    </row>
    <row r="37" spans="1:30" s="8" customFormat="1" ht="16.5" customHeight="1">
      <c r="A37" s="141"/>
      <c r="B37" s="147"/>
      <c r="C37" s="49"/>
      <c r="D37" s="49"/>
      <c r="E37" s="49"/>
      <c r="F37" s="40"/>
      <c r="G37" s="39"/>
      <c r="H37" s="53"/>
      <c r="I37" s="50"/>
      <c r="J37" s="244">
        <f>H37*$I$16</f>
        <v>0</v>
      </c>
      <c r="K37" s="51"/>
      <c r="L37" s="51"/>
      <c r="M37" s="21">
        <f>IF(F37="","",(L37-K37)*24)</f>
      </c>
      <c r="N37" s="22">
        <f>IF(F37="","",ROUND((L37-K37)*24*60,0))</f>
      </c>
      <c r="O37" s="52"/>
      <c r="P37" s="52">
        <f t="shared" si="0"/>
      </c>
      <c r="Q37" s="302">
        <f t="shared" si="15"/>
      </c>
      <c r="R37" s="52">
        <f>IF(F37="","","NO")</f>
      </c>
      <c r="S37" s="306">
        <f>$I$17*IF(OR(O37="P",O37="RP"),0.1,1)*IF(R37="SI",1,0.1)</f>
        <v>3</v>
      </c>
      <c r="T37" s="311" t="str">
        <f>IF(O37="P",J37*S37*ROUND(N37/60,2),"--")</f>
        <v>--</v>
      </c>
      <c r="U37" s="317" t="str">
        <f>IF(O37="RP",J37*S37*ROUND(N37/60,2)*Q37/100,"--")</f>
        <v>--</v>
      </c>
      <c r="V37" s="330" t="str">
        <f>IF(AND(O37="F",P37="NO"),J37*S37,"--")</f>
        <v>--</v>
      </c>
      <c r="W37" s="331" t="str">
        <f>IF(O37="F",J37*S37*ROUND(N37/60,2),"--")</f>
        <v>--</v>
      </c>
      <c r="X37" s="338" t="str">
        <f>IF(AND(O37="R",P37="NO"),J37*S37*Q37/100,"--")</f>
        <v>--</v>
      </c>
      <c r="Y37" s="339" t="str">
        <f>IF(O37="R",J37*S37*ROUND(N37/60,2)*Q37/100,"--")</f>
        <v>--</v>
      </c>
      <c r="Z37" s="351" t="str">
        <f>IF(O37="RF",J37*S37*ROUND(N37/60,2),"--")</f>
        <v>--</v>
      </c>
      <c r="AA37" s="347" t="str">
        <f>IF(O37="RR",J37*S37*ROUND(N37/60,2)*Q37/100,"--")</f>
        <v>--</v>
      </c>
      <c r="AB37" s="52">
        <f t="shared" si="16"/>
      </c>
      <c r="AC37" s="26">
        <f t="shared" si="14"/>
      </c>
      <c r="AD37" s="148"/>
    </row>
    <row r="38" spans="1:30" s="8" customFormat="1" ht="16.5" customHeight="1" thickBot="1">
      <c r="A38" s="141"/>
      <c r="B38" s="147"/>
      <c r="C38" s="417"/>
      <c r="D38" s="417"/>
      <c r="E38" s="417"/>
      <c r="F38" s="417"/>
      <c r="G38" s="417"/>
      <c r="H38" s="417"/>
      <c r="I38" s="417"/>
      <c r="J38" s="301"/>
      <c r="K38" s="417"/>
      <c r="L38" s="417"/>
      <c r="M38" s="23"/>
      <c r="N38" s="23"/>
      <c r="O38" s="417"/>
      <c r="P38" s="23"/>
      <c r="Q38" s="417"/>
      <c r="R38" s="417"/>
      <c r="S38" s="307"/>
      <c r="T38" s="312"/>
      <c r="U38" s="318"/>
      <c r="V38" s="357"/>
      <c r="W38" s="356"/>
      <c r="X38" s="340"/>
      <c r="Y38" s="341"/>
      <c r="Z38" s="352"/>
      <c r="AA38" s="348"/>
      <c r="AB38" s="23"/>
      <c r="AC38" s="185"/>
      <c r="AD38" s="148"/>
    </row>
    <row r="39" spans="1:30" s="8" customFormat="1" ht="16.5" customHeight="1" thickBot="1" thickTop="1">
      <c r="A39" s="141"/>
      <c r="B39" s="147"/>
      <c r="C39" s="209" t="s">
        <v>40</v>
      </c>
      <c r="D39" s="430" t="s">
        <v>121</v>
      </c>
      <c r="E39" s="211"/>
      <c r="F39" s="210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313">
        <f aca="true" t="shared" si="17" ref="T39:AA39">SUM(T20:T38)</f>
        <v>0</v>
      </c>
      <c r="U39" s="319">
        <f t="shared" si="17"/>
        <v>49.24071000000001</v>
      </c>
      <c r="V39" s="332">
        <f t="shared" si="17"/>
        <v>2907.6450000000004</v>
      </c>
      <c r="W39" s="332">
        <f t="shared" si="17"/>
        <v>11937.345150000001</v>
      </c>
      <c r="X39" s="342">
        <f t="shared" si="17"/>
        <v>0</v>
      </c>
      <c r="Y39" s="342">
        <f t="shared" si="17"/>
        <v>0</v>
      </c>
      <c r="Z39" s="354">
        <f t="shared" si="17"/>
        <v>0</v>
      </c>
      <c r="AA39" s="355">
        <f t="shared" si="17"/>
        <v>0</v>
      </c>
      <c r="AB39" s="25"/>
      <c r="AC39" s="239">
        <f>ROUND(SUM(AC20:AC38),2)</f>
        <v>51902.79</v>
      </c>
      <c r="AD39" s="148"/>
    </row>
    <row r="40" spans="1:30" s="224" customFormat="1" ht="9.75" thickTop="1">
      <c r="A40" s="225"/>
      <c r="B40" s="226"/>
      <c r="C40" s="211"/>
      <c r="D40" s="211"/>
      <c r="E40" s="211"/>
      <c r="F40" s="212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8"/>
      <c r="U40" s="228"/>
      <c r="V40" s="228"/>
      <c r="W40" s="228"/>
      <c r="X40" s="228"/>
      <c r="Y40" s="228"/>
      <c r="Z40" s="228"/>
      <c r="AA40" s="228"/>
      <c r="AB40" s="227"/>
      <c r="AC40" s="229"/>
      <c r="AD40" s="230"/>
    </row>
    <row r="41" spans="1:30" s="8" customFormat="1" ht="16.5" customHeight="1" thickBot="1">
      <c r="A41" s="141"/>
      <c r="B41" s="156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8"/>
    </row>
    <row r="42" spans="2:30" ht="16.5" customHeight="1" thickTop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2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75" zoomScaleNormal="75" zoomScalePageLayoutView="0" workbookViewId="0" topLeftCell="A1">
      <selection activeCell="L9" sqref="L9"/>
    </sheetView>
  </sheetViews>
  <sheetFormatPr defaultColWidth="11.421875" defaultRowHeight="12.75"/>
  <cols>
    <col min="1" max="3" width="4.140625" style="0" customWidth="1"/>
    <col min="4" max="5" width="13.7109375" style="0" customWidth="1"/>
    <col min="6" max="6" width="25.7109375" style="0" customWidth="1"/>
    <col min="7" max="7" width="35.7109375" style="0" customWidth="1"/>
    <col min="8" max="8" width="8.7109375" style="0" customWidth="1"/>
    <col min="9" max="9" width="9.28125" style="0" hidden="1" customWidth="1"/>
    <col min="10" max="11" width="16.421875" style="0" customWidth="1"/>
    <col min="12" max="14" width="9.7109375" style="0" customWidth="1"/>
    <col min="15" max="15" width="7.7109375" style="0" customWidth="1"/>
    <col min="16" max="16" width="5.140625" style="0" hidden="1" customWidth="1"/>
    <col min="17" max="17" width="12.28125" style="0" hidden="1" customWidth="1"/>
    <col min="18" max="18" width="8.57421875" style="0" hidden="1" customWidth="1"/>
    <col min="19" max="19" width="11.140625" style="0" hidden="1" customWidth="1"/>
    <col min="20" max="20" width="12.28125" style="0" hidden="1" customWidth="1"/>
    <col min="21" max="21" width="10.7109375" style="0" customWidth="1"/>
    <col min="22" max="22" width="15.7109375" style="0" customWidth="1"/>
    <col min="23" max="23" width="4.140625" style="0" customWidth="1"/>
  </cols>
  <sheetData>
    <row r="1" s="61" customFormat="1" ht="31.5" customHeight="1">
      <c r="W1" s="404"/>
    </row>
    <row r="2" spans="2:23" s="61" customFormat="1" ht="26.25">
      <c r="B2" s="413" t="str">
        <f>+'TOT-0515'!B2</f>
        <v>ANEXO V al Memorándum  D.T.E.E.  N° 821/2015.-</v>
      </c>
      <c r="C2" s="62"/>
      <c r="D2" s="62"/>
      <c r="E2" s="62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="8" customFormat="1" ht="15" customHeight="1"/>
    <row r="4" spans="1:3" s="59" customFormat="1" ht="11.25">
      <c r="A4" s="427" t="s">
        <v>68</v>
      </c>
      <c r="B4" s="126"/>
      <c r="C4" s="427"/>
    </row>
    <row r="5" spans="1:3" s="59" customFormat="1" ht="11.25">
      <c r="A5" s="427" t="s">
        <v>69</v>
      </c>
      <c r="B5" s="126"/>
      <c r="C5" s="126"/>
    </row>
    <row r="6" s="8" customFormat="1" ht="13.5" thickBot="1"/>
    <row r="7" spans="2:23" s="8" customFormat="1" ht="13.5" thickTop="1"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2:23" s="63" customFormat="1" ht="20.25">
      <c r="B8" s="120"/>
      <c r="C8" s="140"/>
      <c r="D8" s="140"/>
      <c r="E8" s="140"/>
      <c r="F8" s="17" t="s">
        <v>16</v>
      </c>
      <c r="P8" s="58"/>
      <c r="Q8" s="58"/>
      <c r="R8" s="58"/>
      <c r="S8" s="58"/>
      <c r="T8" s="58"/>
      <c r="U8" s="58"/>
      <c r="V8" s="58"/>
      <c r="W8" s="66"/>
    </row>
    <row r="9" spans="2:23" s="8" customFormat="1" ht="12.75">
      <c r="B9" s="33"/>
      <c r="C9" s="6"/>
      <c r="D9" s="6"/>
      <c r="E9" s="6"/>
      <c r="F9" s="6"/>
      <c r="G9" s="6"/>
      <c r="H9" s="6"/>
      <c r="I9" s="117"/>
      <c r="J9" s="117"/>
      <c r="K9" s="117"/>
      <c r="L9" s="117"/>
      <c r="M9" s="117"/>
      <c r="P9" s="6"/>
      <c r="Q9" s="6"/>
      <c r="R9" s="6"/>
      <c r="S9" s="6"/>
      <c r="T9" s="6"/>
      <c r="U9" s="6"/>
      <c r="V9" s="6"/>
      <c r="W9" s="9"/>
    </row>
    <row r="10" spans="2:23" s="63" customFormat="1" ht="20.25">
      <c r="B10" s="120"/>
      <c r="C10" s="140"/>
      <c r="D10" s="140"/>
      <c r="E10" s="140"/>
      <c r="F10" s="17" t="s">
        <v>56</v>
      </c>
      <c r="G10" s="17"/>
      <c r="H10" s="58"/>
      <c r="I10" s="17"/>
      <c r="J10" s="17"/>
      <c r="K10" s="17"/>
      <c r="L10" s="17"/>
      <c r="M10" s="17"/>
      <c r="P10" s="58"/>
      <c r="Q10" s="58"/>
      <c r="R10" s="58"/>
      <c r="S10" s="58"/>
      <c r="T10" s="58"/>
      <c r="U10" s="58"/>
      <c r="V10" s="58"/>
      <c r="W10" s="66"/>
    </row>
    <row r="11" spans="2:23" s="8" customFormat="1" ht="12.75">
      <c r="B11" s="33"/>
      <c r="C11" s="6"/>
      <c r="D11" s="6"/>
      <c r="E11" s="6"/>
      <c r="F11" s="118"/>
      <c r="G11" s="117"/>
      <c r="H11" s="6"/>
      <c r="I11" s="117"/>
      <c r="J11" s="117"/>
      <c r="K11" s="117"/>
      <c r="L11" s="117"/>
      <c r="M11" s="117"/>
      <c r="P11" s="6"/>
      <c r="Q11" s="6"/>
      <c r="R11" s="6"/>
      <c r="S11" s="6"/>
      <c r="T11" s="6"/>
      <c r="U11" s="6"/>
      <c r="V11" s="6"/>
      <c r="W11" s="9"/>
    </row>
    <row r="12" spans="2:23" s="67" customFormat="1" ht="19.5">
      <c r="B12" s="86" t="str">
        <f>+'TOT-0515'!B14</f>
        <v>Desde el 01 al 31 de mayo de 2015</v>
      </c>
      <c r="C12" s="89"/>
      <c r="D12" s="89"/>
      <c r="E12" s="89"/>
      <c r="F12" s="89"/>
      <c r="G12" s="89"/>
      <c r="H12" s="89"/>
      <c r="I12" s="89"/>
      <c r="J12" s="125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188"/>
    </row>
    <row r="13" spans="2:23" s="8" customFormat="1" ht="13.5" thickBot="1">
      <c r="B13" s="33"/>
      <c r="C13" s="6"/>
      <c r="D13" s="6"/>
      <c r="E13" s="6"/>
      <c r="I13" s="108"/>
      <c r="K13" s="6"/>
      <c r="L13" s="6"/>
      <c r="M13" s="6"/>
      <c r="N13" s="108"/>
      <c r="O13" s="108"/>
      <c r="P13" s="108"/>
      <c r="Q13" s="6"/>
      <c r="R13" s="6"/>
      <c r="S13" s="6"/>
      <c r="T13" s="6"/>
      <c r="U13" s="6"/>
      <c r="V13" s="6"/>
      <c r="W13" s="9"/>
    </row>
    <row r="14" spans="2:23" s="8" customFormat="1" ht="14.25" thickBot="1" thickTop="1">
      <c r="B14" s="33"/>
      <c r="C14" s="6"/>
      <c r="D14" s="6"/>
      <c r="E14" s="6"/>
      <c r="F14" s="189" t="s">
        <v>57</v>
      </c>
      <c r="G14" s="460" t="s">
        <v>123</v>
      </c>
      <c r="H14" s="190">
        <f>60*'TOT-0515'!B13</f>
        <v>60</v>
      </c>
      <c r="I14" s="108"/>
      <c r="J14" s="196" t="str">
        <f>IF(H14=60," ",IF(H14=120,"  Coeficiente duplicado por tasa de falla &gt;4 Sal. x año/100 km.","  REVISAR COEFICIENTE"))</f>
        <v> </v>
      </c>
      <c r="K14" s="6"/>
      <c r="L14" s="6"/>
      <c r="M14" s="6"/>
      <c r="N14" s="108"/>
      <c r="O14" s="108"/>
      <c r="P14" s="108"/>
      <c r="Q14" s="6"/>
      <c r="R14" s="6"/>
      <c r="S14" s="6"/>
      <c r="T14" s="6"/>
      <c r="U14" s="6"/>
      <c r="V14" s="6"/>
      <c r="W14" s="9"/>
    </row>
    <row r="15" spans="2:23" s="8" customFormat="1" ht="14.25" thickBot="1" thickTop="1">
      <c r="B15" s="33"/>
      <c r="C15" s="6"/>
      <c r="D15" s="6"/>
      <c r="E15" s="6"/>
      <c r="F15" s="189" t="s">
        <v>58</v>
      </c>
      <c r="G15" s="460">
        <v>14.897</v>
      </c>
      <c r="H15" s="190">
        <f>50*'TOT-0515'!B13</f>
        <v>50</v>
      </c>
      <c r="J15" s="196" t="str">
        <f>IF(H15=50," ",IF(H15=100,"  Coeficiente duplicado por tasa de falla &gt;4 Sal. x año/100 km.","  REVISAR COEFICIENTE"))</f>
        <v> </v>
      </c>
      <c r="S15" s="6"/>
      <c r="T15" s="6"/>
      <c r="U15" s="6"/>
      <c r="V15" s="6"/>
      <c r="W15" s="9"/>
    </row>
    <row r="16" spans="2:23" s="8" customFormat="1" ht="14.25" thickBot="1" thickTop="1">
      <c r="B16" s="33"/>
      <c r="C16" s="6"/>
      <c r="D16" s="6"/>
      <c r="E16" s="6"/>
      <c r="F16" s="191" t="s">
        <v>59</v>
      </c>
      <c r="G16" s="192">
        <v>11.171</v>
      </c>
      <c r="H16" s="193">
        <f>25*'TOT-0515'!B13</f>
        <v>25</v>
      </c>
      <c r="J16" s="196" t="str">
        <f>IF(H16=25," ",IF(H16=50,"  Coeficiente duplicado por tasa de falla &gt;4 Sal. x año/100 km.","  REVISAR COEFICIENTE"))</f>
        <v> </v>
      </c>
      <c r="K16" s="109"/>
      <c r="L16" s="109"/>
      <c r="M16" s="6"/>
      <c r="P16" s="186"/>
      <c r="Q16" s="187"/>
      <c r="R16" s="27"/>
      <c r="S16" s="6"/>
      <c r="T16" s="6"/>
      <c r="U16" s="6"/>
      <c r="V16" s="6"/>
      <c r="W16" s="9"/>
    </row>
    <row r="17" spans="2:23" s="8" customFormat="1" ht="14.25" thickBot="1" thickTop="1">
      <c r="B17" s="33"/>
      <c r="C17" s="6"/>
      <c r="D17" s="6"/>
      <c r="E17" s="6"/>
      <c r="F17" s="194" t="s">
        <v>60</v>
      </c>
      <c r="G17" s="192">
        <v>11.171</v>
      </c>
      <c r="H17" s="195">
        <f>20*'TOT-0515'!B13</f>
        <v>20</v>
      </c>
      <c r="J17" s="196" t="str">
        <f>IF(H17=20," ",IF(H17=40,"  Coeficiente duplicado por tasa de falla &gt;4 Sal. x año/100 km.","  REVISAR COEFICIENTE"))</f>
        <v> </v>
      </c>
      <c r="K17" s="109"/>
      <c r="L17" s="109"/>
      <c r="M17" s="6"/>
      <c r="P17" s="186"/>
      <c r="Q17" s="187"/>
      <c r="R17" s="27"/>
      <c r="S17" s="6"/>
      <c r="T17" s="6"/>
      <c r="U17" s="6"/>
      <c r="V17" s="6"/>
      <c r="W17" s="9"/>
    </row>
    <row r="18" spans="2:23" s="8" customFormat="1" ht="14.25" thickBot="1" thickTop="1">
      <c r="B18" s="147"/>
      <c r="C18" s="428">
        <v>3</v>
      </c>
      <c r="D18" s="428">
        <v>4</v>
      </c>
      <c r="E18" s="428">
        <v>5</v>
      </c>
      <c r="F18" s="428">
        <v>6</v>
      </c>
      <c r="G18" s="428">
        <v>7</v>
      </c>
      <c r="H18" s="428">
        <v>8</v>
      </c>
      <c r="I18" s="428">
        <v>9</v>
      </c>
      <c r="J18" s="428">
        <v>10</v>
      </c>
      <c r="K18" s="428">
        <v>11</v>
      </c>
      <c r="L18" s="428">
        <v>12</v>
      </c>
      <c r="M18" s="428">
        <v>13</v>
      </c>
      <c r="N18" s="428">
        <v>14</v>
      </c>
      <c r="O18" s="428">
        <v>15</v>
      </c>
      <c r="P18" s="428">
        <v>16</v>
      </c>
      <c r="Q18" s="428">
        <v>17</v>
      </c>
      <c r="R18" s="428">
        <v>18</v>
      </c>
      <c r="S18" s="428">
        <v>19</v>
      </c>
      <c r="T18" s="428">
        <v>20</v>
      </c>
      <c r="U18" s="428">
        <v>21</v>
      </c>
      <c r="V18" s="428">
        <v>22</v>
      </c>
      <c r="W18" s="148"/>
    </row>
    <row r="19" spans="2:23" s="8" customFormat="1" ht="33.75" customHeight="1" thickBot="1" thickTop="1">
      <c r="B19" s="33"/>
      <c r="C19" s="133" t="s">
        <v>22</v>
      </c>
      <c r="D19" s="133" t="s">
        <v>66</v>
      </c>
      <c r="E19" s="133" t="s">
        <v>67</v>
      </c>
      <c r="F19" s="182" t="s">
        <v>44</v>
      </c>
      <c r="G19" s="178" t="s">
        <v>45</v>
      </c>
      <c r="H19" s="181" t="s">
        <v>23</v>
      </c>
      <c r="I19" s="233" t="s">
        <v>25</v>
      </c>
      <c r="J19" s="178" t="s">
        <v>26</v>
      </c>
      <c r="K19" s="178" t="s">
        <v>27</v>
      </c>
      <c r="L19" s="182" t="s">
        <v>47</v>
      </c>
      <c r="M19" s="182" t="s">
        <v>48</v>
      </c>
      <c r="N19" s="135" t="s">
        <v>30</v>
      </c>
      <c r="O19" s="178" t="s">
        <v>50</v>
      </c>
      <c r="P19" s="240" t="s">
        <v>61</v>
      </c>
      <c r="Q19" s="375" t="s">
        <v>53</v>
      </c>
      <c r="R19" s="381" t="s">
        <v>54</v>
      </c>
      <c r="S19" s="382"/>
      <c r="T19" s="308" t="s">
        <v>36</v>
      </c>
      <c r="U19" s="231" t="s">
        <v>38</v>
      </c>
      <c r="V19" s="183" t="s">
        <v>39</v>
      </c>
      <c r="W19" s="148"/>
    </row>
    <row r="20" spans="2:23" s="8" customFormat="1" ht="16.5" customHeight="1" thickTop="1">
      <c r="B20" s="33"/>
      <c r="C20" s="415"/>
      <c r="D20" s="415"/>
      <c r="E20" s="415"/>
      <c r="F20" s="414"/>
      <c r="G20" s="414"/>
      <c r="H20" s="419"/>
      <c r="I20" s="393"/>
      <c r="J20" s="423"/>
      <c r="K20" s="423"/>
      <c r="L20" s="20"/>
      <c r="M20" s="20"/>
      <c r="N20" s="414"/>
      <c r="O20" s="414"/>
      <c r="P20" s="371"/>
      <c r="Q20" s="376"/>
      <c r="R20" s="383"/>
      <c r="S20" s="384"/>
      <c r="T20" s="389"/>
      <c r="U20" s="370"/>
      <c r="V20" s="401"/>
      <c r="W20" s="148"/>
    </row>
    <row r="21" spans="2:23" s="8" customFormat="1" ht="16.5" customHeight="1">
      <c r="B21" s="33"/>
      <c r="C21" s="420"/>
      <c r="D21" s="420"/>
      <c r="E21" s="420"/>
      <c r="F21" s="361"/>
      <c r="G21" s="361"/>
      <c r="H21" s="421"/>
      <c r="I21" s="394"/>
      <c r="J21" s="424"/>
      <c r="K21" s="424"/>
      <c r="L21" s="358"/>
      <c r="M21" s="358"/>
      <c r="N21" s="361"/>
      <c r="O21" s="361"/>
      <c r="P21" s="372"/>
      <c r="Q21" s="377"/>
      <c r="R21" s="385"/>
      <c r="S21" s="386"/>
      <c r="T21" s="390"/>
      <c r="U21" s="359"/>
      <c r="V21" s="360"/>
      <c r="W21" s="148"/>
    </row>
    <row r="22" spans="2:23" s="8" customFormat="1" ht="16.5" customHeight="1">
      <c r="B22" s="33"/>
      <c r="C22" s="361">
        <v>50</v>
      </c>
      <c r="D22" s="361">
        <v>288252</v>
      </c>
      <c r="E22" s="361">
        <v>2039</v>
      </c>
      <c r="F22" s="362" t="s">
        <v>101</v>
      </c>
      <c r="G22" s="362" t="s">
        <v>106</v>
      </c>
      <c r="H22" s="363">
        <v>33</v>
      </c>
      <c r="I22" s="395">
        <f>IF(H22=220,$G$14,IF(AND(H22&lt;=132,H22&gt;=66),$G$15,IF(AND(H22&lt;66,H22&gt;=33),$G$16,$G$17)))</f>
        <v>11.171</v>
      </c>
      <c r="J22" s="424">
        <v>42131.319444444445</v>
      </c>
      <c r="K22" s="424">
        <v>42131.544444444444</v>
      </c>
      <c r="L22" s="364">
        <f>IF(F22="","",(K22-J22)*24)</f>
        <v>5.399999999965075</v>
      </c>
      <c r="M22" s="365">
        <f>IF(F22="","",ROUND((K22-J22)*24*60,0))</f>
        <v>324</v>
      </c>
      <c r="N22" s="366" t="s">
        <v>72</v>
      </c>
      <c r="O22" s="367" t="str">
        <f>IF(F22="","",IF(OR(N22="P",N22="RP"),"--","NO"))</f>
        <v>--</v>
      </c>
      <c r="P22" s="373">
        <f>IF(H22=220,$H$14,IF(AND(H22&lt;=132,H22&gt;=66),$H$15,IF(AND(H22&lt;66,H22&gt;=33),$H$16,$H$17)))</f>
        <v>25</v>
      </c>
      <c r="Q22" s="378">
        <f>IF(N22="P",I22*P22*ROUND(M22/60,2)*0.1,"--")</f>
        <v>150.8085</v>
      </c>
      <c r="R22" s="385" t="str">
        <f>IF(AND(N22="F",O22="NO"),I22*P22,"--")</f>
        <v>--</v>
      </c>
      <c r="S22" s="386" t="str">
        <f>IF(N22="F",I22*P22*ROUND(M22/60,2),"--")</f>
        <v>--</v>
      </c>
      <c r="T22" s="390" t="str">
        <f>IF(N22="RF",I22*P22*ROUND(M22/60,2),"--")</f>
        <v>--</v>
      </c>
      <c r="U22" s="366" t="s">
        <v>73</v>
      </c>
      <c r="V22" s="368">
        <f>IF(F22="","",SUM(Q22:T22)*IF(U22="SI",1,2)*IF(H22="500/220",0,1))</f>
        <v>150.8085</v>
      </c>
      <c r="W22" s="398"/>
    </row>
    <row r="23" spans="2:23" s="8" customFormat="1" ht="16.5" customHeight="1">
      <c r="B23" s="33"/>
      <c r="C23" s="361">
        <v>51</v>
      </c>
      <c r="D23" s="361">
        <v>288253</v>
      </c>
      <c r="E23" s="361">
        <v>3205</v>
      </c>
      <c r="F23" s="362" t="s">
        <v>101</v>
      </c>
      <c r="G23" s="362" t="s">
        <v>107</v>
      </c>
      <c r="H23" s="363">
        <v>33</v>
      </c>
      <c r="I23" s="395">
        <f>IF(H23=220,$G$14,IF(AND(H23&lt;=132,H23&gt;=66),$G$15,IF(AND(H23&lt;66,H23&gt;=33),$G$16,$G$17)))</f>
        <v>11.171</v>
      </c>
      <c r="J23" s="424">
        <v>42131.34930555556</v>
      </c>
      <c r="K23" s="424">
        <v>42131.40833333333</v>
      </c>
      <c r="L23" s="364">
        <f>IF(F23="","",(K23-J23)*24)</f>
        <v>1.416666666569654</v>
      </c>
      <c r="M23" s="365">
        <f>IF(F23="","",ROUND((K23-J23)*24*60,0))</f>
        <v>85</v>
      </c>
      <c r="N23" s="366" t="s">
        <v>72</v>
      </c>
      <c r="O23" s="367" t="str">
        <f>IF(F23="","",IF(OR(N23="P",N23="RP"),"--","NO"))</f>
        <v>--</v>
      </c>
      <c r="P23" s="373">
        <f>IF(H23=220,$H$14,IF(AND(H23&lt;=132,H23&gt;=66),$H$15,IF(AND(H23&lt;66,H23&gt;=33),$H$16,$H$17)))</f>
        <v>25</v>
      </c>
      <c r="Q23" s="378">
        <f>IF(N23="P",I23*P23*ROUND(M23/60,2)*0.1,"--")</f>
        <v>39.65705</v>
      </c>
      <c r="R23" s="385" t="str">
        <f>IF(AND(N23="F",O23="NO"),I23*P23,"--")</f>
        <v>--</v>
      </c>
      <c r="S23" s="386" t="str">
        <f>IF(N23="F",I23*P23*ROUND(M23/60,2),"--")</f>
        <v>--</v>
      </c>
      <c r="T23" s="390" t="str">
        <f>IF(N23="RF",I23*P23*ROUND(M23/60,2),"--")</f>
        <v>--</v>
      </c>
      <c r="U23" s="366" t="s">
        <v>73</v>
      </c>
      <c r="V23" s="368">
        <f>IF(F23="","",SUM(Q23:T23)*IF(U23="SI",1,2)*IF(H23="500/220",0,1))</f>
        <v>39.65705</v>
      </c>
      <c r="W23" s="398"/>
    </row>
    <row r="24" spans="2:23" s="8" customFormat="1" ht="16.5" customHeight="1">
      <c r="B24" s="33"/>
      <c r="C24" s="361">
        <v>52</v>
      </c>
      <c r="D24" s="361">
        <v>288271</v>
      </c>
      <c r="E24" s="361">
        <v>4103</v>
      </c>
      <c r="F24" s="362" t="s">
        <v>98</v>
      </c>
      <c r="G24" s="362" t="s">
        <v>108</v>
      </c>
      <c r="H24" s="363">
        <v>33</v>
      </c>
      <c r="I24" s="395">
        <f>IF(H24=220,$G$14,IF(AND(H24&lt;=132,H24&gt;=66),$G$15,IF(AND(H24&lt;66,H24&gt;=33),$G$16,$G$17)))</f>
        <v>11.171</v>
      </c>
      <c r="J24" s="424">
        <v>42133.490277777775</v>
      </c>
      <c r="K24" s="424">
        <v>42135.558333333334</v>
      </c>
      <c r="L24" s="364">
        <f>IF(F24="","",(K24-J24)*24)</f>
        <v>49.633333333418705</v>
      </c>
      <c r="M24" s="365">
        <f>IF(F24="","",ROUND((K24-J24)*24*60,0))</f>
        <v>2978</v>
      </c>
      <c r="N24" s="366" t="s">
        <v>77</v>
      </c>
      <c r="O24" s="367" t="str">
        <f>IF(F24="","",IF(OR(N24="P",N24="RP"),"--","NO"))</f>
        <v>NO</v>
      </c>
      <c r="P24" s="373">
        <f>IF(H24=220,$H$14,IF(AND(H24&lt;=132,H24&gt;=66),$H$15,IF(AND(H24&lt;66,H24&gt;=33),$H$16,$H$17)))</f>
        <v>25</v>
      </c>
      <c r="Q24" s="378" t="str">
        <f>IF(N24="P",I24*P24*ROUND(M24/60,2)*0.1,"--")</f>
        <v>--</v>
      </c>
      <c r="R24" s="385">
        <f>IF(AND(N24="F",O24="NO"),I24*P24,"--")</f>
        <v>279.275</v>
      </c>
      <c r="S24" s="386">
        <f>IF(N24="F",I24*P24*ROUND(M24/60,2),"--")</f>
        <v>13860.418249999999</v>
      </c>
      <c r="T24" s="390" t="str">
        <f>IF(N24="RF",I24*P24*ROUND(M24/60,2),"--")</f>
        <v>--</v>
      </c>
      <c r="U24" s="366" t="s">
        <v>73</v>
      </c>
      <c r="V24" s="368">
        <f>IF(F24="","",SUM(Q24:T24)*IF(U24="SI",1,2)*IF(H24="500/220",0,1))</f>
        <v>14139.693249999998</v>
      </c>
      <c r="W24" s="148"/>
    </row>
    <row r="25" spans="2:23" s="8" customFormat="1" ht="16.5" customHeight="1">
      <c r="B25" s="33"/>
      <c r="C25" s="361">
        <v>53</v>
      </c>
      <c r="D25" s="361">
        <v>288494</v>
      </c>
      <c r="E25" s="361">
        <v>834</v>
      </c>
      <c r="F25" s="362" t="s">
        <v>89</v>
      </c>
      <c r="G25" s="362" t="s">
        <v>105</v>
      </c>
      <c r="H25" s="363">
        <v>132</v>
      </c>
      <c r="I25" s="395">
        <f>IF(H25=220,$G$14,IF(AND(H25&lt;=132,H25&gt;=66),$G$15,IF(AND(H25&lt;66,H25&gt;=33),$G$16,$G$17)))</f>
        <v>14.897</v>
      </c>
      <c r="J25" s="424">
        <v>42138.33611111111</v>
      </c>
      <c r="K25" s="424">
        <v>42138.521527777775</v>
      </c>
      <c r="L25" s="364">
        <f>IF(F25="","",(K25-J25)*24)</f>
        <v>4.4500000000116415</v>
      </c>
      <c r="M25" s="365">
        <f>IF(F25="","",ROUND((K25-J25)*24*60,0))</f>
        <v>267</v>
      </c>
      <c r="N25" s="366" t="s">
        <v>72</v>
      </c>
      <c r="O25" s="367" t="str">
        <f>IF(F25="","",IF(OR(N25="P",N25="RP"),"--","NO"))</f>
        <v>--</v>
      </c>
      <c r="P25" s="373">
        <f>IF(H25=220,$H$14,IF(AND(H25&lt;=132,H25&gt;=66),$H$15,IF(AND(H25&lt;66,H25&gt;=33),$H$16,$H$17)))</f>
        <v>50</v>
      </c>
      <c r="Q25" s="378">
        <f>IF(N25="P",I25*P25*ROUND(M25/60,2)*0.1,"--")</f>
        <v>331.4582500000001</v>
      </c>
      <c r="R25" s="385" t="str">
        <f>IF(AND(N25="F",O25="NO"),I25*P25,"--")</f>
        <v>--</v>
      </c>
      <c r="S25" s="386" t="str">
        <f>IF(N25="F",I25*P25*ROUND(M25/60,2),"--")</f>
        <v>--</v>
      </c>
      <c r="T25" s="390" t="str">
        <f>IF(N25="RF",I25*P25*ROUND(M25/60,2),"--")</f>
        <v>--</v>
      </c>
      <c r="U25" s="366" t="s">
        <v>73</v>
      </c>
      <c r="V25" s="368">
        <f>IF(F25="","",SUM(Q25:T25)*IF(U25="SI",1,2)*IF(H25="500/220",0,1))</f>
        <v>331.4582500000001</v>
      </c>
      <c r="W25" s="148"/>
    </row>
    <row r="26" spans="2:23" s="8" customFormat="1" ht="16.5" customHeight="1">
      <c r="B26" s="33"/>
      <c r="C26" s="361">
        <v>54</v>
      </c>
      <c r="D26" s="361">
        <v>288698</v>
      </c>
      <c r="E26" s="361">
        <v>827</v>
      </c>
      <c r="F26" s="362" t="s">
        <v>109</v>
      </c>
      <c r="G26" s="362" t="s">
        <v>110</v>
      </c>
      <c r="H26" s="363">
        <v>132</v>
      </c>
      <c r="I26" s="395">
        <f>IF(H26=220,$G$14,IF(AND(H26&lt;=132,H26&gt;=66),$G$15,IF(AND(H26&lt;66,H26&gt;=33),$G$16,$G$17)))</f>
        <v>14.897</v>
      </c>
      <c r="J26" s="424">
        <v>42146.29513888889</v>
      </c>
      <c r="K26" s="424">
        <v>42146.42638888889</v>
      </c>
      <c r="L26" s="364">
        <f>IF(F26="","",(K26-J26)*24)</f>
        <v>3.1499999999650754</v>
      </c>
      <c r="M26" s="365">
        <f>IF(F26="","",ROUND((K26-J26)*24*60,0))</f>
        <v>189</v>
      </c>
      <c r="N26" s="366" t="s">
        <v>72</v>
      </c>
      <c r="O26" s="367" t="str">
        <f>IF(F26="","",IF(OR(N26="P",N26="RP"),"--","NO"))</f>
        <v>--</v>
      </c>
      <c r="P26" s="373">
        <f>IF(H26=220,$H$14,IF(AND(H26&lt;=132,H26&gt;=66),$H$15,IF(AND(H26&lt;66,H26&gt;=33),$H$16,$H$17)))</f>
        <v>50</v>
      </c>
      <c r="Q26" s="378">
        <f>IF(N26="P",I26*P26*ROUND(M26/60,2)*0.1,"--")</f>
        <v>234.62775000000002</v>
      </c>
      <c r="R26" s="385" t="str">
        <f>IF(AND(N26="F",O26="NO"),I26*P26,"--")</f>
        <v>--</v>
      </c>
      <c r="S26" s="386" t="str">
        <f>IF(N26="F",I26*P26*ROUND(M26/60,2),"--")</f>
        <v>--</v>
      </c>
      <c r="T26" s="390" t="str">
        <f>IF(N26="RF",I26*P26*ROUND(M26/60,2),"--")</f>
        <v>--</v>
      </c>
      <c r="U26" s="366" t="s">
        <v>73</v>
      </c>
      <c r="V26" s="368">
        <f>IF(F26="","",SUM(Q26:T26)*IF(U26="SI",1,2)*IF(H26="500/220",0,1))</f>
        <v>234.62775000000002</v>
      </c>
      <c r="W26" s="148"/>
    </row>
    <row r="27" spans="2:23" s="8" customFormat="1" ht="16.5" customHeight="1">
      <c r="B27" s="33"/>
      <c r="C27" s="432"/>
      <c r="D27" s="432"/>
      <c r="E27" s="432"/>
      <c r="F27" s="433"/>
      <c r="G27" s="433"/>
      <c r="H27" s="434"/>
      <c r="I27" s="435"/>
      <c r="J27" s="436"/>
      <c r="K27" s="436"/>
      <c r="L27" s="437"/>
      <c r="M27" s="438"/>
      <c r="N27" s="439"/>
      <c r="O27" s="440"/>
      <c r="P27" s="441"/>
      <c r="Q27" s="442"/>
      <c r="R27" s="443"/>
      <c r="S27" s="444"/>
      <c r="T27" s="445"/>
      <c r="U27" s="439"/>
      <c r="V27" s="446"/>
      <c r="W27" s="148"/>
    </row>
    <row r="28" spans="2:23" s="8" customFormat="1" ht="16.5" customHeight="1">
      <c r="B28" s="33"/>
      <c r="C28" s="432"/>
      <c r="D28" s="432"/>
      <c r="E28" s="432"/>
      <c r="F28" s="433"/>
      <c r="G28" s="433"/>
      <c r="H28" s="434"/>
      <c r="I28" s="435"/>
      <c r="J28" s="436"/>
      <c r="K28" s="436"/>
      <c r="L28" s="437"/>
      <c r="M28" s="438"/>
      <c r="N28" s="439"/>
      <c r="O28" s="440"/>
      <c r="P28" s="441"/>
      <c r="Q28" s="442"/>
      <c r="R28" s="443"/>
      <c r="S28" s="444"/>
      <c r="T28" s="445"/>
      <c r="U28" s="439"/>
      <c r="V28" s="446"/>
      <c r="W28" s="148"/>
    </row>
    <row r="29" spans="2:23" s="8" customFormat="1" ht="16.5" customHeight="1">
      <c r="B29" s="33"/>
      <c r="C29" s="432"/>
      <c r="D29" s="432"/>
      <c r="E29" s="432"/>
      <c r="F29" s="433"/>
      <c r="G29" s="433"/>
      <c r="H29" s="434"/>
      <c r="I29" s="435"/>
      <c r="J29" s="436"/>
      <c r="K29" s="436"/>
      <c r="L29" s="437"/>
      <c r="M29" s="438"/>
      <c r="N29" s="439"/>
      <c r="O29" s="440"/>
      <c r="P29" s="441"/>
      <c r="Q29" s="442"/>
      <c r="R29" s="443"/>
      <c r="S29" s="444"/>
      <c r="T29" s="445"/>
      <c r="U29" s="439"/>
      <c r="V29" s="446"/>
      <c r="W29" s="148"/>
    </row>
    <row r="30" spans="2:23" s="8" customFormat="1" ht="16.5" customHeight="1">
      <c r="B30" s="33"/>
      <c r="C30" s="432"/>
      <c r="D30" s="432"/>
      <c r="E30" s="432"/>
      <c r="F30" s="433"/>
      <c r="G30" s="433"/>
      <c r="H30" s="434"/>
      <c r="I30" s="435"/>
      <c r="J30" s="436"/>
      <c r="K30" s="436"/>
      <c r="L30" s="437"/>
      <c r="M30" s="438"/>
      <c r="N30" s="439"/>
      <c r="O30" s="440"/>
      <c r="P30" s="441"/>
      <c r="Q30" s="442"/>
      <c r="R30" s="443"/>
      <c r="S30" s="444"/>
      <c r="T30" s="445"/>
      <c r="U30" s="439"/>
      <c r="V30" s="446"/>
      <c r="W30" s="148"/>
    </row>
    <row r="31" spans="2:23" s="8" customFormat="1" ht="16.5" customHeight="1">
      <c r="B31" s="33"/>
      <c r="C31" s="432"/>
      <c r="D31" s="432"/>
      <c r="E31" s="432"/>
      <c r="F31" s="433"/>
      <c r="G31" s="433"/>
      <c r="H31" s="434"/>
      <c r="I31" s="435"/>
      <c r="J31" s="436"/>
      <c r="K31" s="436"/>
      <c r="L31" s="437"/>
      <c r="M31" s="438"/>
      <c r="N31" s="439"/>
      <c r="O31" s="440"/>
      <c r="P31" s="441"/>
      <c r="Q31" s="442"/>
      <c r="R31" s="443"/>
      <c r="S31" s="444"/>
      <c r="T31" s="445"/>
      <c r="U31" s="439"/>
      <c r="V31" s="446"/>
      <c r="W31" s="148"/>
    </row>
    <row r="32" spans="2:23" s="8" customFormat="1" ht="16.5" customHeight="1">
      <c r="B32" s="33"/>
      <c r="C32" s="432"/>
      <c r="D32" s="432"/>
      <c r="E32" s="432"/>
      <c r="F32" s="433"/>
      <c r="G32" s="433"/>
      <c r="H32" s="434"/>
      <c r="I32" s="435"/>
      <c r="J32" s="436"/>
      <c r="K32" s="436"/>
      <c r="L32" s="437"/>
      <c r="M32" s="438"/>
      <c r="N32" s="439"/>
      <c r="O32" s="440"/>
      <c r="P32" s="441"/>
      <c r="Q32" s="442"/>
      <c r="R32" s="443"/>
      <c r="S32" s="444"/>
      <c r="T32" s="445"/>
      <c r="U32" s="439"/>
      <c r="V32" s="446"/>
      <c r="W32" s="148"/>
    </row>
    <row r="33" spans="2:23" s="8" customFormat="1" ht="16.5" customHeight="1" thickBot="1">
      <c r="B33" s="33"/>
      <c r="C33" s="422"/>
      <c r="D33" s="422"/>
      <c r="E33" s="422"/>
      <c r="F33" s="422"/>
      <c r="G33" s="422"/>
      <c r="H33" s="422"/>
      <c r="I33" s="396"/>
      <c r="J33" s="422"/>
      <c r="K33" s="422"/>
      <c r="L33" s="369"/>
      <c r="M33" s="369"/>
      <c r="N33" s="422"/>
      <c r="O33" s="422"/>
      <c r="P33" s="374"/>
      <c r="Q33" s="379"/>
      <c r="R33" s="387"/>
      <c r="S33" s="388"/>
      <c r="T33" s="391"/>
      <c r="U33" s="369"/>
      <c r="V33" s="403"/>
      <c r="W33" s="148"/>
    </row>
    <row r="34" spans="2:23" s="8" customFormat="1" ht="16.5" customHeight="1" thickBot="1" thickTop="1">
      <c r="B34" s="33"/>
      <c r="C34" s="209" t="s">
        <v>40</v>
      </c>
      <c r="D34" s="430" t="s">
        <v>119</v>
      </c>
      <c r="E34" s="211"/>
      <c r="F34" s="210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380">
        <f>SUM(Q20:Q33)</f>
        <v>756.55155</v>
      </c>
      <c r="R34" s="254">
        <f>SUM(R20:R33)</f>
        <v>279.275</v>
      </c>
      <c r="S34" s="254">
        <f>SUM(S20:S33)</f>
        <v>13860.418249999999</v>
      </c>
      <c r="T34" s="392">
        <f>SUM(T20:T33)</f>
        <v>0</v>
      </c>
      <c r="U34" s="54"/>
      <c r="V34" s="239">
        <f>ROUND(SUM(V20:V33),2)</f>
        <v>14896.24</v>
      </c>
      <c r="W34" s="148"/>
    </row>
    <row r="35" spans="2:23" s="224" customFormat="1" ht="9.75" thickTop="1">
      <c r="B35" s="214"/>
      <c r="C35" s="211"/>
      <c r="D35" s="211"/>
      <c r="E35" s="211"/>
      <c r="F35" s="212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8"/>
      <c r="V35" s="229"/>
      <c r="W35" s="230"/>
    </row>
    <row r="36" spans="1:23" s="8" customFormat="1" ht="16.5" customHeight="1" thickBot="1">
      <c r="A36" s="9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8"/>
    </row>
    <row r="37" spans="1:23" ht="16.5" customHeigh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3:6" ht="16.5" customHeight="1">
      <c r="C38" s="4"/>
      <c r="D38" s="4"/>
      <c r="E38" s="4"/>
      <c r="F38" s="4"/>
    </row>
    <row r="39" ht="16.5" customHeight="1"/>
    <row r="40" ht="16.5" customHeight="1"/>
    <row r="41" ht="16.5" customHeight="1"/>
    <row r="42" ht="16.5" customHeight="1"/>
    <row r="43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8" r:id="rId3"/>
  <headerFooter alignWithMargins="0">
    <oddFooter>&amp;L&amp;"Times New Roman,Normal"&amp;8&amp;Z&amp;F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Gabriela Jaworski</cp:lastModifiedBy>
  <cp:lastPrinted>2015-12-30T13:36:07Z</cp:lastPrinted>
  <dcterms:created xsi:type="dcterms:W3CDTF">2000-10-04T19:31:04Z</dcterms:created>
  <dcterms:modified xsi:type="dcterms:W3CDTF">2015-12-30T13:36:35Z</dcterms:modified>
  <cp:category/>
  <cp:version/>
  <cp:contentType/>
  <cp:contentStatus/>
</cp:coreProperties>
</file>