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31" activeTab="0"/>
  </bookViews>
  <sheets>
    <sheet name="TOT-0315" sheetId="1" r:id="rId1"/>
    <sheet name="LI-03 (1)" sheetId="2" r:id="rId2"/>
    <sheet name="LI-03 (2)" sheetId="3" r:id="rId3"/>
    <sheet name="T-03 (1)" sheetId="4" r:id="rId4"/>
    <sheet name="T-03 (2)" sheetId="5" r:id="rId5"/>
    <sheet name="T-03 (3)" sheetId="6" r:id="rId6"/>
  </sheets>
  <definedNames/>
  <calcPr fullCalcOnLoad="1"/>
</workbook>
</file>

<file path=xl/sharedStrings.xml><?xml version="1.0" encoding="utf-8"?>
<sst xmlns="http://schemas.openxmlformats.org/spreadsheetml/2006/main" count="549" uniqueCount="110">
  <si>
    <t>SISTEMA DE TRANSPORTE DE ENERGÍA ELÉCTRICA POR DISTRIBUCIÓN TRONCAL</t>
  </si>
  <si>
    <t>TRANSNEA S.A.</t>
  </si>
  <si>
    <t xml:space="preserve">ENTE NACIONAL REGULADOR </t>
  </si>
  <si>
    <t>DE LA ELECTRICIDAD</t>
  </si>
  <si>
    <t>Sanciones duplicadas por tasa de falla &gt; 4 Sal. x año/100km.</t>
  </si>
  <si>
    <t>1.-</t>
  </si>
  <si>
    <t>LÍNEAS</t>
  </si>
  <si>
    <t>1.1.-</t>
  </si>
  <si>
    <t>Equipamiento propio</t>
  </si>
  <si>
    <t>2.-</t>
  </si>
  <si>
    <t>CONEXIÓN</t>
  </si>
  <si>
    <t>2.1.-</t>
  </si>
  <si>
    <t>Transformación</t>
  </si>
  <si>
    <t xml:space="preserve">TOTAL </t>
  </si>
  <si>
    <t>SISTEMA DE TRANSPORTE DE ENERGÍA ELÉCTRICA POR DISTRIBUCIÓN TRONCAL - TRANSNEA S.A.</t>
  </si>
  <si>
    <t>1.- LÍNEAS</t>
  </si>
  <si>
    <t>1.1.- Líneas propias</t>
  </si>
  <si>
    <t xml:space="preserve">$/100 km-h : LÍNEAS 220 kV </t>
  </si>
  <si>
    <t xml:space="preserve">$/100 km-h : LÍNEAS 132 kV </t>
  </si>
  <si>
    <t>FACTOR DE PENALIZACIÓN K 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</si>
  <si>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</si>
  <si>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</si>
  <si>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</si>
  <si>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</si>
  <si>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</si>
  <si>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</si>
  <si>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</si>
  <si>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 xml:space="preserve">Hs.
Indisp. 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</si>
  <si>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</si>
  <si>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</si>
  <si>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</si>
  <si>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PENALIZAC.
PROGRAM.</t>
  </si>
  <si>
    <t>REDUCC.
PROGRAM.</t>
  </si>
  <si>
    <t>PENALIZACIÓN FORZADA
Por Salida    1ras. 3 hs.  hs. Restantes</t>
  </si>
  <si>
    <t>REDUCC. FORZADA
Por Salida    1ras. 3 hs.  hs. Restantes</t>
  </si>
  <si>
    <t>RESTANTE
FORZADA</t>
  </si>
  <si>
    <t>REDUCC.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</si>
  <si>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</si>
  <si>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</si>
  <si>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</si>
  <si>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</si>
  <si>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</si>
  <si>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Coeficiente de penalización por salida forzada   =</t>
  </si>
  <si>
    <t>ESTACIÓN
TRANSFORMADORA</t>
  </si>
  <si>
    <t>EQUIPO</t>
  </si>
  <si>
    <t>POT.
[MVA]</t>
  </si>
  <si>
    <t>Hs.
Indisp.</t>
  </si>
  <si>
    <t>Mtos.
Indisp.</t>
  </si>
  <si>
    <r>
      <t>Tipo 
Sal.(</t>
    </r>
    <r>
      <rPr>
        <sz val="11"/>
        <rFont val="Wingdings"/>
        <family val="0"/>
      </rPr>
      <t>²</t>
    </r>
    <r>
      <rPr>
        <sz val="11"/>
        <rFont val="MS Sans Serif"/>
        <family val="2"/>
      </rPr>
      <t>)</t>
    </r>
  </si>
  <si>
    <t>AUT.</t>
  </si>
  <si>
    <t>E.N.S.</t>
  </si>
  <si>
    <t>K (P;ENS)</t>
  </si>
  <si>
    <t>PENALIZ.
PROGRAM.</t>
  </si>
  <si>
    <t>PENALIZACIÓN FORZADA
Por Salida    hs. Restantes</t>
  </si>
  <si>
    <t>REDUCC. FORZADA
Por Salida    hs. Restantes</t>
  </si>
  <si>
    <t>Por Transformador  [$ / h - MVA]  =</t>
  </si>
  <si>
    <t>2.1.1.-</t>
  </si>
  <si>
    <t>132/33/13,2</t>
  </si>
  <si>
    <t>INDISP</t>
  </si>
  <si>
    <t>ID EQUIPO</t>
  </si>
  <si>
    <t xml:space="preserve"> ENTE NACIONAL REGULADOR </t>
  </si>
  <si>
    <t xml:space="preserve">       DE LA ELECTRICIDAD</t>
  </si>
  <si>
    <t>Desde el 01 al 31 de marzo de 2015</t>
  </si>
  <si>
    <t>STA. CATALINA - RESISTENCIA</t>
  </si>
  <si>
    <t>P</t>
  </si>
  <si>
    <t>SI</t>
  </si>
  <si>
    <t>BARRANQUERAS - CORRIENTES 2</t>
  </si>
  <si>
    <t>BARRANQUERAS - CORRIENTES 1</t>
  </si>
  <si>
    <t>PIRANE - IBARRETA</t>
  </si>
  <si>
    <t>BARRANQUERAS - RESISTENCIA 1</t>
  </si>
  <si>
    <t>FORMOSA - RESISTENCIA</t>
  </si>
  <si>
    <t>GRAN FORMOSA - PIRANE   1</t>
  </si>
  <si>
    <t>F</t>
  </si>
  <si>
    <t>BELLA VISTA - GOYA</t>
  </si>
  <si>
    <t>RESISTENCIA - BARRANQUERAS (RESIST. N.)</t>
  </si>
  <si>
    <t>SALTO GRANDE  AR - CHAJARI</t>
  </si>
  <si>
    <t>MONTE CASEROS - CHAJARI</t>
  </si>
  <si>
    <t>BARRANQUERAS</t>
  </si>
  <si>
    <t>TRAFO 7</t>
  </si>
  <si>
    <t>RP</t>
  </si>
  <si>
    <t>SARMIENTO NEA</t>
  </si>
  <si>
    <t>TRAFO 1</t>
  </si>
  <si>
    <t>0,000</t>
  </si>
  <si>
    <t>CORRIENTES</t>
  </si>
  <si>
    <t>TRAFO 3</t>
  </si>
  <si>
    <t>R</t>
  </si>
  <si>
    <t>TRAFO 4</t>
  </si>
  <si>
    <t>RESISTENCIA NORTE</t>
  </si>
  <si>
    <t>TRAFO 5</t>
  </si>
  <si>
    <t>TRAFO 9</t>
  </si>
  <si>
    <t>SANTA CATALINA</t>
  </si>
  <si>
    <t>FORMOSA</t>
  </si>
  <si>
    <t>132/33/13,8</t>
  </si>
  <si>
    <t>TRAFO 2</t>
  </si>
  <si>
    <t>132/13,2</t>
  </si>
  <si>
    <t>132/34,5/13,8</t>
  </si>
  <si>
    <t>BELLA VISTA</t>
  </si>
  <si>
    <t>132/33/13.2</t>
  </si>
  <si>
    <t>GOYA</t>
  </si>
  <si>
    <t>PIRANE</t>
  </si>
  <si>
    <t>132/33/13,3</t>
  </si>
  <si>
    <t>CLORINDA</t>
  </si>
  <si>
    <t>S. CATALINA-C.BRUGNE</t>
  </si>
  <si>
    <t>132/33/13.3</t>
  </si>
  <si>
    <t>LAGUNA BLANCA</t>
  </si>
  <si>
    <t>0,001</t>
  </si>
  <si>
    <t>LA CRUZ</t>
  </si>
  <si>
    <t>TOTAL DE PENALIZACIONES A APLICAR</t>
  </si>
  <si>
    <t>ANEXO III al Memorándum  D.T.E.E.  N° 821/2015.-</t>
  </si>
  <si>
    <t>Valores remuneratorios según Convenio de Renovación - Nota ENRE Nº 117664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</si>
</sst>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#,##0.0000"/>
    <numFmt numFmtId="167" formatCode="0.00_)"/>
    <numFmt numFmtId="168" formatCode="#,##0.00000"/>
    <numFmt numFmtId="169" formatCode="0.0"/>
    <numFmt numFmtId="170" formatCode="&quot;$&quot;\ #,##0.000;&quot;$&quot;\ \-#,##0.000"/>
    <numFmt numFmtId="171" formatCode="#,##0.0"/>
    <numFmt numFmtId="172" formatCode="0.000"/>
    <numFmt numFmtId="173" formatCode="&quot;$&quot;\ #,##0.00"/>
    <numFmt numFmtId="174" formatCode="0.000_)"/>
    <numFmt numFmtId="175" formatCode="#,##0;[Red]#,##0"/>
    <numFmt numFmtId="176" formatCode="#,##0.000000"/>
    <numFmt numFmtId="177" formatCode="mmm\-yyyy"/>
  </numFmts>
  <fonts count="97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4"/>
      <name val="Times New Roman"/>
      <family val="1"/>
    </font>
    <font>
      <sz val="16"/>
      <name val="MS Sans Serif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2"/>
    </font>
    <font>
      <b/>
      <sz val="20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6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2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1"/>
      <color indexed="12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1"/>
    </font>
    <font>
      <sz val="11"/>
      <color indexed="47"/>
      <name val="MS Sans Serif"/>
      <family val="2"/>
    </font>
    <font>
      <b/>
      <sz val="10"/>
      <color indexed="47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1"/>
    </font>
    <font>
      <sz val="11"/>
      <color indexed="34"/>
      <name val="MS Sans Serif"/>
      <family val="2"/>
    </font>
    <font>
      <b/>
      <sz val="10"/>
      <color indexed="34"/>
      <name val="Times New Roman"/>
      <family val="1"/>
    </font>
    <font>
      <sz val="11"/>
      <color indexed="60"/>
      <name val="MS Sans Serif"/>
      <family val="2"/>
    </font>
    <font>
      <b/>
      <sz val="10"/>
      <color indexed="60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name val="Wingdings"/>
      <family val="0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sz val="8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 style="double"/>
      <right style="double"/>
      <top style="double"/>
      <bottom style="thin"/>
    </border>
    <border>
      <left/>
      <right style="thick"/>
      <top style="double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 style="double"/>
      <top style="thin"/>
      <bottom style="thin"/>
    </border>
    <border>
      <left style="double"/>
      <right/>
      <top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thin"/>
    </border>
    <border>
      <left/>
      <right style="double"/>
      <top/>
      <bottom style="thin"/>
    </border>
    <border>
      <left style="double"/>
      <right style="double"/>
      <top/>
      <bottom style="thick"/>
    </border>
    <border>
      <left style="double"/>
      <right style="double"/>
      <top style="double"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8" fillId="29" borderId="1" applyNumberFormat="0" applyAlignment="0" applyProtection="0"/>
    <xf numFmtId="0" fontId="8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1" fillId="21" borderId="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87" fillId="0" borderId="8" applyNumberFormat="0" applyFill="0" applyAlignment="0" applyProtection="0"/>
    <xf numFmtId="0" fontId="96" fillId="0" borderId="9" applyNumberFormat="0" applyFill="0" applyAlignment="0" applyProtection="0"/>
  </cellStyleXfs>
  <cellXfs count="3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/>
      <protection/>
    </xf>
    <xf numFmtId="167" fontId="5" fillId="0" borderId="1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4" fillId="0" borderId="0" xfId="0" applyFont="1" applyBorder="1" applyAlignment="1">
      <alignment/>
    </xf>
    <xf numFmtId="7" fontId="6" fillId="0" borderId="0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22" fontId="5" fillId="0" borderId="11" xfId="0" applyNumberFormat="1" applyFont="1" applyBorder="1" applyAlignment="1" applyProtection="1">
      <alignment horizontal="center"/>
      <protection locked="0"/>
    </xf>
    <xf numFmtId="167" fontId="5" fillId="0" borderId="11" xfId="0" applyNumberFormat="1" applyFont="1" applyBorder="1" applyAlignment="1" applyProtection="1">
      <alignment horizontal="center"/>
      <protection locked="0"/>
    </xf>
    <xf numFmtId="167" fontId="5" fillId="0" borderId="11" xfId="0" applyNumberFormat="1" applyFont="1" applyBorder="1" applyAlignment="1" applyProtection="1" quotePrefix="1">
      <alignment horizontal="center"/>
      <protection locked="0"/>
    </xf>
    <xf numFmtId="4" fontId="9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center"/>
    </xf>
    <xf numFmtId="167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 quotePrefix="1">
      <alignment horizontal="center"/>
      <protection/>
    </xf>
    <xf numFmtId="4" fontId="8" fillId="0" borderId="0" xfId="0" applyNumberFormat="1" applyFont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 quotePrefix="1">
      <alignment horizontal="center"/>
      <protection locked="0"/>
    </xf>
    <xf numFmtId="22" fontId="5" fillId="0" borderId="11" xfId="0" applyNumberFormat="1" applyFont="1" applyFill="1" applyBorder="1" applyAlignment="1" applyProtection="1">
      <alignment horizontal="center"/>
      <protection locked="0"/>
    </xf>
    <xf numFmtId="167" fontId="5" fillId="0" borderId="11" xfId="0" applyNumberFormat="1" applyFont="1" applyFill="1" applyBorder="1" applyAlignment="1" applyProtection="1">
      <alignment horizontal="center"/>
      <protection locked="0"/>
    </xf>
    <xf numFmtId="165" fontId="5" fillId="0" borderId="22" xfId="0" applyNumberFormat="1" applyFont="1" applyBorder="1" applyAlignment="1" applyProtection="1" quotePrefix="1">
      <alignment horizontal="center"/>
      <protection locked="0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7" fontId="6" fillId="0" borderId="24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19" fillId="0" borderId="0" xfId="0" applyFont="1" applyFill="1" applyBorder="1" applyAlignment="1" applyProtection="1">
      <alignment horizontal="centerContinuous"/>
      <protection/>
    </xf>
    <xf numFmtId="0" fontId="20" fillId="0" borderId="0" xfId="0" applyNumberFormat="1" applyFont="1" applyAlignment="1">
      <alignment horizontal="left"/>
    </xf>
    <xf numFmtId="0" fontId="26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3" fillId="0" borderId="18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8" xfId="0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20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7" fontId="17" fillId="0" borderId="0" xfId="0" applyNumberFormat="1" applyFont="1" applyBorder="1" applyAlignment="1">
      <alignment/>
    </xf>
    <xf numFmtId="167" fontId="17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18" fillId="0" borderId="18" xfId="0" applyFont="1" applyBorder="1" applyAlignment="1">
      <alignment/>
    </xf>
    <xf numFmtId="0" fontId="18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Border="1" applyAlignment="1" applyProtection="1">
      <alignment horizontal="centerContinuous"/>
      <protection/>
    </xf>
    <xf numFmtId="0" fontId="13" fillId="0" borderId="0" xfId="0" applyFont="1" applyFill="1" applyBorder="1" applyAlignment="1" applyProtection="1" quotePrefix="1">
      <alignment horizontal="centerContinuous"/>
      <protection locked="0"/>
    </xf>
    <xf numFmtId="0" fontId="19" fillId="0" borderId="0" xfId="0" applyFont="1" applyBorder="1" applyAlignment="1" applyProtection="1">
      <alignment horizontal="centerContinuous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 horizontal="center"/>
    </xf>
    <xf numFmtId="7" fontId="9" fillId="0" borderId="28" xfId="0" applyNumberFormat="1" applyFont="1" applyBorder="1" applyAlignment="1">
      <alignment horizontal="right"/>
    </xf>
    <xf numFmtId="0" fontId="28" fillId="0" borderId="29" xfId="0" applyFont="1" applyBorder="1" applyAlignment="1">
      <alignment horizontal="center" vertical="center"/>
    </xf>
    <xf numFmtId="0" fontId="28" fillId="0" borderId="29" xfId="0" applyFont="1" applyBorder="1" applyAlignment="1" applyProtection="1">
      <alignment horizontal="center" vertical="center"/>
      <protection/>
    </xf>
    <xf numFmtId="0" fontId="28" fillId="0" borderId="29" xfId="0" applyFont="1" applyBorder="1" applyAlignment="1" applyProtection="1">
      <alignment horizontal="center" vertical="center" wrapText="1"/>
      <protection/>
    </xf>
    <xf numFmtId="0" fontId="28" fillId="0" borderId="25" xfId="0" applyFont="1" applyBorder="1" applyAlignment="1" applyProtection="1">
      <alignment horizontal="center" vertical="center" wrapText="1"/>
      <protection/>
    </xf>
    <xf numFmtId="16" fontId="28" fillId="0" borderId="29" xfId="0" applyNumberFormat="1" applyFont="1" applyBorder="1" applyAlignment="1" quotePrefix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22" fontId="5" fillId="0" borderId="0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18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 quotePrefix="1">
      <alignment horizontal="centerContinuous"/>
    </xf>
    <xf numFmtId="0" fontId="13" fillId="0" borderId="18" xfId="0" applyFont="1" applyFill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13" fillId="0" borderId="10" xfId="0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0" fillId="0" borderId="25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>
      <alignment/>
    </xf>
    <xf numFmtId="0" fontId="0" fillId="0" borderId="25" xfId="0" applyFont="1" applyFill="1" applyBorder="1" applyAlignment="1" applyProtection="1" quotePrefix="1">
      <alignment horizontal="left"/>
      <protection/>
    </xf>
    <xf numFmtId="0" fontId="0" fillId="0" borderId="31" xfId="0" applyFont="1" applyFill="1" applyBorder="1" applyAlignment="1" applyProtection="1">
      <alignment horizontal="center"/>
      <protection/>
    </xf>
    <xf numFmtId="164" fontId="0" fillId="0" borderId="29" xfId="0" applyNumberFormat="1" applyFont="1" applyFill="1" applyBorder="1" applyAlignment="1" applyProtection="1">
      <alignment horizontal="center"/>
      <protection/>
    </xf>
    <xf numFmtId="0" fontId="28" fillId="0" borderId="29" xfId="0" applyFont="1" applyFill="1" applyBorder="1" applyAlignment="1" applyProtection="1">
      <alignment horizontal="center" vertical="center"/>
      <protection/>
    </xf>
    <xf numFmtId="0" fontId="28" fillId="0" borderId="25" xfId="0" applyFont="1" applyFill="1" applyBorder="1" applyAlignment="1" applyProtection="1">
      <alignment horizontal="center" vertical="center"/>
      <protection/>
    </xf>
    <xf numFmtId="0" fontId="28" fillId="0" borderId="29" xfId="0" applyFont="1" applyFill="1" applyBorder="1" applyAlignment="1" applyProtection="1" quotePrefix="1">
      <alignment horizontal="center" vertical="center" wrapText="1"/>
      <protection/>
    </xf>
    <xf numFmtId="0" fontId="28" fillId="0" borderId="29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16" fontId="28" fillId="0" borderId="29" xfId="0" applyNumberFormat="1" applyFont="1" applyFill="1" applyBorder="1" applyAlignment="1" quotePrefix="1">
      <alignment horizontal="center" vertical="center" wrapText="1"/>
    </xf>
    <xf numFmtId="0" fontId="16" fillId="0" borderId="11" xfId="0" applyFont="1" applyFill="1" applyBorder="1" applyAlignment="1">
      <alignment/>
    </xf>
    <xf numFmtId="7" fontId="9" fillId="0" borderId="28" xfId="0" applyNumberFormat="1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>
      <alignment/>
    </xf>
    <xf numFmtId="0" fontId="19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17" fillId="0" borderId="18" xfId="0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7" fontId="11" fillId="0" borderId="0" xfId="0" applyNumberFormat="1" applyFont="1" applyBorder="1" applyAlignment="1">
      <alignment horizontal="right"/>
    </xf>
    <xf numFmtId="0" fontId="17" fillId="0" borderId="10" xfId="0" applyFont="1" applyBorder="1" applyAlignment="1">
      <alignment/>
    </xf>
    <xf numFmtId="7" fontId="6" fillId="0" borderId="0" xfId="0" applyNumberFormat="1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6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0" xfId="0" applyFont="1" applyBorder="1" applyAlignment="1" applyProtection="1">
      <alignment horizontal="center"/>
      <protection/>
    </xf>
    <xf numFmtId="2" fontId="34" fillId="0" borderId="0" xfId="0" applyNumberFormat="1" applyFont="1" applyBorder="1" applyAlignment="1" applyProtection="1">
      <alignment horizontal="center"/>
      <protection/>
    </xf>
    <xf numFmtId="167" fontId="34" fillId="0" borderId="0" xfId="0" applyNumberFormat="1" applyFont="1" applyBorder="1" applyAlignment="1" applyProtection="1">
      <alignment horizontal="center"/>
      <protection/>
    </xf>
    <xf numFmtId="167" fontId="34" fillId="0" borderId="0" xfId="0" applyNumberFormat="1" applyFont="1" applyBorder="1" applyAlignment="1" applyProtection="1" quotePrefix="1">
      <alignment horizontal="center"/>
      <protection/>
    </xf>
    <xf numFmtId="2" fontId="37" fillId="0" borderId="0" xfId="0" applyNumberFormat="1" applyFont="1" applyBorder="1" applyAlignment="1">
      <alignment horizontal="center"/>
    </xf>
    <xf numFmtId="167" fontId="38" fillId="0" borderId="0" xfId="0" applyNumberFormat="1" applyFont="1" applyBorder="1" applyAlignment="1" applyProtection="1" quotePrefix="1">
      <alignment horizontal="center"/>
      <protection/>
    </xf>
    <xf numFmtId="4" fontId="38" fillId="0" borderId="0" xfId="0" applyNumberFormat="1" applyFont="1" applyBorder="1" applyAlignment="1">
      <alignment horizontal="center"/>
    </xf>
    <xf numFmtId="7" fontId="39" fillId="0" borderId="0" xfId="0" applyNumberFormat="1" applyFont="1" applyBorder="1" applyAlignment="1">
      <alignment horizontal="right"/>
    </xf>
    <xf numFmtId="2" fontId="34" fillId="0" borderId="1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1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7" fontId="34" fillId="0" borderId="0" xfId="0" applyNumberFormat="1" applyFont="1" applyFill="1" applyBorder="1" applyAlignment="1">
      <alignment horizontal="center"/>
    </xf>
    <xf numFmtId="7" fontId="39" fillId="0" borderId="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/>
    </xf>
    <xf numFmtId="0" fontId="28" fillId="0" borderId="29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Continuous"/>
    </xf>
    <xf numFmtId="0" fontId="40" fillId="33" borderId="29" xfId="0" applyFont="1" applyFill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 applyProtection="1">
      <alignment horizontal="center"/>
      <protection locked="0"/>
    </xf>
    <xf numFmtId="0" fontId="42" fillId="33" borderId="25" xfId="0" applyFont="1" applyFill="1" applyBorder="1" applyAlignment="1" applyProtection="1">
      <alignment horizontal="centerContinuous" vertical="center" wrapText="1"/>
      <protection/>
    </xf>
    <xf numFmtId="0" fontId="43" fillId="33" borderId="31" xfId="0" applyFont="1" applyFill="1" applyBorder="1" applyAlignment="1">
      <alignment horizontal="centerContinuous"/>
    </xf>
    <xf numFmtId="0" fontId="42" fillId="33" borderId="24" xfId="0" applyFont="1" applyFill="1" applyBorder="1" applyAlignment="1">
      <alignment horizontal="centerContinuous" vertical="center"/>
    </xf>
    <xf numFmtId="7" fontId="11" fillId="0" borderId="29" xfId="0" applyNumberFormat="1" applyFont="1" applyBorder="1" applyAlignment="1">
      <alignment horizontal="right"/>
    </xf>
    <xf numFmtId="7" fontId="11" fillId="0" borderId="29" xfId="0" applyNumberFormat="1" applyFont="1" applyFill="1" applyBorder="1" applyAlignment="1">
      <alignment horizontal="right"/>
    </xf>
    <xf numFmtId="0" fontId="46" fillId="0" borderId="15" xfId="0" applyFont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167" fontId="47" fillId="33" borderId="11" xfId="0" applyNumberFormat="1" applyFont="1" applyFill="1" applyBorder="1" applyAlignment="1" applyProtection="1">
      <alignment horizontal="center"/>
      <protection/>
    </xf>
    <xf numFmtId="167" fontId="47" fillId="33" borderId="12" xfId="0" applyNumberFormat="1" applyFont="1" applyFill="1" applyBorder="1" applyAlignment="1" applyProtection="1">
      <alignment horizontal="center"/>
      <protection/>
    </xf>
    <xf numFmtId="2" fontId="5" fillId="0" borderId="22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48" fillId="34" borderId="29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/>
    </xf>
    <xf numFmtId="2" fontId="49" fillId="34" borderId="29" xfId="0" applyNumberFormat="1" applyFont="1" applyFill="1" applyBorder="1" applyAlignment="1">
      <alignment horizontal="center"/>
    </xf>
    <xf numFmtId="167" fontId="49" fillId="34" borderId="29" xfId="0" applyNumberFormat="1" applyFont="1" applyFill="1" applyBorder="1" applyAlignment="1" applyProtection="1" quotePrefix="1">
      <alignment horizontal="center"/>
      <protection/>
    </xf>
    <xf numFmtId="0" fontId="50" fillId="35" borderId="29" xfId="0" applyFont="1" applyFill="1" applyBorder="1" applyAlignment="1">
      <alignment horizontal="center" vertical="center" wrapText="1"/>
    </xf>
    <xf numFmtId="167" fontId="51" fillId="35" borderId="29" xfId="0" applyNumberFormat="1" applyFont="1" applyFill="1" applyBorder="1" applyAlignment="1" applyProtection="1" quotePrefix="1">
      <alignment horizontal="center"/>
      <protection/>
    </xf>
    <xf numFmtId="0" fontId="51" fillId="35" borderId="22" xfId="0" applyFont="1" applyFill="1" applyBorder="1" applyAlignment="1">
      <alignment/>
    </xf>
    <xf numFmtId="2" fontId="51" fillId="35" borderId="22" xfId="0" applyNumberFormat="1" applyFont="1" applyFill="1" applyBorder="1" applyAlignment="1">
      <alignment horizontal="center"/>
    </xf>
    <xf numFmtId="0" fontId="51" fillId="35" borderId="13" xfId="0" applyFont="1" applyFill="1" applyBorder="1" applyAlignment="1">
      <alignment/>
    </xf>
    <xf numFmtId="167" fontId="51" fillId="35" borderId="32" xfId="0" applyNumberFormat="1" applyFont="1" applyFill="1" applyBorder="1" applyAlignment="1" applyProtection="1" quotePrefix="1">
      <alignment horizontal="center"/>
      <protection/>
    </xf>
    <xf numFmtId="0" fontId="45" fillId="33" borderId="33" xfId="0" applyFont="1" applyFill="1" applyBorder="1" applyAlignment="1">
      <alignment horizontal="center"/>
    </xf>
    <xf numFmtId="0" fontId="45" fillId="33" borderId="34" xfId="0" applyFont="1" applyFill="1" applyBorder="1" applyAlignment="1">
      <alignment/>
    </xf>
    <xf numFmtId="0" fontId="45" fillId="33" borderId="26" xfId="0" applyFont="1" applyFill="1" applyBorder="1" applyAlignment="1">
      <alignment/>
    </xf>
    <xf numFmtId="0" fontId="45" fillId="33" borderId="35" xfId="0" applyFont="1" applyFill="1" applyBorder="1" applyAlignment="1">
      <alignment horizontal="center"/>
    </xf>
    <xf numFmtId="0" fontId="45" fillId="33" borderId="36" xfId="0" applyFont="1" applyFill="1" applyBorder="1" applyAlignment="1">
      <alignment/>
    </xf>
    <xf numFmtId="0" fontId="45" fillId="33" borderId="27" xfId="0" applyFont="1" applyFill="1" applyBorder="1" applyAlignment="1">
      <alignment/>
    </xf>
    <xf numFmtId="167" fontId="45" fillId="33" borderId="35" xfId="0" applyNumberFormat="1" applyFont="1" applyFill="1" applyBorder="1" applyAlignment="1" applyProtection="1" quotePrefix="1">
      <alignment horizontal="center"/>
      <protection/>
    </xf>
    <xf numFmtId="167" fontId="45" fillId="33" borderId="36" xfId="0" applyNumberFormat="1" applyFont="1" applyFill="1" applyBorder="1" applyAlignment="1" applyProtection="1" quotePrefix="1">
      <alignment horizontal="center"/>
      <protection/>
    </xf>
    <xf numFmtId="4" fontId="45" fillId="33" borderId="27" xfId="0" applyNumberFormat="1" applyFont="1" applyFill="1" applyBorder="1" applyAlignment="1">
      <alignment horizontal="center"/>
    </xf>
    <xf numFmtId="167" fontId="45" fillId="33" borderId="37" xfId="0" applyNumberFormat="1" applyFont="1" applyFill="1" applyBorder="1" applyAlignment="1" applyProtection="1" quotePrefix="1">
      <alignment horizontal="center"/>
      <protection/>
    </xf>
    <xf numFmtId="4" fontId="45" fillId="33" borderId="38" xfId="0" applyNumberFormat="1" applyFont="1" applyFill="1" applyBorder="1" applyAlignment="1">
      <alignment horizontal="center"/>
    </xf>
    <xf numFmtId="4" fontId="45" fillId="33" borderId="39" xfId="0" applyNumberFormat="1" applyFont="1" applyFill="1" applyBorder="1" applyAlignment="1">
      <alignment horizontal="center"/>
    </xf>
    <xf numFmtId="167" fontId="45" fillId="33" borderId="29" xfId="0" applyNumberFormat="1" applyFont="1" applyFill="1" applyBorder="1" applyAlignment="1" applyProtection="1" quotePrefix="1">
      <alignment horizontal="center"/>
      <protection/>
    </xf>
    <xf numFmtId="0" fontId="52" fillId="36" borderId="25" xfId="0" applyFont="1" applyFill="1" applyBorder="1" applyAlignment="1" applyProtection="1">
      <alignment horizontal="centerContinuous" vertical="center" wrapText="1"/>
      <protection/>
    </xf>
    <xf numFmtId="0" fontId="52" fillId="36" borderId="31" xfId="0" applyFont="1" applyFill="1" applyBorder="1" applyAlignment="1">
      <alignment horizontal="centerContinuous" vertical="center"/>
    </xf>
    <xf numFmtId="0" fontId="52" fillId="36" borderId="24" xfId="0" applyFont="1" applyFill="1" applyBorder="1" applyAlignment="1">
      <alignment horizontal="centerContinuous" vertical="center"/>
    </xf>
    <xf numFmtId="0" fontId="53" fillId="36" borderId="33" xfId="0" applyFont="1" applyFill="1" applyBorder="1" applyAlignment="1">
      <alignment/>
    </xf>
    <xf numFmtId="0" fontId="53" fillId="36" borderId="40" xfId="0" applyFont="1" applyFill="1" applyBorder="1" applyAlignment="1">
      <alignment/>
    </xf>
    <xf numFmtId="0" fontId="53" fillId="36" borderId="41" xfId="0" applyFont="1" applyFill="1" applyBorder="1" applyAlignment="1">
      <alignment/>
    </xf>
    <xf numFmtId="0" fontId="53" fillId="36" borderId="35" xfId="0" applyFont="1" applyFill="1" applyBorder="1" applyAlignment="1">
      <alignment/>
    </xf>
    <xf numFmtId="0" fontId="53" fillId="36" borderId="42" xfId="0" applyFont="1" applyFill="1" applyBorder="1" applyAlignment="1">
      <alignment/>
    </xf>
    <xf numFmtId="0" fontId="53" fillId="36" borderId="43" xfId="0" applyFont="1" applyFill="1" applyBorder="1" applyAlignment="1">
      <alignment/>
    </xf>
    <xf numFmtId="167" fontId="53" fillId="36" borderId="35" xfId="0" applyNumberFormat="1" applyFont="1" applyFill="1" applyBorder="1" applyAlignment="1" applyProtection="1" quotePrefix="1">
      <alignment horizontal="center"/>
      <protection/>
    </xf>
    <xf numFmtId="167" fontId="53" fillId="36" borderId="36" xfId="0" applyNumberFormat="1" applyFont="1" applyFill="1" applyBorder="1" applyAlignment="1" applyProtection="1" quotePrefix="1">
      <alignment horizontal="center"/>
      <protection/>
    </xf>
    <xf numFmtId="4" fontId="53" fillId="36" borderId="27" xfId="0" applyNumberFormat="1" applyFont="1" applyFill="1" applyBorder="1" applyAlignment="1">
      <alignment horizontal="center"/>
    </xf>
    <xf numFmtId="4" fontId="53" fillId="36" borderId="37" xfId="0" applyNumberFormat="1" applyFont="1" applyFill="1" applyBorder="1" applyAlignment="1">
      <alignment horizontal="center"/>
    </xf>
    <xf numFmtId="4" fontId="53" fillId="36" borderId="44" xfId="0" applyNumberFormat="1" applyFont="1" applyFill="1" applyBorder="1" applyAlignment="1">
      <alignment horizontal="center"/>
    </xf>
    <xf numFmtId="4" fontId="53" fillId="36" borderId="45" xfId="0" applyNumberFormat="1" applyFont="1" applyFill="1" applyBorder="1" applyAlignment="1">
      <alignment horizontal="center"/>
    </xf>
    <xf numFmtId="167" fontId="53" fillId="36" borderId="29" xfId="0" applyNumberFormat="1" applyFont="1" applyFill="1" applyBorder="1" applyAlignment="1" applyProtection="1" quotePrefix="1">
      <alignment horizontal="center"/>
      <protection/>
    </xf>
    <xf numFmtId="0" fontId="54" fillId="37" borderId="29" xfId="0" applyFont="1" applyFill="1" applyBorder="1" applyAlignment="1">
      <alignment horizontal="center" vertical="center" wrapText="1"/>
    </xf>
    <xf numFmtId="0" fontId="55" fillId="37" borderId="13" xfId="0" applyFont="1" applyFill="1" applyBorder="1" applyAlignment="1">
      <alignment/>
    </xf>
    <xf numFmtId="0" fontId="55" fillId="37" borderId="11" xfId="0" applyFont="1" applyFill="1" applyBorder="1" applyAlignment="1">
      <alignment/>
    </xf>
    <xf numFmtId="4" fontId="55" fillId="37" borderId="11" xfId="0" applyNumberFormat="1" applyFont="1" applyFill="1" applyBorder="1" applyAlignment="1">
      <alignment horizontal="center"/>
    </xf>
    <xf numFmtId="4" fontId="55" fillId="37" borderId="12" xfId="0" applyNumberFormat="1" applyFont="1" applyFill="1" applyBorder="1" applyAlignment="1">
      <alignment horizontal="center"/>
    </xf>
    <xf numFmtId="167" fontId="55" fillId="37" borderId="29" xfId="0" applyNumberFormat="1" applyFont="1" applyFill="1" applyBorder="1" applyAlignment="1" applyProtection="1" quotePrefix="1">
      <alignment horizontal="center"/>
      <protection/>
    </xf>
    <xf numFmtId="0" fontId="52" fillId="38" borderId="29" xfId="0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/>
    </xf>
    <xf numFmtId="0" fontId="53" fillId="38" borderId="11" xfId="0" applyFont="1" applyFill="1" applyBorder="1" applyAlignment="1">
      <alignment/>
    </xf>
    <xf numFmtId="4" fontId="53" fillId="38" borderId="11" xfId="0" applyNumberFormat="1" applyFont="1" applyFill="1" applyBorder="1" applyAlignment="1">
      <alignment horizontal="center"/>
    </xf>
    <xf numFmtId="4" fontId="53" fillId="38" borderId="12" xfId="0" applyNumberFormat="1" applyFont="1" applyFill="1" applyBorder="1" applyAlignment="1">
      <alignment horizontal="center"/>
    </xf>
    <xf numFmtId="167" fontId="53" fillId="38" borderId="29" xfId="0" applyNumberFormat="1" applyFont="1" applyFill="1" applyBorder="1" applyAlignment="1" applyProtection="1" quotePrefix="1">
      <alignment horizontal="center"/>
      <protection/>
    </xf>
    <xf numFmtId="0" fontId="47" fillId="33" borderId="12" xfId="0" applyFont="1" applyFill="1" applyBorder="1" applyAlignment="1">
      <alignment/>
    </xf>
    <xf numFmtId="167" fontId="5" fillId="0" borderId="11" xfId="0" applyNumberFormat="1" applyFont="1" applyFill="1" applyBorder="1" applyAlignment="1" applyProtection="1" quotePrefix="1">
      <alignment horizontal="center"/>
      <protection locked="0"/>
    </xf>
    <xf numFmtId="0" fontId="41" fillId="36" borderId="29" xfId="0" applyFont="1" applyFill="1" applyBorder="1" applyAlignment="1" applyProtection="1">
      <alignment horizontal="center" vertical="center"/>
      <protection/>
    </xf>
    <xf numFmtId="0" fontId="44" fillId="36" borderId="13" xfId="0" applyFont="1" applyFill="1" applyBorder="1" applyAlignment="1">
      <alignment/>
    </xf>
    <xf numFmtId="0" fontId="44" fillId="36" borderId="11" xfId="0" applyFont="1" applyFill="1" applyBorder="1" applyAlignment="1">
      <alignment/>
    </xf>
    <xf numFmtId="4" fontId="44" fillId="36" borderId="11" xfId="0" applyNumberFormat="1" applyFont="1" applyFill="1" applyBorder="1" applyAlignment="1" applyProtection="1">
      <alignment horizontal="center"/>
      <protection/>
    </xf>
    <xf numFmtId="0" fontId="44" fillId="36" borderId="12" xfId="0" applyFont="1" applyFill="1" applyBorder="1" applyAlignment="1">
      <alignment/>
    </xf>
    <xf numFmtId="0" fontId="50" fillId="39" borderId="29" xfId="0" applyFont="1" applyFill="1" applyBorder="1" applyAlignment="1">
      <alignment horizontal="center" vertical="center" wrapText="1"/>
    </xf>
    <xf numFmtId="0" fontId="51" fillId="39" borderId="13" xfId="0" applyFont="1" applyFill="1" applyBorder="1" applyAlignment="1">
      <alignment/>
    </xf>
    <xf numFmtId="0" fontId="51" fillId="39" borderId="11" xfId="0" applyFont="1" applyFill="1" applyBorder="1" applyAlignment="1">
      <alignment/>
    </xf>
    <xf numFmtId="2" fontId="51" fillId="39" borderId="11" xfId="0" applyNumberFormat="1" applyFont="1" applyFill="1" applyBorder="1" applyAlignment="1">
      <alignment horizontal="center"/>
    </xf>
    <xf numFmtId="0" fontId="51" fillId="39" borderId="12" xfId="0" applyFont="1" applyFill="1" applyBorder="1" applyAlignment="1">
      <alignment/>
    </xf>
    <xf numFmtId="7" fontId="51" fillId="39" borderId="29" xfId="0" applyNumberFormat="1" applyFont="1" applyFill="1" applyBorder="1" applyAlignment="1">
      <alignment horizontal="center"/>
    </xf>
    <xf numFmtId="0" fontId="56" fillId="40" borderId="29" xfId="0" applyFont="1" applyFill="1" applyBorder="1" applyAlignment="1">
      <alignment horizontal="center" vertical="center" wrapText="1"/>
    </xf>
    <xf numFmtId="0" fontId="57" fillId="40" borderId="13" xfId="0" applyFont="1" applyFill="1" applyBorder="1" applyAlignment="1">
      <alignment/>
    </xf>
    <xf numFmtId="0" fontId="57" fillId="40" borderId="11" xfId="0" applyFont="1" applyFill="1" applyBorder="1" applyAlignment="1">
      <alignment/>
    </xf>
    <xf numFmtId="2" fontId="57" fillId="40" borderId="11" xfId="0" applyNumberFormat="1" applyFont="1" applyFill="1" applyBorder="1" applyAlignment="1">
      <alignment horizontal="center"/>
    </xf>
    <xf numFmtId="0" fontId="57" fillId="40" borderId="46" xfId="0" applyFont="1" applyFill="1" applyBorder="1" applyAlignment="1">
      <alignment/>
    </xf>
    <xf numFmtId="7" fontId="57" fillId="40" borderId="29" xfId="0" applyNumberFormat="1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58" fillId="41" borderId="25" xfId="0" applyFont="1" applyFill="1" applyBorder="1" applyAlignment="1" applyProtection="1">
      <alignment horizontal="centerContinuous" vertical="center" wrapText="1"/>
      <protection/>
    </xf>
    <xf numFmtId="0" fontId="58" fillId="41" borderId="24" xfId="0" applyFont="1" applyFill="1" applyBorder="1" applyAlignment="1">
      <alignment horizontal="centerContinuous" vertical="center"/>
    </xf>
    <xf numFmtId="0" fontId="59" fillId="41" borderId="33" xfId="0" applyFont="1" applyFill="1" applyBorder="1" applyAlignment="1">
      <alignment horizontal="center"/>
    </xf>
    <xf numFmtId="0" fontId="59" fillId="41" borderId="26" xfId="0" applyFont="1" applyFill="1" applyBorder="1" applyAlignment="1">
      <alignment/>
    </xf>
    <xf numFmtId="0" fontId="59" fillId="41" borderId="35" xfId="0" applyFont="1" applyFill="1" applyBorder="1" applyAlignment="1">
      <alignment horizontal="center"/>
    </xf>
    <xf numFmtId="0" fontId="59" fillId="41" borderId="27" xfId="0" applyFont="1" applyFill="1" applyBorder="1" applyAlignment="1">
      <alignment/>
    </xf>
    <xf numFmtId="167" fontId="59" fillId="41" borderId="35" xfId="0" applyNumberFormat="1" applyFont="1" applyFill="1" applyBorder="1" applyAlignment="1" applyProtection="1" quotePrefix="1">
      <alignment horizontal="center"/>
      <protection/>
    </xf>
    <xf numFmtId="167" fontId="59" fillId="41" borderId="43" xfId="0" applyNumberFormat="1" applyFont="1" applyFill="1" applyBorder="1" applyAlignment="1" applyProtection="1" quotePrefix="1">
      <alignment horizontal="center"/>
      <protection/>
    </xf>
    <xf numFmtId="7" fontId="59" fillId="41" borderId="29" xfId="0" applyNumberFormat="1" applyFont="1" applyFill="1" applyBorder="1" applyAlignment="1">
      <alignment horizontal="center"/>
    </xf>
    <xf numFmtId="0" fontId="50" fillId="42" borderId="25" xfId="0" applyFont="1" applyFill="1" applyBorder="1" applyAlignment="1" applyProtection="1">
      <alignment horizontal="centerContinuous" vertical="center" wrapText="1"/>
      <protection/>
    </xf>
    <xf numFmtId="0" fontId="51" fillId="42" borderId="33" xfId="0" applyFont="1" applyFill="1" applyBorder="1" applyAlignment="1">
      <alignment/>
    </xf>
    <xf numFmtId="0" fontId="51" fillId="42" borderId="41" xfId="0" applyFont="1" applyFill="1" applyBorder="1" applyAlignment="1">
      <alignment/>
    </xf>
    <xf numFmtId="0" fontId="51" fillId="42" borderId="47" xfId="0" applyFont="1" applyFill="1" applyBorder="1" applyAlignment="1">
      <alignment/>
    </xf>
    <xf numFmtId="0" fontId="51" fillId="42" borderId="48" xfId="0" applyFont="1" applyFill="1" applyBorder="1" applyAlignment="1">
      <alignment/>
    </xf>
    <xf numFmtId="167" fontId="51" fillId="42" borderId="47" xfId="0" applyNumberFormat="1" applyFont="1" applyFill="1" applyBorder="1" applyAlignment="1" applyProtection="1" quotePrefix="1">
      <alignment horizontal="center"/>
      <protection/>
    </xf>
    <xf numFmtId="167" fontId="51" fillId="42" borderId="48" xfId="0" applyNumberFormat="1" applyFont="1" applyFill="1" applyBorder="1" applyAlignment="1" applyProtection="1" quotePrefix="1">
      <alignment horizontal="center"/>
      <protection/>
    </xf>
    <xf numFmtId="167" fontId="51" fillId="42" borderId="49" xfId="0" applyNumberFormat="1" applyFont="1" applyFill="1" applyBorder="1" applyAlignment="1" applyProtection="1" quotePrefix="1">
      <alignment horizontal="center"/>
      <protection/>
    </xf>
    <xf numFmtId="167" fontId="51" fillId="42" borderId="50" xfId="0" applyNumberFormat="1" applyFont="1" applyFill="1" applyBorder="1" applyAlignment="1" applyProtection="1" quotePrefix="1">
      <alignment horizontal="center"/>
      <protection/>
    </xf>
    <xf numFmtId="7" fontId="51" fillId="42" borderId="29" xfId="0" applyNumberFormat="1" applyFont="1" applyFill="1" applyBorder="1" applyAlignment="1">
      <alignment horizontal="center"/>
    </xf>
    <xf numFmtId="0" fontId="52" fillId="43" borderId="29" xfId="0" applyFont="1" applyFill="1" applyBorder="1" applyAlignment="1">
      <alignment horizontal="center" vertical="center" wrapText="1"/>
    </xf>
    <xf numFmtId="0" fontId="56" fillId="35" borderId="29" xfId="0" applyFont="1" applyFill="1" applyBorder="1" applyAlignment="1">
      <alignment horizontal="center" vertical="center" wrapText="1"/>
    </xf>
    <xf numFmtId="0" fontId="57" fillId="35" borderId="26" xfId="0" applyFont="1" applyFill="1" applyBorder="1" applyAlignment="1">
      <alignment/>
    </xf>
    <xf numFmtId="0" fontId="57" fillId="35" borderId="27" xfId="0" applyFont="1" applyFill="1" applyBorder="1" applyAlignment="1">
      <alignment/>
    </xf>
    <xf numFmtId="167" fontId="57" fillId="35" borderId="48" xfId="0" applyNumberFormat="1" applyFont="1" applyFill="1" applyBorder="1" applyAlignment="1" applyProtection="1" quotePrefix="1">
      <alignment horizontal="center"/>
      <protection/>
    </xf>
    <xf numFmtId="167" fontId="57" fillId="35" borderId="39" xfId="0" applyNumberFormat="1" applyFont="1" applyFill="1" applyBorder="1" applyAlignment="1" applyProtection="1" quotePrefix="1">
      <alignment horizontal="center"/>
      <protection/>
    </xf>
    <xf numFmtId="0" fontId="53" fillId="43" borderId="13" xfId="0" applyFont="1" applyFill="1" applyBorder="1" applyAlignment="1">
      <alignment/>
    </xf>
    <xf numFmtId="0" fontId="53" fillId="43" borderId="11" xfId="0" applyFont="1" applyFill="1" applyBorder="1" applyAlignment="1">
      <alignment/>
    </xf>
    <xf numFmtId="167" fontId="53" fillId="43" borderId="11" xfId="0" applyNumberFormat="1" applyFont="1" applyFill="1" applyBorder="1" applyAlignment="1" applyProtection="1" quotePrefix="1">
      <alignment horizontal="center"/>
      <protection/>
    </xf>
    <xf numFmtId="167" fontId="53" fillId="43" borderId="12" xfId="0" applyNumberFormat="1" applyFont="1" applyFill="1" applyBorder="1" applyAlignment="1" applyProtection="1" quotePrefix="1">
      <alignment horizontal="center"/>
      <protection/>
    </xf>
    <xf numFmtId="0" fontId="50" fillId="42" borderId="24" xfId="0" applyFont="1" applyFill="1" applyBorder="1" applyAlignment="1">
      <alignment horizontal="centerContinuous" vertical="center"/>
    </xf>
    <xf numFmtId="7" fontId="53" fillId="43" borderId="29" xfId="0" applyNumberFormat="1" applyFont="1" applyFill="1" applyBorder="1" applyAlignment="1">
      <alignment horizontal="center"/>
    </xf>
    <xf numFmtId="7" fontId="57" fillId="35" borderId="29" xfId="0" applyNumberFormat="1" applyFont="1" applyFill="1" applyBorder="1" applyAlignment="1">
      <alignment horizontal="center"/>
    </xf>
    <xf numFmtId="167" fontId="59" fillId="41" borderId="45" xfId="0" applyNumberFormat="1" applyFont="1" applyFill="1" applyBorder="1" applyAlignment="1" applyProtection="1" quotePrefix="1">
      <alignment horizontal="center"/>
      <protection/>
    </xf>
    <xf numFmtId="167" fontId="59" fillId="41" borderId="37" xfId="0" applyNumberFormat="1" applyFont="1" applyFill="1" applyBorder="1" applyAlignment="1" applyProtection="1" quotePrefix="1">
      <alignment horizontal="center"/>
      <protection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46" fillId="0" borderId="16" xfId="0" applyFont="1" applyBorder="1" applyAlignment="1">
      <alignment/>
    </xf>
    <xf numFmtId="7" fontId="16" fillId="0" borderId="13" xfId="0" applyNumberFormat="1" applyFont="1" applyFill="1" applyBorder="1" applyAlignment="1">
      <alignment/>
    </xf>
    <xf numFmtId="7" fontId="9" fillId="0" borderId="13" xfId="0" applyNumberFormat="1" applyFont="1" applyBorder="1" applyAlignment="1">
      <alignment/>
    </xf>
    <xf numFmtId="0" fontId="61" fillId="0" borderId="0" xfId="0" applyFont="1" applyAlignment="1">
      <alignment horizontal="right" vertical="top"/>
    </xf>
    <xf numFmtId="0" fontId="61" fillId="0" borderId="0" xfId="0" applyFont="1" applyFill="1" applyAlignment="1">
      <alignment horizontal="right" vertical="top"/>
    </xf>
    <xf numFmtId="0" fontId="13" fillId="0" borderId="18" xfId="0" applyFont="1" applyBorder="1" applyAlignment="1" applyProtection="1">
      <alignment horizontal="centerContinuous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center"/>
      <protection locked="0"/>
    </xf>
    <xf numFmtId="2" fontId="5" fillId="0" borderId="32" xfId="0" applyNumberFormat="1" applyFont="1" applyBorder="1" applyAlignment="1" applyProtection="1">
      <alignment horizontal="center"/>
      <protection locked="0"/>
    </xf>
    <xf numFmtId="167" fontId="5" fillId="0" borderId="12" xfId="0" applyNumberFormat="1" applyFont="1" applyBorder="1" applyAlignment="1" applyProtection="1">
      <alignment horizontal="center"/>
      <protection locked="0"/>
    </xf>
    <xf numFmtId="22" fontId="5" fillId="0" borderId="12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Continuous"/>
      <protection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2" fillId="0" borderId="0" xfId="0" applyNumberFormat="1" applyFont="1" applyBorder="1" applyAlignment="1">
      <alignment horizontal="left"/>
    </xf>
    <xf numFmtId="0" fontId="19" fillId="0" borderId="0" xfId="0" applyFont="1" applyBorder="1" applyAlignment="1" applyProtection="1">
      <alignment horizontal="left"/>
      <protection/>
    </xf>
    <xf numFmtId="0" fontId="63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165" fontId="5" fillId="0" borderId="22" xfId="0" applyNumberFormat="1" applyFont="1" applyBorder="1" applyAlignment="1" applyProtection="1">
      <alignment horizontal="center"/>
      <protection locked="0"/>
    </xf>
    <xf numFmtId="172" fontId="0" fillId="0" borderId="29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="75" zoomScaleNormal="75" zoomScalePageLayoutView="0" workbookViewId="0" topLeftCell="A1">
      <selection activeCell="C29" sqref="C29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2.421875" style="7" customWidth="1"/>
    <col min="4" max="4" width="10.7109375" style="7" customWidth="1"/>
    <col min="5" max="5" width="13.57421875" style="7" customWidth="1"/>
    <col min="6" max="7" width="20.7109375" style="7" customWidth="1"/>
    <col min="8" max="8" width="12.00390625" style="7" customWidth="1"/>
    <col min="9" max="9" width="15.7109375" style="7" customWidth="1"/>
    <col min="10" max="10" width="17.710937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2:11" s="59" customFormat="1" ht="26.25">
      <c r="B1" s="72"/>
      <c r="K1" s="348"/>
    </row>
    <row r="2" spans="2:10" s="59" customFormat="1" ht="26.25">
      <c r="B2" s="72" t="s">
        <v>108</v>
      </c>
      <c r="C2" s="73"/>
      <c r="D2" s="60"/>
      <c r="E2" s="60"/>
      <c r="F2" s="60"/>
      <c r="G2" s="60"/>
      <c r="H2" s="60"/>
      <c r="I2" s="60"/>
      <c r="J2" s="60"/>
    </row>
    <row r="3" spans="3:19" ht="12.75">
      <c r="C3"/>
      <c r="D3" s="27"/>
      <c r="E3" s="27"/>
      <c r="F3" s="27"/>
      <c r="G3" s="27"/>
      <c r="H3" s="27"/>
      <c r="I3" s="27"/>
      <c r="J3" s="27"/>
      <c r="P3" s="5"/>
      <c r="Q3" s="5"/>
      <c r="R3" s="5"/>
      <c r="S3" s="5"/>
    </row>
    <row r="4" spans="1:19" s="57" customFormat="1" ht="11.25">
      <c r="A4" s="74" t="s">
        <v>2</v>
      </c>
      <c r="B4" s="75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s="57" customFormat="1" ht="11.25">
      <c r="A5" s="74" t="s">
        <v>3</v>
      </c>
      <c r="B5" s="75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2:19" s="59" customFormat="1" ht="8.25" customHeight="1">
      <c r="B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2:19" s="61" customFormat="1" ht="20.25">
      <c r="B7" s="120" t="s">
        <v>0</v>
      </c>
      <c r="C7" s="78"/>
      <c r="D7" s="62"/>
      <c r="E7" s="62"/>
      <c r="F7" s="63"/>
      <c r="G7" s="63"/>
      <c r="H7" s="63"/>
      <c r="I7" s="63"/>
      <c r="J7" s="63"/>
      <c r="K7" s="56"/>
      <c r="L7" s="56"/>
      <c r="M7" s="56"/>
      <c r="N7" s="56"/>
      <c r="O7" s="56"/>
      <c r="P7" s="56"/>
      <c r="Q7" s="56"/>
      <c r="R7" s="56"/>
      <c r="S7" s="56"/>
    </row>
    <row r="8" spans="9:19" ht="12.75"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19" s="61" customFormat="1" ht="20.25">
      <c r="B9" s="120" t="s">
        <v>1</v>
      </c>
      <c r="C9" s="78"/>
      <c r="D9" s="62"/>
      <c r="E9" s="62"/>
      <c r="F9" s="62"/>
      <c r="G9" s="62"/>
      <c r="H9" s="62"/>
      <c r="I9" s="63"/>
      <c r="J9" s="63"/>
      <c r="K9" s="56"/>
      <c r="L9" s="56"/>
      <c r="M9" s="56"/>
      <c r="N9" s="56"/>
      <c r="O9" s="56"/>
      <c r="P9" s="56"/>
      <c r="Q9" s="56"/>
      <c r="R9" s="56"/>
      <c r="S9" s="56"/>
    </row>
    <row r="10" spans="4:19" ht="12.75">
      <c r="D10" s="67"/>
      <c r="E10" s="6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2:19" s="61" customFormat="1" ht="20.25">
      <c r="B11" s="120" t="s">
        <v>107</v>
      </c>
      <c r="C11" s="79"/>
      <c r="D11" s="28"/>
      <c r="E11" s="28"/>
      <c r="F11" s="62"/>
      <c r="G11" s="62"/>
      <c r="H11" s="62"/>
      <c r="I11" s="63"/>
      <c r="J11" s="63"/>
      <c r="K11" s="56"/>
      <c r="L11" s="56"/>
      <c r="M11" s="56"/>
      <c r="N11" s="56"/>
      <c r="O11" s="56"/>
      <c r="P11" s="56"/>
      <c r="Q11" s="56"/>
      <c r="R11" s="56"/>
      <c r="S11" s="56"/>
    </row>
    <row r="12" spans="4:19" s="80" customFormat="1" ht="16.5" thickBot="1">
      <c r="D12" s="4"/>
      <c r="E12" s="4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19" s="80" customFormat="1" ht="16.5" thickTop="1">
      <c r="B13" s="227">
        <v>1</v>
      </c>
      <c r="C13" s="345"/>
      <c r="D13" s="82"/>
      <c r="E13" s="82"/>
      <c r="F13" s="82"/>
      <c r="G13" s="82"/>
      <c r="H13" s="82"/>
      <c r="I13" s="82"/>
      <c r="J13" s="83"/>
      <c r="K13" s="81"/>
      <c r="L13" s="81"/>
      <c r="M13" s="81"/>
      <c r="N13" s="81"/>
      <c r="O13" s="81"/>
      <c r="P13" s="81"/>
      <c r="Q13" s="81"/>
      <c r="R13" s="81"/>
      <c r="S13" s="81"/>
    </row>
    <row r="14" spans="2:19" s="65" customFormat="1" ht="19.5">
      <c r="B14" s="84" t="s">
        <v>62</v>
      </c>
      <c r="C14" s="85"/>
      <c r="D14" s="86"/>
      <c r="E14" s="87"/>
      <c r="F14" s="87"/>
      <c r="G14" s="87"/>
      <c r="H14" s="87"/>
      <c r="I14" s="88"/>
      <c r="J14" s="89"/>
      <c r="K14" s="33"/>
      <c r="L14" s="33"/>
      <c r="M14" s="33"/>
      <c r="N14" s="33"/>
      <c r="O14" s="33"/>
      <c r="P14" s="33"/>
      <c r="Q14" s="33"/>
      <c r="R14" s="33"/>
      <c r="S14" s="33"/>
    </row>
    <row r="15" spans="2:19" s="65" customFormat="1" ht="19.5" hidden="1">
      <c r="B15" s="90"/>
      <c r="C15" s="91"/>
      <c r="D15" s="91"/>
      <c r="E15" s="33"/>
      <c r="F15" s="92"/>
      <c r="G15" s="92"/>
      <c r="H15" s="92"/>
      <c r="I15" s="33"/>
      <c r="J15" s="66"/>
      <c r="K15" s="33"/>
      <c r="L15" s="33"/>
      <c r="M15" s="33"/>
      <c r="N15" s="33"/>
      <c r="O15" s="33"/>
      <c r="P15" s="33"/>
      <c r="Q15" s="33"/>
      <c r="R15" s="33"/>
      <c r="S15" s="33"/>
    </row>
    <row r="16" spans="2:18" s="65" customFormat="1" ht="19.5" hidden="1">
      <c r="B16" s="84" t="s">
        <v>4</v>
      </c>
      <c r="C16" s="219"/>
      <c r="D16" s="219"/>
      <c r="E16" s="88"/>
      <c r="F16" s="87"/>
      <c r="G16" s="87"/>
      <c r="H16" s="88"/>
      <c r="I16" s="79"/>
      <c r="J16" s="89"/>
      <c r="K16" s="33"/>
      <c r="L16" s="33"/>
      <c r="M16" s="33"/>
      <c r="N16" s="33"/>
      <c r="O16" s="33"/>
      <c r="P16" s="33"/>
      <c r="Q16" s="33"/>
      <c r="R16" s="33"/>
    </row>
    <row r="17" spans="2:18" s="65" customFormat="1" ht="19.5">
      <c r="B17" s="90"/>
      <c r="C17" s="91"/>
      <c r="D17" s="91"/>
      <c r="E17" s="33"/>
      <c r="F17" s="92"/>
      <c r="G17" s="92"/>
      <c r="H17" s="33"/>
      <c r="I17"/>
      <c r="J17" s="66"/>
      <c r="K17" s="33"/>
      <c r="L17" s="33"/>
      <c r="M17" s="33"/>
      <c r="N17" s="33"/>
      <c r="O17" s="33"/>
      <c r="P17" s="33"/>
      <c r="Q17" s="33"/>
      <c r="R17" s="33"/>
    </row>
    <row r="18" spans="2:19" s="65" customFormat="1" ht="19.5">
      <c r="B18" s="90"/>
      <c r="C18" s="93" t="s">
        <v>5</v>
      </c>
      <c r="D18" s="94" t="s">
        <v>6</v>
      </c>
      <c r="E18" s="33"/>
      <c r="F18" s="92"/>
      <c r="G18" s="92"/>
      <c r="H18" s="92"/>
      <c r="I18" s="34"/>
      <c r="J18" s="66"/>
      <c r="K18" s="33"/>
      <c r="L18" s="33"/>
      <c r="M18" s="33"/>
      <c r="N18" s="33"/>
      <c r="O18" s="33"/>
      <c r="P18" s="33"/>
      <c r="Q18" s="33"/>
      <c r="R18" s="33"/>
      <c r="S18" s="33"/>
    </row>
    <row r="19" spans="2:19" s="57" customFormat="1" ht="11.25">
      <c r="B19" s="184"/>
      <c r="C19" s="185"/>
      <c r="D19" s="185"/>
      <c r="E19" s="58"/>
      <c r="F19" s="186"/>
      <c r="G19" s="186"/>
      <c r="H19" s="186"/>
      <c r="I19" s="187"/>
      <c r="J19" s="188"/>
      <c r="K19" s="58"/>
      <c r="L19" s="58"/>
      <c r="M19" s="58"/>
      <c r="N19" s="58"/>
      <c r="O19" s="58"/>
      <c r="P19" s="58"/>
      <c r="Q19" s="58"/>
      <c r="R19" s="58"/>
      <c r="S19" s="58"/>
    </row>
    <row r="20" spans="2:19" s="65" customFormat="1" ht="19.5">
      <c r="B20" s="90"/>
      <c r="C20" s="93"/>
      <c r="D20" s="93" t="s">
        <v>7</v>
      </c>
      <c r="E20" s="6" t="s">
        <v>8</v>
      </c>
      <c r="F20" s="92"/>
      <c r="G20" s="92"/>
      <c r="H20" s="92"/>
      <c r="I20" s="34">
        <f>'LI-03 (2)'!AA44</f>
        <v>175446.13</v>
      </c>
      <c r="J20" s="66"/>
      <c r="K20" s="33"/>
      <c r="L20" s="33"/>
      <c r="M20" s="33"/>
      <c r="N20" s="33"/>
      <c r="O20" s="33"/>
      <c r="P20" s="33"/>
      <c r="Q20" s="33"/>
      <c r="R20" s="33"/>
      <c r="S20" s="33"/>
    </row>
    <row r="21" spans="2:19" s="80" customFormat="1" ht="15.75">
      <c r="B21" s="189"/>
      <c r="C21" s="190"/>
      <c r="D21" s="191"/>
      <c r="E21" s="81"/>
      <c r="F21" s="192"/>
      <c r="G21" s="192"/>
      <c r="H21" s="192"/>
      <c r="I21" s="193"/>
      <c r="J21" s="194"/>
      <c r="K21" s="81"/>
      <c r="L21" s="81"/>
      <c r="M21" s="81"/>
      <c r="N21" s="81"/>
      <c r="O21" s="81"/>
      <c r="P21" s="81"/>
      <c r="Q21" s="81"/>
      <c r="R21" s="81"/>
      <c r="S21" s="81"/>
    </row>
    <row r="22" spans="2:19" s="65" customFormat="1" ht="19.5">
      <c r="B22" s="90"/>
      <c r="C22" s="93" t="s">
        <v>9</v>
      </c>
      <c r="D22" s="94" t="s">
        <v>10</v>
      </c>
      <c r="E22" s="33"/>
      <c r="F22" s="92"/>
      <c r="G22" s="92"/>
      <c r="H22" s="92"/>
      <c r="I22" s="34"/>
      <c r="J22" s="66"/>
      <c r="K22" s="33"/>
      <c r="L22" s="33"/>
      <c r="M22" s="33"/>
      <c r="N22" s="33"/>
      <c r="O22" s="33"/>
      <c r="P22" s="33"/>
      <c r="Q22" s="33"/>
      <c r="R22" s="33"/>
      <c r="S22" s="33"/>
    </row>
    <row r="23" spans="2:19" s="57" customFormat="1" ht="5.25" customHeight="1">
      <c r="B23" s="184"/>
      <c r="C23" s="185"/>
      <c r="D23" s="185"/>
      <c r="E23" s="58"/>
      <c r="F23" s="186"/>
      <c r="G23" s="186"/>
      <c r="H23" s="186"/>
      <c r="I23" s="187"/>
      <c r="J23" s="188"/>
      <c r="K23" s="58"/>
      <c r="L23" s="58"/>
      <c r="M23" s="58"/>
      <c r="N23" s="58"/>
      <c r="O23" s="58"/>
      <c r="P23" s="58"/>
      <c r="Q23" s="58"/>
      <c r="R23" s="58"/>
      <c r="S23" s="58"/>
    </row>
    <row r="24" spans="2:19" s="65" customFormat="1" ht="19.5">
      <c r="B24" s="90"/>
      <c r="C24" s="93"/>
      <c r="D24" s="93" t="s">
        <v>11</v>
      </c>
      <c r="E24" s="6" t="s">
        <v>12</v>
      </c>
      <c r="F24" s="92"/>
      <c r="G24" s="92"/>
      <c r="H24" s="92"/>
      <c r="I24" s="34"/>
      <c r="J24" s="66"/>
      <c r="K24" s="33"/>
      <c r="L24" s="33"/>
      <c r="M24" s="33"/>
      <c r="N24" s="33"/>
      <c r="O24" s="33"/>
      <c r="P24" s="33"/>
      <c r="Q24" s="33"/>
      <c r="R24" s="33"/>
      <c r="S24" s="33"/>
    </row>
    <row r="25" spans="2:19" s="65" customFormat="1" ht="19.5">
      <c r="B25" s="90"/>
      <c r="C25" s="93"/>
      <c r="E25" s="93" t="s">
        <v>56</v>
      </c>
      <c r="F25" s="6" t="s">
        <v>8</v>
      </c>
      <c r="G25" s="92"/>
      <c r="H25" s="92"/>
      <c r="I25" s="34">
        <f>'T-03 (3)'!AC43</f>
        <v>58019.31</v>
      </c>
      <c r="J25" s="66"/>
      <c r="K25" s="33"/>
      <c r="L25" s="33"/>
      <c r="M25" s="33"/>
      <c r="N25" s="33"/>
      <c r="O25" s="33"/>
      <c r="P25" s="33"/>
      <c r="Q25" s="33"/>
      <c r="R25" s="33"/>
      <c r="S25" s="33"/>
    </row>
    <row r="26" spans="2:19" s="65" customFormat="1" ht="20.25" thickBot="1">
      <c r="B26" s="90"/>
      <c r="C26" s="91"/>
      <c r="D26" s="91"/>
      <c r="E26" s="33"/>
      <c r="F26" s="92"/>
      <c r="G26" s="92"/>
      <c r="H26" s="92"/>
      <c r="I26" s="33"/>
      <c r="J26" s="66"/>
      <c r="K26" s="33"/>
      <c r="L26" s="33"/>
      <c r="M26" s="33"/>
      <c r="N26" s="33"/>
      <c r="O26" s="33"/>
      <c r="P26" s="33"/>
      <c r="Q26" s="33"/>
      <c r="R26" s="33"/>
      <c r="S26" s="33"/>
    </row>
    <row r="27" spans="2:19" s="65" customFormat="1" ht="20.25" thickBot="1" thickTop="1">
      <c r="B27" s="90"/>
      <c r="C27" s="93"/>
      <c r="D27" s="93"/>
      <c r="F27" s="95" t="s">
        <v>13</v>
      </c>
      <c r="G27" s="55">
        <f>SUM(I18:I25)</f>
        <v>233465.44</v>
      </c>
      <c r="H27" s="195"/>
      <c r="J27" s="66"/>
      <c r="K27" s="33"/>
      <c r="L27" s="33"/>
      <c r="M27" s="33"/>
      <c r="N27" s="33"/>
      <c r="O27" s="33"/>
      <c r="P27" s="33"/>
      <c r="Q27" s="33"/>
      <c r="R27" s="33"/>
      <c r="S27" s="33"/>
    </row>
    <row r="28" spans="2:19" s="65" customFormat="1" ht="19.5" thickTop="1">
      <c r="B28" s="90"/>
      <c r="C28" s="93"/>
      <c r="D28" s="93"/>
      <c r="F28" s="362"/>
      <c r="G28" s="195"/>
      <c r="H28" s="195"/>
      <c r="J28" s="66"/>
      <c r="K28" s="33"/>
      <c r="L28" s="33"/>
      <c r="M28" s="33"/>
      <c r="N28" s="33"/>
      <c r="O28" s="33"/>
      <c r="P28" s="33"/>
      <c r="Q28" s="33"/>
      <c r="R28" s="33"/>
      <c r="S28" s="33"/>
    </row>
    <row r="29" spans="2:19" s="65" customFormat="1" ht="18.75">
      <c r="B29" s="90"/>
      <c r="C29" s="363" t="s">
        <v>109</v>
      </c>
      <c r="D29" s="93"/>
      <c r="F29" s="362"/>
      <c r="G29" s="195"/>
      <c r="H29" s="195"/>
      <c r="J29" s="66"/>
      <c r="K29" s="33"/>
      <c r="L29" s="33"/>
      <c r="M29" s="33"/>
      <c r="N29" s="33"/>
      <c r="O29" s="33"/>
      <c r="P29" s="33"/>
      <c r="Q29" s="33"/>
      <c r="R29" s="33"/>
      <c r="S29" s="33"/>
    </row>
    <row r="30" spans="2:19" s="80" customFormat="1" ht="16.5" thickBot="1">
      <c r="B30" s="96"/>
      <c r="C30" s="97"/>
      <c r="D30" s="97"/>
      <c r="E30" s="98"/>
      <c r="F30" s="98"/>
      <c r="G30" s="98"/>
      <c r="H30" s="98"/>
      <c r="I30" s="98"/>
      <c r="J30" s="99"/>
      <c r="K30" s="81"/>
      <c r="L30" s="81"/>
      <c r="M30" s="100"/>
      <c r="N30" s="101"/>
      <c r="O30" s="101"/>
      <c r="P30" s="102"/>
      <c r="Q30" s="103"/>
      <c r="R30" s="81"/>
      <c r="S30" s="81"/>
    </row>
    <row r="31" spans="4:19" ht="13.5" thickTop="1">
      <c r="D31" s="5"/>
      <c r="F31" s="5"/>
      <c r="G31" s="5"/>
      <c r="H31" s="5"/>
      <c r="I31" s="5"/>
      <c r="J31" s="5"/>
      <c r="K31" s="5"/>
      <c r="L31" s="5"/>
      <c r="M31" s="23"/>
      <c r="N31" s="104"/>
      <c r="O31" s="104"/>
      <c r="P31" s="5"/>
      <c r="Q31" s="26"/>
      <c r="R31" s="5"/>
      <c r="S31" s="5"/>
    </row>
    <row r="32" spans="4:19" ht="12.75">
      <c r="D32" s="5"/>
      <c r="F32" s="5"/>
      <c r="G32" s="5"/>
      <c r="H32" s="5"/>
      <c r="I32" s="5"/>
      <c r="J32" s="5"/>
      <c r="K32" s="5"/>
      <c r="L32" s="5"/>
      <c r="M32" s="5"/>
      <c r="N32" s="70"/>
      <c r="O32" s="70"/>
      <c r="P32" s="71"/>
      <c r="Q32" s="26"/>
      <c r="R32" s="5"/>
      <c r="S32" s="5"/>
    </row>
    <row r="33" spans="4:19" ht="12.75">
      <c r="D33" s="5"/>
      <c r="E33" s="5"/>
      <c r="F33" s="5"/>
      <c r="G33" s="5"/>
      <c r="H33" s="5"/>
      <c r="I33" s="5"/>
      <c r="J33" s="5"/>
      <c r="K33" s="5"/>
      <c r="L33" s="5"/>
      <c r="M33" s="5"/>
      <c r="N33" s="70"/>
      <c r="O33" s="70"/>
      <c r="P33" s="71"/>
      <c r="Q33" s="26"/>
      <c r="R33" s="5"/>
      <c r="S33" s="5"/>
    </row>
    <row r="34" spans="4:19" ht="12.75">
      <c r="D34" s="5"/>
      <c r="E34" s="5"/>
      <c r="L34" s="5"/>
      <c r="M34" s="5"/>
      <c r="N34" s="5"/>
      <c r="O34" s="5"/>
      <c r="P34" s="5"/>
      <c r="Q34" s="5"/>
      <c r="R34" s="5"/>
      <c r="S34" s="5"/>
    </row>
    <row r="35" spans="4:19" ht="12.75">
      <c r="D35" s="5"/>
      <c r="E35" s="5"/>
      <c r="P35" s="5"/>
      <c r="Q35" s="5"/>
      <c r="R35" s="5"/>
      <c r="S35" s="5"/>
    </row>
    <row r="36" spans="4:19" ht="12.75">
      <c r="D36" s="5"/>
      <c r="E36" s="5"/>
      <c r="P36" s="5"/>
      <c r="Q36" s="5"/>
      <c r="R36" s="5"/>
      <c r="S36" s="5"/>
    </row>
    <row r="37" spans="4:19" ht="12.75">
      <c r="D37" s="5"/>
      <c r="E37" s="5"/>
      <c r="P37" s="5"/>
      <c r="Q37" s="5"/>
      <c r="R37" s="5"/>
      <c r="S37" s="5"/>
    </row>
    <row r="38" spans="4:19" ht="12.75">
      <c r="D38" s="5"/>
      <c r="E38" s="5"/>
      <c r="P38" s="5"/>
      <c r="Q38" s="5"/>
      <c r="R38" s="5"/>
      <c r="S38" s="5"/>
    </row>
    <row r="39" spans="4:19" ht="12.75">
      <c r="D39" s="5"/>
      <c r="E39" s="5"/>
      <c r="P39" s="5"/>
      <c r="Q39" s="5"/>
      <c r="R39" s="5"/>
      <c r="S39" s="5"/>
    </row>
    <row r="40" spans="16:19" ht="12.75">
      <c r="P40" s="5"/>
      <c r="Q40" s="5"/>
      <c r="R40" s="5"/>
      <c r="S40" s="5"/>
    </row>
    <row r="41" spans="16:19" ht="12.75">
      <c r="P41" s="5"/>
      <c r="Q41" s="5"/>
      <c r="R41" s="5"/>
      <c r="S41" s="5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2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zoomScale="75" zoomScaleNormal="75" zoomScalePageLayoutView="0" workbookViewId="0" topLeftCell="A1">
      <selection activeCell="G16" sqref="G16:H18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6" width="40.7109375" style="0" customWidth="1"/>
    <col min="7" max="7" width="8.7109375" style="0" customWidth="1"/>
    <col min="8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7" width="15.140625" style="0" hidden="1" customWidth="1"/>
    <col min="18" max="18" width="12.57421875" style="0" hidden="1" customWidth="1"/>
    <col min="19" max="19" width="15.28125" style="0" hidden="1" customWidth="1"/>
    <col min="20" max="23" width="12.57421875" style="0" hidden="1" customWidth="1"/>
    <col min="24" max="24" width="14.42187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59" customFormat="1" ht="29.25" customHeight="1">
      <c r="AB1" s="348"/>
    </row>
    <row r="2" spans="2:28" s="59" customFormat="1" ht="26.25">
      <c r="B2" s="356" t="str">
        <f>+'TOT-0315'!B2</f>
        <v>ANEXO III al Memorándum  D.T.E.E.  N° 821/2015.-</v>
      </c>
      <c r="C2" s="60"/>
      <c r="D2" s="60"/>
      <c r="E2" s="60"/>
      <c r="F2" s="60"/>
      <c r="G2" s="72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="7" customFormat="1" ht="12.75"/>
    <row r="4" spans="1:3" s="57" customFormat="1" ht="11.25">
      <c r="A4" s="364" t="s">
        <v>60</v>
      </c>
      <c r="B4" s="124"/>
      <c r="C4" s="364"/>
    </row>
    <row r="5" spans="1:3" s="57" customFormat="1" ht="11.25">
      <c r="A5" s="364" t="s">
        <v>61</v>
      </c>
      <c r="B5" s="124"/>
      <c r="C5" s="124"/>
    </row>
    <row r="6" s="7" customFormat="1" ht="13.5" thickBot="1"/>
    <row r="7" spans="1:28" s="7" customFormat="1" ht="13.5" thickTop="1">
      <c r="A7" s="5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1"/>
    </row>
    <row r="8" spans="1:28" s="61" customFormat="1" ht="20.25">
      <c r="A8" s="56"/>
      <c r="B8" s="118"/>
      <c r="F8" s="16" t="s">
        <v>14</v>
      </c>
      <c r="G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64"/>
    </row>
    <row r="9" spans="1:28" s="7" customFormat="1" ht="12.75">
      <c r="A9" s="5"/>
      <c r="B9" s="32"/>
      <c r="C9" s="68"/>
      <c r="D9" s="68"/>
      <c r="E9" s="68"/>
      <c r="G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8"/>
    </row>
    <row r="10" spans="1:28" s="61" customFormat="1" ht="20.25">
      <c r="A10" s="56"/>
      <c r="B10" s="118"/>
      <c r="F10" s="16" t="s">
        <v>15</v>
      </c>
      <c r="G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64"/>
    </row>
    <row r="11" spans="1:28" s="7" customFormat="1" ht="12.75">
      <c r="A11" s="5"/>
      <c r="B11" s="32"/>
      <c r="C11" s="68"/>
      <c r="D11" s="68"/>
      <c r="E11" s="68"/>
      <c r="G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8"/>
    </row>
    <row r="12" spans="1:28" s="61" customFormat="1" ht="20.25">
      <c r="A12" s="56"/>
      <c r="B12" s="118"/>
      <c r="F12" s="16" t="s">
        <v>16</v>
      </c>
      <c r="G12" s="16"/>
      <c r="H12" s="56"/>
      <c r="I12" s="119"/>
      <c r="J12" s="119"/>
      <c r="K12" s="119"/>
      <c r="L12" s="119"/>
      <c r="M12" s="119"/>
      <c r="N12" s="119"/>
      <c r="O12" s="119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64"/>
    </row>
    <row r="13" spans="1:28" s="7" customFormat="1" ht="12.75">
      <c r="A13" s="5"/>
      <c r="B13" s="32"/>
      <c r="C13" s="5"/>
      <c r="D13" s="5"/>
      <c r="E13" s="5"/>
      <c r="F13" s="116"/>
      <c r="G13" s="115"/>
      <c r="H13" s="5"/>
      <c r="I13" s="106"/>
      <c r="J13" s="106"/>
      <c r="K13" s="106"/>
      <c r="L13" s="106"/>
      <c r="M13" s="106"/>
      <c r="N13" s="106"/>
      <c r="O13" s="10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8"/>
    </row>
    <row r="14" spans="1:28" s="65" customFormat="1" ht="19.5">
      <c r="A14" s="33"/>
      <c r="B14" s="350" t="str">
        <f>+'TOT-0315'!B14</f>
        <v>Desde el 01 al 31 de marzo de 2015</v>
      </c>
      <c r="C14" s="88"/>
      <c r="D14" s="88"/>
      <c r="E14" s="88"/>
      <c r="F14" s="88"/>
      <c r="G14" s="120"/>
      <c r="H14" s="121"/>
      <c r="I14" s="122"/>
      <c r="J14" s="123"/>
      <c r="K14" s="122"/>
      <c r="L14" s="122"/>
      <c r="M14" s="122"/>
      <c r="N14" s="122"/>
      <c r="O14" s="122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9"/>
    </row>
    <row r="15" spans="1:28" s="7" customFormat="1" ht="13.5" thickBot="1">
      <c r="A15" s="5"/>
      <c r="B15" s="32"/>
      <c r="C15" s="5"/>
      <c r="D15" s="5"/>
      <c r="E15" s="5"/>
      <c r="F15" s="5"/>
      <c r="G15" s="115"/>
      <c r="H15" s="117"/>
      <c r="I15" s="106"/>
      <c r="J15" s="106"/>
      <c r="K15" s="106"/>
      <c r="L15" s="106"/>
      <c r="M15" s="106"/>
      <c r="N15" s="106"/>
      <c r="O15" s="10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8"/>
    </row>
    <row r="16" spans="1:28" s="7" customFormat="1" ht="14.25" thickBot="1" thickTop="1">
      <c r="A16" s="5"/>
      <c r="B16" s="32"/>
      <c r="C16" s="5"/>
      <c r="D16" s="5"/>
      <c r="E16" s="5"/>
      <c r="F16" s="125" t="s">
        <v>17</v>
      </c>
      <c r="G16" s="369">
        <v>335.172</v>
      </c>
      <c r="H16" s="370"/>
      <c r="I16" s="106"/>
      <c r="J16" s="106"/>
      <c r="K16" s="106"/>
      <c r="L16" s="106"/>
      <c r="M16" s="106"/>
      <c r="N16" s="106"/>
      <c r="O16" s="10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8"/>
    </row>
    <row r="17" spans="1:28" s="7" customFormat="1" ht="14.25" thickBot="1" thickTop="1">
      <c r="A17" s="5"/>
      <c r="B17" s="32"/>
      <c r="C17" s="5"/>
      <c r="D17" s="5"/>
      <c r="E17" s="5"/>
      <c r="F17" s="125" t="s">
        <v>18</v>
      </c>
      <c r="G17" s="369">
        <v>320.822</v>
      </c>
      <c r="H17" s="370"/>
      <c r="I17" s="5"/>
      <c r="J17" s="105"/>
      <c r="K17" s="126" t="s">
        <v>19</v>
      </c>
      <c r="L17" s="127">
        <f>30*'TOT-0315'!B13</f>
        <v>30</v>
      </c>
      <c r="M17" s="183" t="str">
        <f>IF(L17=30," ",IF(L17=60,"Coeficiente duplicado por tasa de falla &gt;4 Sal. x año/100 km.","REVISAR COEFICIENTE"))</f>
        <v> 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8"/>
    </row>
    <row r="18" spans="1:28" s="7" customFormat="1" ht="14.25" thickBot="1" thickTop="1">
      <c r="A18" s="5"/>
      <c r="B18" s="32"/>
      <c r="C18" s="5"/>
      <c r="D18" s="5"/>
      <c r="E18" s="5"/>
      <c r="F18" s="125" t="s">
        <v>20</v>
      </c>
      <c r="G18" s="369">
        <v>320.822</v>
      </c>
      <c r="H18" s="370"/>
      <c r="I18" s="5"/>
      <c r="J18" s="5"/>
      <c r="K18" s="5"/>
      <c r="L18" s="69"/>
      <c r="M18" s="107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8"/>
    </row>
    <row r="19" spans="1:28" s="7" customFormat="1" ht="14.25" thickBot="1" thickTop="1">
      <c r="A19" s="5"/>
      <c r="B19" s="32"/>
      <c r="C19" s="366">
        <v>3</v>
      </c>
      <c r="D19" s="366">
        <v>4</v>
      </c>
      <c r="E19" s="366">
        <v>5</v>
      </c>
      <c r="F19" s="366">
        <v>6</v>
      </c>
      <c r="G19" s="366">
        <v>7</v>
      </c>
      <c r="H19" s="366">
        <v>8</v>
      </c>
      <c r="I19" s="366">
        <v>9</v>
      </c>
      <c r="J19" s="366">
        <v>10</v>
      </c>
      <c r="K19" s="366">
        <v>11</v>
      </c>
      <c r="L19" s="366">
        <v>12</v>
      </c>
      <c r="M19" s="366">
        <v>13</v>
      </c>
      <c r="N19" s="366">
        <v>14</v>
      </c>
      <c r="O19" s="366">
        <v>15</v>
      </c>
      <c r="P19" s="366">
        <v>16</v>
      </c>
      <c r="Q19" s="366">
        <v>17</v>
      </c>
      <c r="R19" s="366">
        <v>18</v>
      </c>
      <c r="S19" s="366">
        <v>19</v>
      </c>
      <c r="T19" s="366">
        <v>20</v>
      </c>
      <c r="U19" s="366">
        <v>21</v>
      </c>
      <c r="V19" s="366">
        <v>22</v>
      </c>
      <c r="W19" s="366">
        <v>23</v>
      </c>
      <c r="X19" s="366">
        <v>24</v>
      </c>
      <c r="Y19" s="366">
        <v>25</v>
      </c>
      <c r="Z19" s="366">
        <v>26</v>
      </c>
      <c r="AA19" s="366">
        <v>27</v>
      </c>
      <c r="AB19" s="8"/>
    </row>
    <row r="20" spans="1:28" s="7" customFormat="1" ht="33.75" customHeight="1" thickBot="1" thickTop="1">
      <c r="A20" s="5"/>
      <c r="B20" s="32"/>
      <c r="C20" s="131" t="s">
        <v>21</v>
      </c>
      <c r="D20" s="131" t="s">
        <v>58</v>
      </c>
      <c r="E20" s="131" t="s">
        <v>59</v>
      </c>
      <c r="F20" s="132" t="s">
        <v>6</v>
      </c>
      <c r="G20" s="133" t="s">
        <v>22</v>
      </c>
      <c r="H20" s="133" t="s">
        <v>23</v>
      </c>
      <c r="I20" s="220" t="s">
        <v>24</v>
      </c>
      <c r="J20" s="132" t="s">
        <v>25</v>
      </c>
      <c r="K20" s="132" t="s">
        <v>26</v>
      </c>
      <c r="L20" s="133" t="s">
        <v>27</v>
      </c>
      <c r="M20" s="133" t="s">
        <v>28</v>
      </c>
      <c r="N20" s="133" t="s">
        <v>29</v>
      </c>
      <c r="O20" s="133" t="s">
        <v>30</v>
      </c>
      <c r="P20" s="235" t="s">
        <v>31</v>
      </c>
      <c r="Q20" s="239" t="s">
        <v>32</v>
      </c>
      <c r="R20" s="222" t="s">
        <v>33</v>
      </c>
      <c r="S20" s="223"/>
      <c r="T20" s="224"/>
      <c r="U20" s="258" t="s">
        <v>34</v>
      </c>
      <c r="V20" s="259"/>
      <c r="W20" s="260"/>
      <c r="X20" s="274" t="s">
        <v>35</v>
      </c>
      <c r="Y20" s="280" t="s">
        <v>36</v>
      </c>
      <c r="Z20" s="218" t="s">
        <v>37</v>
      </c>
      <c r="AA20" s="135" t="s">
        <v>38</v>
      </c>
      <c r="AB20" s="8"/>
    </row>
    <row r="21" spans="1:28" s="7" customFormat="1" ht="16.5" thickBot="1" thickTop="1">
      <c r="A21" s="5"/>
      <c r="B21" s="32"/>
      <c r="C21" s="108"/>
      <c r="D21" s="108"/>
      <c r="E21" s="108"/>
      <c r="F21" s="110"/>
      <c r="G21" s="109"/>
      <c r="H21" s="109"/>
      <c r="I21" s="228"/>
      <c r="J21" s="109"/>
      <c r="K21" s="110"/>
      <c r="L21" s="110"/>
      <c r="M21" s="110"/>
      <c r="N21" s="109"/>
      <c r="O21" s="109"/>
      <c r="P21" s="236"/>
      <c r="Q21" s="243"/>
      <c r="R21" s="245"/>
      <c r="S21" s="246"/>
      <c r="T21" s="247"/>
      <c r="U21" s="261"/>
      <c r="V21" s="262"/>
      <c r="W21" s="263"/>
      <c r="X21" s="275"/>
      <c r="Y21" s="281"/>
      <c r="Z21" s="111"/>
      <c r="AA21" s="347"/>
      <c r="AB21" s="8"/>
    </row>
    <row r="22" spans="1:28" s="7" customFormat="1" ht="16.5" thickBot="1" thickTop="1">
      <c r="A22" s="5"/>
      <c r="B22" s="32"/>
      <c r="C22" s="108"/>
      <c r="D22" s="108"/>
      <c r="E22" s="108"/>
      <c r="F22" s="351"/>
      <c r="G22" s="351"/>
      <c r="H22" s="351"/>
      <c r="I22" s="229"/>
      <c r="J22" s="351"/>
      <c r="K22" s="38"/>
      <c r="L22" s="129"/>
      <c r="M22" s="129"/>
      <c r="N22" s="351"/>
      <c r="O22" s="351"/>
      <c r="P22" s="236"/>
      <c r="Q22" s="241"/>
      <c r="R22" s="248"/>
      <c r="S22" s="249"/>
      <c r="T22" s="250"/>
      <c r="U22" s="264"/>
      <c r="V22" s="265"/>
      <c r="W22" s="266"/>
      <c r="X22" s="276"/>
      <c r="Y22" s="282"/>
      <c r="Z22" s="128"/>
      <c r="AA22" s="234"/>
      <c r="AB22" s="8"/>
    </row>
    <row r="23" spans="1:28" s="7" customFormat="1" ht="16.5" thickBot="1" thickTop="1">
      <c r="A23" s="5"/>
      <c r="B23" s="32"/>
      <c r="C23" s="38">
        <v>1</v>
      </c>
      <c r="D23" s="38">
        <v>261606</v>
      </c>
      <c r="E23" s="38">
        <v>748</v>
      </c>
      <c r="F23" s="39" t="s">
        <v>63</v>
      </c>
      <c r="G23" s="39">
        <v>132</v>
      </c>
      <c r="H23" s="232">
        <v>42</v>
      </c>
      <c r="I23" s="230">
        <f>IF(H23&gt;25,H23,25)*IF(G23=220,$G$16,IF(G23=132,$G$17,$G$18))/100</f>
        <v>134.74524</v>
      </c>
      <c r="J23" s="40">
        <v>42064</v>
      </c>
      <c r="K23" s="40">
        <v>42095</v>
      </c>
      <c r="L23" s="9">
        <f>IF(F23="","",(K23-J23)*24)</f>
        <v>744</v>
      </c>
      <c r="M23" s="10">
        <f>IF(F23="","",ROUND((K23-J23)*24*60,0))</f>
        <v>44640</v>
      </c>
      <c r="N23" s="41" t="s">
        <v>64</v>
      </c>
      <c r="O23" s="42" t="str">
        <f>IF(F23="","","--")</f>
        <v>--</v>
      </c>
      <c r="P23" s="237">
        <f>IF(N23="P",ROUND(M23/60,2)*I23*$L$17*0.01,"--")</f>
        <v>30075.137568000002</v>
      </c>
      <c r="Q23" s="242" t="str">
        <f>IF(N23="RP",ROUND(M23/60,2)*I23*$L$17*0.01*O23/100,"--")</f>
        <v>--</v>
      </c>
      <c r="R23" s="251" t="str">
        <f>IF(N23="F",I23*$L$17,"--")</f>
        <v>--</v>
      </c>
      <c r="S23" s="252" t="str">
        <f>IF(AND(M23&gt;10,N23="F"),I23*$L$17*IF(M23&gt;180,3,ROUND(M23/60,2)),"--")</f>
        <v>--</v>
      </c>
      <c r="T23" s="253" t="str">
        <f>IF(AND(N23="F",M23&gt;180),(ROUND(M23/60,2)-3)*I23*$L$17*0.1,"--")</f>
        <v>--</v>
      </c>
      <c r="U23" s="267" t="str">
        <f>IF(N23="R",I23*$L$17*O23/100,"--")</f>
        <v>--</v>
      </c>
      <c r="V23" s="268" t="str">
        <f>IF(AND(M23&gt;10,N23="R"),I23*$L$17*O23/100*IF(M23&gt;180,3,ROUND(M23/60,2)),"--")</f>
        <v>--</v>
      </c>
      <c r="W23" s="269" t="str">
        <f>IF(AND(N23="R",M23&gt;180),(ROUND(M23/60,2)-3)*I23*$L$17*0.1*O23/100,"--")</f>
        <v>--</v>
      </c>
      <c r="X23" s="277" t="str">
        <f>IF(N23="RF",ROUND(M23/60,2)*I23*$L$17*0.1,"--")</f>
        <v>--</v>
      </c>
      <c r="Y23" s="283" t="str">
        <f>IF(N23="RR",ROUND(M23/60,2)*I23*$L$17*0.1*O23/100,"--")</f>
        <v>--</v>
      </c>
      <c r="Z23" s="221" t="s">
        <v>65</v>
      </c>
      <c r="AA23" s="43">
        <f>IF(F23="","",SUM(P23:Y23)*IF(Z23="SI",1,2))</f>
        <v>30075.137568000002</v>
      </c>
      <c r="AB23" s="343"/>
    </row>
    <row r="24" spans="1:28" s="7" customFormat="1" ht="16.5" thickBot="1" thickTop="1">
      <c r="A24" s="5"/>
      <c r="B24" s="32"/>
      <c r="C24" s="38">
        <v>2</v>
      </c>
      <c r="D24" s="38">
        <v>280751</v>
      </c>
      <c r="E24" s="38">
        <v>1003</v>
      </c>
      <c r="F24" s="39" t="s">
        <v>66</v>
      </c>
      <c r="G24" s="39">
        <v>33</v>
      </c>
      <c r="H24" s="232">
        <v>11.800000190734863</v>
      </c>
      <c r="I24" s="230">
        <f aca="true" t="shared" si="0" ref="I24:I40">IF(H24&gt;25,H24,25)*IF(G24=220,$G$16,IF(G24=132,$G$17,$G$18))/100</f>
        <v>80.2055</v>
      </c>
      <c r="J24" s="40">
        <v>42064</v>
      </c>
      <c r="K24" s="40">
        <v>42095</v>
      </c>
      <c r="L24" s="9">
        <f aca="true" t="shared" si="1" ref="L24:L40">IF(F24="","",(K24-J24)*24)</f>
        <v>744</v>
      </c>
      <c r="M24" s="10">
        <f aca="true" t="shared" si="2" ref="M24:M40">IF(F24="","",ROUND((K24-J24)*24*60,0))</f>
        <v>44640</v>
      </c>
      <c r="N24" s="41" t="s">
        <v>64</v>
      </c>
      <c r="O24" s="42" t="str">
        <f aca="true" t="shared" si="3" ref="O24:O40">IF(F24="","","--")</f>
        <v>--</v>
      </c>
      <c r="P24" s="237">
        <f aca="true" t="shared" si="4" ref="P24:P40">IF(N24="P",ROUND(M24/60,2)*I24*$L$17*0.01,"--")</f>
        <v>17901.8676</v>
      </c>
      <c r="Q24" s="242" t="str">
        <f aca="true" t="shared" si="5" ref="Q24:Q40">IF(N24="RP",ROUND(M24/60,2)*I24*$L$17*0.01*O24/100,"--")</f>
        <v>--</v>
      </c>
      <c r="R24" s="251" t="str">
        <f aca="true" t="shared" si="6" ref="R24:R40">IF(N24="F",I24*$L$17,"--")</f>
        <v>--</v>
      </c>
      <c r="S24" s="252" t="str">
        <f aca="true" t="shared" si="7" ref="S24:S40">IF(AND(M24&gt;10,N24="F"),I24*$L$17*IF(M24&gt;180,3,ROUND(M24/60,2)),"--")</f>
        <v>--</v>
      </c>
      <c r="T24" s="253" t="str">
        <f aca="true" t="shared" si="8" ref="T24:T40">IF(AND(N24="F",M24&gt;180),(ROUND(M24/60,2)-3)*I24*$L$17*0.1,"--")</f>
        <v>--</v>
      </c>
      <c r="U24" s="267" t="str">
        <f aca="true" t="shared" si="9" ref="U24:U40">IF(N24="R",I24*$L$17*O24/100,"--")</f>
        <v>--</v>
      </c>
      <c r="V24" s="268" t="str">
        <f aca="true" t="shared" si="10" ref="V24:V40">IF(AND(M24&gt;10,N24="R"),I24*$L$17*O24/100*IF(M24&gt;180,3,ROUND(M24/60,2)),"--")</f>
        <v>--</v>
      </c>
      <c r="W24" s="269" t="str">
        <f aca="true" t="shared" si="11" ref="W24:W40">IF(AND(N24="R",M24&gt;180),(ROUND(M24/60,2)-3)*I24*$L$17*0.1*O24/100,"--")</f>
        <v>--</v>
      </c>
      <c r="X24" s="277" t="str">
        <f aca="true" t="shared" si="12" ref="X24:X40">IF(N24="RF",ROUND(M24/60,2)*I24*$L$17*0.1,"--")</f>
        <v>--</v>
      </c>
      <c r="Y24" s="283" t="str">
        <f aca="true" t="shared" si="13" ref="Y24:Y40">IF(N24="RR",ROUND(M24/60,2)*I24*$L$17*0.1*O24/100,"--")</f>
        <v>--</v>
      </c>
      <c r="Z24" s="221" t="s">
        <v>65</v>
      </c>
      <c r="AA24" s="43">
        <f aca="true" t="shared" si="14" ref="AA24:AA43">IF(F24="","",SUM(P24:Y24)*IF(Z24="SI",1,2))</f>
        <v>17901.8676</v>
      </c>
      <c r="AB24" s="343"/>
    </row>
    <row r="25" spans="1:28" s="7" customFormat="1" ht="16.5" thickBot="1" thickTop="1">
      <c r="A25" s="5"/>
      <c r="B25" s="32"/>
      <c r="C25" s="38">
        <v>3</v>
      </c>
      <c r="D25" s="38">
        <v>285326</v>
      </c>
      <c r="E25" s="38">
        <v>1002</v>
      </c>
      <c r="F25" s="39" t="s">
        <v>67</v>
      </c>
      <c r="G25" s="39">
        <v>33</v>
      </c>
      <c r="H25" s="232">
        <v>11.800000190734863</v>
      </c>
      <c r="I25" s="230">
        <f t="shared" si="0"/>
        <v>80.2055</v>
      </c>
      <c r="J25" s="40">
        <v>42064.294444444444</v>
      </c>
      <c r="K25" s="40">
        <v>42064.50625</v>
      </c>
      <c r="L25" s="9">
        <f t="shared" si="1"/>
        <v>5.083333333313931</v>
      </c>
      <c r="M25" s="10">
        <f t="shared" si="2"/>
        <v>305</v>
      </c>
      <c r="N25" s="41" t="s">
        <v>64</v>
      </c>
      <c r="O25" s="42" t="str">
        <f t="shared" si="3"/>
        <v>--</v>
      </c>
      <c r="P25" s="237">
        <f t="shared" si="4"/>
        <v>122.233182</v>
      </c>
      <c r="Q25" s="242" t="str">
        <f t="shared" si="5"/>
        <v>--</v>
      </c>
      <c r="R25" s="251" t="str">
        <f t="shared" si="6"/>
        <v>--</v>
      </c>
      <c r="S25" s="252" t="str">
        <f t="shared" si="7"/>
        <v>--</v>
      </c>
      <c r="T25" s="253" t="str">
        <f t="shared" si="8"/>
        <v>--</v>
      </c>
      <c r="U25" s="267" t="str">
        <f t="shared" si="9"/>
        <v>--</v>
      </c>
      <c r="V25" s="268" t="str">
        <f t="shared" si="10"/>
        <v>--</v>
      </c>
      <c r="W25" s="269" t="str">
        <f t="shared" si="11"/>
        <v>--</v>
      </c>
      <c r="X25" s="277" t="str">
        <f t="shared" si="12"/>
        <v>--</v>
      </c>
      <c r="Y25" s="283" t="str">
        <f t="shared" si="13"/>
        <v>--</v>
      </c>
      <c r="Z25" s="221" t="s">
        <v>65</v>
      </c>
      <c r="AA25" s="43">
        <f t="shared" si="14"/>
        <v>122.233182</v>
      </c>
      <c r="AB25" s="343"/>
    </row>
    <row r="26" spans="1:28" s="7" customFormat="1" ht="16.5" thickBot="1" thickTop="1">
      <c r="A26" s="5"/>
      <c r="B26" s="32"/>
      <c r="C26" s="38">
        <v>4</v>
      </c>
      <c r="D26" s="38">
        <v>285551</v>
      </c>
      <c r="E26" s="38">
        <v>4317</v>
      </c>
      <c r="F26" s="39" t="s">
        <v>68</v>
      </c>
      <c r="G26" s="39">
        <v>132</v>
      </c>
      <c r="H26" s="232">
        <v>91.80000305175781</v>
      </c>
      <c r="I26" s="230">
        <f t="shared" si="0"/>
        <v>294.51460579071045</v>
      </c>
      <c r="J26" s="40">
        <v>42071.29375</v>
      </c>
      <c r="K26" s="40">
        <v>42071.57013888889</v>
      </c>
      <c r="L26" s="9">
        <f t="shared" si="1"/>
        <v>6.633333333476912</v>
      </c>
      <c r="M26" s="10">
        <f t="shared" si="2"/>
        <v>398</v>
      </c>
      <c r="N26" s="41" t="s">
        <v>64</v>
      </c>
      <c r="O26" s="42" t="str">
        <f t="shared" si="3"/>
        <v>--</v>
      </c>
      <c r="P26" s="237">
        <f t="shared" si="4"/>
        <v>585.7895509177231</v>
      </c>
      <c r="Q26" s="242" t="str">
        <f t="shared" si="5"/>
        <v>--</v>
      </c>
      <c r="R26" s="251" t="str">
        <f t="shared" si="6"/>
        <v>--</v>
      </c>
      <c r="S26" s="252" t="str">
        <f t="shared" si="7"/>
        <v>--</v>
      </c>
      <c r="T26" s="253" t="str">
        <f t="shared" si="8"/>
        <v>--</v>
      </c>
      <c r="U26" s="267" t="str">
        <f t="shared" si="9"/>
        <v>--</v>
      </c>
      <c r="V26" s="268" t="str">
        <f t="shared" si="10"/>
        <v>--</v>
      </c>
      <c r="W26" s="269" t="str">
        <f t="shared" si="11"/>
        <v>--</v>
      </c>
      <c r="X26" s="277" t="str">
        <f t="shared" si="12"/>
        <v>--</v>
      </c>
      <c r="Y26" s="283" t="str">
        <f t="shared" si="13"/>
        <v>--</v>
      </c>
      <c r="Z26" s="221" t="s">
        <v>65</v>
      </c>
      <c r="AA26" s="43">
        <f t="shared" si="14"/>
        <v>585.7895509177231</v>
      </c>
      <c r="AB26" s="343"/>
    </row>
    <row r="27" spans="1:28" s="7" customFormat="1" ht="16.5" thickBot="1" thickTop="1">
      <c r="A27" s="5"/>
      <c r="B27" s="32"/>
      <c r="C27" s="38">
        <v>5</v>
      </c>
      <c r="D27" s="38">
        <v>285552</v>
      </c>
      <c r="E27" s="38">
        <v>739</v>
      </c>
      <c r="F27" s="39" t="s">
        <v>69</v>
      </c>
      <c r="G27" s="39">
        <v>132</v>
      </c>
      <c r="H27" s="232">
        <v>31.399999618530273</v>
      </c>
      <c r="I27" s="230">
        <f t="shared" si="0"/>
        <v>100.7381067761612</v>
      </c>
      <c r="J27" s="40">
        <v>42071.302083333336</v>
      </c>
      <c r="K27" s="40">
        <v>42071.45347222222</v>
      </c>
      <c r="L27" s="9">
        <f t="shared" si="1"/>
        <v>3.6333333333022892</v>
      </c>
      <c r="M27" s="10">
        <f t="shared" si="2"/>
        <v>218</v>
      </c>
      <c r="N27" s="41" t="s">
        <v>64</v>
      </c>
      <c r="O27" s="42" t="str">
        <f t="shared" si="3"/>
        <v>--</v>
      </c>
      <c r="P27" s="237">
        <f t="shared" si="4"/>
        <v>109.70379827923955</v>
      </c>
      <c r="Q27" s="242" t="str">
        <f t="shared" si="5"/>
        <v>--</v>
      </c>
      <c r="R27" s="251" t="str">
        <f t="shared" si="6"/>
        <v>--</v>
      </c>
      <c r="S27" s="252" t="str">
        <f t="shared" si="7"/>
        <v>--</v>
      </c>
      <c r="T27" s="253" t="str">
        <f t="shared" si="8"/>
        <v>--</v>
      </c>
      <c r="U27" s="267" t="str">
        <f t="shared" si="9"/>
        <v>--</v>
      </c>
      <c r="V27" s="268" t="str">
        <f t="shared" si="10"/>
        <v>--</v>
      </c>
      <c r="W27" s="269" t="str">
        <f t="shared" si="11"/>
        <v>--</v>
      </c>
      <c r="X27" s="277" t="str">
        <f t="shared" si="12"/>
        <v>--</v>
      </c>
      <c r="Y27" s="283" t="str">
        <f t="shared" si="13"/>
        <v>--</v>
      </c>
      <c r="Z27" s="221" t="s">
        <v>65</v>
      </c>
      <c r="AA27" s="43">
        <f t="shared" si="14"/>
        <v>109.70379827923955</v>
      </c>
      <c r="AB27" s="343"/>
    </row>
    <row r="28" spans="1:28" s="7" customFormat="1" ht="16.5" thickBot="1" thickTop="1">
      <c r="A28" s="5"/>
      <c r="B28" s="32"/>
      <c r="C28" s="38">
        <v>6</v>
      </c>
      <c r="D28" s="38">
        <v>286093</v>
      </c>
      <c r="E28" s="38">
        <v>745</v>
      </c>
      <c r="F28" s="39" t="s">
        <v>70</v>
      </c>
      <c r="G28" s="39">
        <v>132</v>
      </c>
      <c r="H28" s="232">
        <v>178</v>
      </c>
      <c r="I28" s="230">
        <f t="shared" si="0"/>
        <v>571.06316</v>
      </c>
      <c r="J28" s="40">
        <v>42074.30972222222</v>
      </c>
      <c r="K28" s="40">
        <v>42074.57638888889</v>
      </c>
      <c r="L28" s="9">
        <f t="shared" si="1"/>
        <v>6.400000000081491</v>
      </c>
      <c r="M28" s="10">
        <f t="shared" si="2"/>
        <v>384</v>
      </c>
      <c r="N28" s="41" t="s">
        <v>64</v>
      </c>
      <c r="O28" s="42" t="str">
        <f t="shared" si="3"/>
        <v>--</v>
      </c>
      <c r="P28" s="237">
        <f t="shared" si="4"/>
        <v>1096.4412672</v>
      </c>
      <c r="Q28" s="242" t="str">
        <f t="shared" si="5"/>
        <v>--</v>
      </c>
      <c r="R28" s="251" t="str">
        <f t="shared" si="6"/>
        <v>--</v>
      </c>
      <c r="S28" s="252" t="str">
        <f t="shared" si="7"/>
        <v>--</v>
      </c>
      <c r="T28" s="253" t="str">
        <f t="shared" si="8"/>
        <v>--</v>
      </c>
      <c r="U28" s="267" t="str">
        <f t="shared" si="9"/>
        <v>--</v>
      </c>
      <c r="V28" s="268" t="str">
        <f t="shared" si="10"/>
        <v>--</v>
      </c>
      <c r="W28" s="269" t="str">
        <f t="shared" si="11"/>
        <v>--</v>
      </c>
      <c r="X28" s="277" t="str">
        <f t="shared" si="12"/>
        <v>--</v>
      </c>
      <c r="Y28" s="283" t="str">
        <f t="shared" si="13"/>
        <v>--</v>
      </c>
      <c r="Z28" s="221" t="s">
        <v>65</v>
      </c>
      <c r="AA28" s="43">
        <f t="shared" si="14"/>
        <v>1096.4412672</v>
      </c>
      <c r="AB28" s="343"/>
    </row>
    <row r="29" spans="1:28" s="7" customFormat="1" ht="16.5" thickBot="1" thickTop="1">
      <c r="A29" s="5"/>
      <c r="B29" s="32"/>
      <c r="C29" s="38">
        <v>7</v>
      </c>
      <c r="D29" s="38">
        <v>286094</v>
      </c>
      <c r="E29" s="38">
        <v>745</v>
      </c>
      <c r="F29" s="39" t="s">
        <v>70</v>
      </c>
      <c r="G29" s="39">
        <v>132</v>
      </c>
      <c r="H29" s="232">
        <v>178</v>
      </c>
      <c r="I29" s="230">
        <f t="shared" si="0"/>
        <v>571.06316</v>
      </c>
      <c r="J29" s="40">
        <v>42075.31597222222</v>
      </c>
      <c r="K29" s="40">
        <v>42075.57361111111</v>
      </c>
      <c r="L29" s="9">
        <f t="shared" si="1"/>
        <v>6.183333333407063</v>
      </c>
      <c r="M29" s="10">
        <f t="shared" si="2"/>
        <v>371</v>
      </c>
      <c r="N29" s="41" t="s">
        <v>64</v>
      </c>
      <c r="O29" s="42" t="str">
        <f t="shared" si="3"/>
        <v>--</v>
      </c>
      <c r="P29" s="237">
        <f t="shared" si="4"/>
        <v>1058.75109864</v>
      </c>
      <c r="Q29" s="242" t="str">
        <f t="shared" si="5"/>
        <v>--</v>
      </c>
      <c r="R29" s="251" t="str">
        <f t="shared" si="6"/>
        <v>--</v>
      </c>
      <c r="S29" s="252" t="str">
        <f t="shared" si="7"/>
        <v>--</v>
      </c>
      <c r="T29" s="253" t="str">
        <f t="shared" si="8"/>
        <v>--</v>
      </c>
      <c r="U29" s="267" t="str">
        <f t="shared" si="9"/>
        <v>--</v>
      </c>
      <c r="V29" s="268" t="str">
        <f t="shared" si="10"/>
        <v>--</v>
      </c>
      <c r="W29" s="269" t="str">
        <f t="shared" si="11"/>
        <v>--</v>
      </c>
      <c r="X29" s="277" t="str">
        <f t="shared" si="12"/>
        <v>--</v>
      </c>
      <c r="Y29" s="283" t="str">
        <f t="shared" si="13"/>
        <v>--</v>
      </c>
      <c r="Z29" s="221" t="s">
        <v>65</v>
      </c>
      <c r="AA29" s="43">
        <f t="shared" si="14"/>
        <v>1058.75109864</v>
      </c>
      <c r="AB29" s="343"/>
    </row>
    <row r="30" spans="1:28" s="7" customFormat="1" ht="16.5" thickBot="1" thickTop="1">
      <c r="A30" s="5"/>
      <c r="B30" s="32"/>
      <c r="C30" s="38">
        <v>8</v>
      </c>
      <c r="D30" s="38">
        <v>286095</v>
      </c>
      <c r="E30" s="38">
        <v>5044</v>
      </c>
      <c r="F30" s="39" t="s">
        <v>71</v>
      </c>
      <c r="G30" s="39">
        <v>132</v>
      </c>
      <c r="H30" s="232">
        <v>111.5999984741211</v>
      </c>
      <c r="I30" s="230">
        <f t="shared" si="0"/>
        <v>358.0373471046448</v>
      </c>
      <c r="J30" s="40">
        <v>42076.84444444445</v>
      </c>
      <c r="K30" s="40">
        <v>42076.853472222225</v>
      </c>
      <c r="L30" s="9">
        <f t="shared" si="1"/>
        <v>0.2166666666744277</v>
      </c>
      <c r="M30" s="10">
        <f t="shared" si="2"/>
        <v>13</v>
      </c>
      <c r="N30" s="41" t="s">
        <v>72</v>
      </c>
      <c r="O30" s="42" t="str">
        <f t="shared" si="3"/>
        <v>--</v>
      </c>
      <c r="P30" s="237" t="str">
        <f t="shared" si="4"/>
        <v>--</v>
      </c>
      <c r="Q30" s="242" t="str">
        <f t="shared" si="5"/>
        <v>--</v>
      </c>
      <c r="R30" s="251">
        <f t="shared" si="6"/>
        <v>10741.120413139344</v>
      </c>
      <c r="S30" s="252">
        <f t="shared" si="7"/>
        <v>2363.0464908906556</v>
      </c>
      <c r="T30" s="253" t="str">
        <f t="shared" si="8"/>
        <v>--</v>
      </c>
      <c r="U30" s="267" t="str">
        <f t="shared" si="9"/>
        <v>--</v>
      </c>
      <c r="V30" s="268" t="str">
        <f t="shared" si="10"/>
        <v>--</v>
      </c>
      <c r="W30" s="269" t="str">
        <f t="shared" si="11"/>
        <v>--</v>
      </c>
      <c r="X30" s="277" t="str">
        <f t="shared" si="12"/>
        <v>--</v>
      </c>
      <c r="Y30" s="283" t="str">
        <f t="shared" si="13"/>
        <v>--</v>
      </c>
      <c r="Z30" s="221" t="s">
        <v>65</v>
      </c>
      <c r="AA30" s="43">
        <f t="shared" si="14"/>
        <v>13104.16690403</v>
      </c>
      <c r="AB30" s="343"/>
    </row>
    <row r="31" spans="1:28" s="7" customFormat="1" ht="16.5" thickBot="1" thickTop="1">
      <c r="A31" s="5"/>
      <c r="B31" s="32"/>
      <c r="C31" s="38">
        <v>9</v>
      </c>
      <c r="D31" s="38">
        <v>286148</v>
      </c>
      <c r="E31" s="38">
        <v>5392</v>
      </c>
      <c r="F31" s="39" t="s">
        <v>102</v>
      </c>
      <c r="G31" s="39">
        <v>132</v>
      </c>
      <c r="H31" s="232">
        <v>66.5</v>
      </c>
      <c r="I31" s="230">
        <f t="shared" si="0"/>
        <v>213.34663</v>
      </c>
      <c r="J31" s="40">
        <v>42077.561111111114</v>
      </c>
      <c r="K31" s="40">
        <v>42077.728472222225</v>
      </c>
      <c r="L31" s="9">
        <f>IF(F31="","",(K31-J31)*24)</f>
        <v>4.016666666662786</v>
      </c>
      <c r="M31" s="10">
        <f>IF(F31="","",ROUND((K31-J31)*24*60,0))</f>
        <v>241</v>
      </c>
      <c r="N31" s="41" t="s">
        <v>72</v>
      </c>
      <c r="O31" s="42" t="str">
        <f>IF(F31="","","--")</f>
        <v>--</v>
      </c>
      <c r="P31" s="237" t="str">
        <f>IF(N31="P",ROUND(M31/60,2)*I31*$L$17*0.01,"--")</f>
        <v>--</v>
      </c>
      <c r="Q31" s="242" t="str">
        <f>IF(N31="RP",ROUND(M31/60,2)*I31*$L$17*0.01*O31/100,"--")</f>
        <v>--</v>
      </c>
      <c r="R31" s="251">
        <f>IF(N31="F",I31*$L$17,"--")</f>
        <v>6400.3989</v>
      </c>
      <c r="S31" s="252">
        <f>IF(AND(M31&gt;10,N31="F"),I31*$L$17*IF(M31&gt;180,3,ROUND(M31/60,2)),"--")</f>
        <v>19201.1967</v>
      </c>
      <c r="T31" s="253">
        <f>IF(AND(N31="F",M31&gt;180),(ROUND(M31/60,2)-3)*I31*$L$17*0.1,"--")</f>
        <v>652.8406877999997</v>
      </c>
      <c r="U31" s="267" t="str">
        <f>IF(N31="R",I31*$L$17*O31/100,"--")</f>
        <v>--</v>
      </c>
      <c r="V31" s="268" t="str">
        <f>IF(AND(M31&gt;10,N31="R"),I31*$L$17*O31/100*IF(M31&gt;180,3,ROUND(M31/60,2)),"--")</f>
        <v>--</v>
      </c>
      <c r="W31" s="269" t="str">
        <f>IF(AND(N31="R",M31&gt;180),(ROUND(M31/60,2)-3)*I31*$L$17*0.1*O31/100,"--")</f>
        <v>--</v>
      </c>
      <c r="X31" s="277" t="str">
        <f>IF(N31="RF",ROUND(M31/60,2)*I31*$L$17*0.1,"--")</f>
        <v>--</v>
      </c>
      <c r="Y31" s="283" t="str">
        <f>IF(N31="RR",ROUND(M31/60,2)*I31*$L$17*0.1*O31/100,"--")</f>
        <v>--</v>
      </c>
      <c r="Z31" s="221" t="s">
        <v>65</v>
      </c>
      <c r="AA31" s="43">
        <f>IF(F31="","",SUM(P31:Y31)*IF(Z31="SI",1,2))</f>
        <v>26254.4362878</v>
      </c>
      <c r="AB31" s="343"/>
    </row>
    <row r="32" spans="1:28" s="7" customFormat="1" ht="16.5" thickBot="1" thickTop="1">
      <c r="A32" s="5"/>
      <c r="B32" s="32"/>
      <c r="C32" s="38">
        <v>10</v>
      </c>
      <c r="D32" s="38">
        <v>286161</v>
      </c>
      <c r="E32" s="38">
        <v>5044</v>
      </c>
      <c r="F32" s="39" t="s">
        <v>71</v>
      </c>
      <c r="G32" s="39">
        <v>132</v>
      </c>
      <c r="H32" s="232">
        <v>111.5999984741211</v>
      </c>
      <c r="I32" s="230">
        <f t="shared" si="0"/>
        <v>358.0373471046448</v>
      </c>
      <c r="J32" s="40">
        <v>42077.597916666666</v>
      </c>
      <c r="K32" s="40">
        <v>42077.60555555556</v>
      </c>
      <c r="L32" s="9">
        <f t="shared" si="1"/>
        <v>0.18333333340706304</v>
      </c>
      <c r="M32" s="10">
        <f t="shared" si="2"/>
        <v>11</v>
      </c>
      <c r="N32" s="41" t="s">
        <v>72</v>
      </c>
      <c r="O32" s="42" t="str">
        <f t="shared" si="3"/>
        <v>--</v>
      </c>
      <c r="P32" s="237" t="str">
        <f t="shared" si="4"/>
        <v>--</v>
      </c>
      <c r="Q32" s="242" t="str">
        <f t="shared" si="5"/>
        <v>--</v>
      </c>
      <c r="R32" s="251">
        <f t="shared" si="6"/>
        <v>10741.120413139344</v>
      </c>
      <c r="S32" s="252">
        <f t="shared" si="7"/>
        <v>1933.4016743650818</v>
      </c>
      <c r="T32" s="253" t="str">
        <f t="shared" si="8"/>
        <v>--</v>
      </c>
      <c r="U32" s="267" t="str">
        <f t="shared" si="9"/>
        <v>--</v>
      </c>
      <c r="V32" s="268" t="str">
        <f t="shared" si="10"/>
        <v>--</v>
      </c>
      <c r="W32" s="269" t="str">
        <f t="shared" si="11"/>
        <v>--</v>
      </c>
      <c r="X32" s="277" t="str">
        <f t="shared" si="12"/>
        <v>--</v>
      </c>
      <c r="Y32" s="283" t="str">
        <f t="shared" si="13"/>
        <v>--</v>
      </c>
      <c r="Z32" s="221" t="s">
        <v>65</v>
      </c>
      <c r="AA32" s="43">
        <f t="shared" si="14"/>
        <v>12674.522087504425</v>
      </c>
      <c r="AB32" s="343"/>
    </row>
    <row r="33" spans="1:28" s="7" customFormat="1" ht="16.5" thickBot="1" thickTop="1">
      <c r="A33" s="5"/>
      <c r="B33" s="32"/>
      <c r="C33" s="38">
        <v>11</v>
      </c>
      <c r="D33" s="38">
        <v>286216</v>
      </c>
      <c r="E33" s="38">
        <v>740</v>
      </c>
      <c r="F33" s="39" t="s">
        <v>73</v>
      </c>
      <c r="G33" s="39">
        <v>132</v>
      </c>
      <c r="H33" s="232">
        <v>77.69999694824219</v>
      </c>
      <c r="I33" s="230">
        <f t="shared" si="0"/>
        <v>249.27868420928957</v>
      </c>
      <c r="J33" s="40">
        <v>42077.631944444445</v>
      </c>
      <c r="K33" s="40">
        <v>42077.66388888889</v>
      </c>
      <c r="L33" s="9">
        <f t="shared" si="1"/>
        <v>0.7666666667209938</v>
      </c>
      <c r="M33" s="10">
        <f t="shared" si="2"/>
        <v>46</v>
      </c>
      <c r="N33" s="41" t="s">
        <v>72</v>
      </c>
      <c r="O33" s="42" t="str">
        <f t="shared" si="3"/>
        <v>--</v>
      </c>
      <c r="P33" s="237" t="str">
        <f t="shared" si="4"/>
        <v>--</v>
      </c>
      <c r="Q33" s="242" t="str">
        <f t="shared" si="5"/>
        <v>--</v>
      </c>
      <c r="R33" s="251">
        <f t="shared" si="6"/>
        <v>7478.360526278687</v>
      </c>
      <c r="S33" s="252">
        <f t="shared" si="7"/>
        <v>5758.337605234589</v>
      </c>
      <c r="T33" s="253" t="str">
        <f t="shared" si="8"/>
        <v>--</v>
      </c>
      <c r="U33" s="267" t="str">
        <f t="shared" si="9"/>
        <v>--</v>
      </c>
      <c r="V33" s="268" t="str">
        <f t="shared" si="10"/>
        <v>--</v>
      </c>
      <c r="W33" s="269" t="str">
        <f t="shared" si="11"/>
        <v>--</v>
      </c>
      <c r="X33" s="277" t="str">
        <f t="shared" si="12"/>
        <v>--</v>
      </c>
      <c r="Y33" s="283" t="str">
        <f t="shared" si="13"/>
        <v>--</v>
      </c>
      <c r="Z33" s="221" t="s">
        <v>65</v>
      </c>
      <c r="AA33" s="43">
        <f t="shared" si="14"/>
        <v>13236.698131513276</v>
      </c>
      <c r="AB33" s="343"/>
    </row>
    <row r="34" spans="1:28" s="7" customFormat="1" ht="16.5" thickBot="1" thickTop="1">
      <c r="A34" s="5"/>
      <c r="B34" s="32"/>
      <c r="C34" s="38">
        <v>12</v>
      </c>
      <c r="D34" s="38">
        <v>286440</v>
      </c>
      <c r="E34" s="38">
        <v>5044</v>
      </c>
      <c r="F34" s="39" t="s">
        <v>71</v>
      </c>
      <c r="G34" s="39">
        <v>132</v>
      </c>
      <c r="H34" s="232">
        <v>111.5999984741211</v>
      </c>
      <c r="I34" s="230">
        <f t="shared" si="0"/>
        <v>358.0373471046448</v>
      </c>
      <c r="J34" s="40">
        <v>42080.31319444445</v>
      </c>
      <c r="K34" s="40">
        <v>42080.520833333336</v>
      </c>
      <c r="L34" s="9">
        <f t="shared" si="1"/>
        <v>4.983333333337214</v>
      </c>
      <c r="M34" s="10">
        <f t="shared" si="2"/>
        <v>299</v>
      </c>
      <c r="N34" s="41" t="s">
        <v>64</v>
      </c>
      <c r="O34" s="42" t="str">
        <f t="shared" si="3"/>
        <v>--</v>
      </c>
      <c r="P34" s="237">
        <f t="shared" si="4"/>
        <v>534.9077965743394</v>
      </c>
      <c r="Q34" s="242" t="str">
        <f t="shared" si="5"/>
        <v>--</v>
      </c>
      <c r="R34" s="251" t="str">
        <f t="shared" si="6"/>
        <v>--</v>
      </c>
      <c r="S34" s="252" t="str">
        <f t="shared" si="7"/>
        <v>--</v>
      </c>
      <c r="T34" s="253" t="str">
        <f t="shared" si="8"/>
        <v>--</v>
      </c>
      <c r="U34" s="267" t="str">
        <f t="shared" si="9"/>
        <v>--</v>
      </c>
      <c r="V34" s="268" t="str">
        <f t="shared" si="10"/>
        <v>--</v>
      </c>
      <c r="W34" s="269" t="str">
        <f t="shared" si="11"/>
        <v>--</v>
      </c>
      <c r="X34" s="277" t="str">
        <f t="shared" si="12"/>
        <v>--</v>
      </c>
      <c r="Y34" s="283" t="str">
        <f t="shared" si="13"/>
        <v>--</v>
      </c>
      <c r="Z34" s="221" t="s">
        <v>65</v>
      </c>
      <c r="AA34" s="43">
        <f t="shared" si="14"/>
        <v>534.9077965743394</v>
      </c>
      <c r="AB34" s="343"/>
    </row>
    <row r="35" spans="1:28" s="7" customFormat="1" ht="16.5" thickBot="1" thickTop="1">
      <c r="A35" s="5"/>
      <c r="B35" s="32"/>
      <c r="C35" s="38">
        <v>13</v>
      </c>
      <c r="D35" s="38">
        <v>286441</v>
      </c>
      <c r="E35" s="38">
        <v>5044</v>
      </c>
      <c r="F35" s="39" t="s">
        <v>71</v>
      </c>
      <c r="G35" s="39">
        <v>132</v>
      </c>
      <c r="H35" s="232">
        <v>111.5999984741211</v>
      </c>
      <c r="I35" s="230">
        <f t="shared" si="0"/>
        <v>358.0373471046448</v>
      </c>
      <c r="J35" s="40">
        <v>42080.544444444444</v>
      </c>
      <c r="K35" s="40">
        <v>42080.55</v>
      </c>
      <c r="L35" s="9">
        <f t="shared" si="1"/>
        <v>0.13333333341870457</v>
      </c>
      <c r="M35" s="10">
        <f t="shared" si="2"/>
        <v>8</v>
      </c>
      <c r="N35" s="41" t="s">
        <v>72</v>
      </c>
      <c r="O35" s="42" t="str">
        <f t="shared" si="3"/>
        <v>--</v>
      </c>
      <c r="P35" s="237" t="str">
        <f t="shared" si="4"/>
        <v>--</v>
      </c>
      <c r="Q35" s="242" t="str">
        <f t="shared" si="5"/>
        <v>--</v>
      </c>
      <c r="R35" s="251">
        <f t="shared" si="6"/>
        <v>10741.120413139344</v>
      </c>
      <c r="S35" s="252" t="str">
        <f t="shared" si="7"/>
        <v>--</v>
      </c>
      <c r="T35" s="253" t="str">
        <f t="shared" si="8"/>
        <v>--</v>
      </c>
      <c r="U35" s="267" t="str">
        <f t="shared" si="9"/>
        <v>--</v>
      </c>
      <c r="V35" s="268" t="str">
        <f t="shared" si="10"/>
        <v>--</v>
      </c>
      <c r="W35" s="269" t="str">
        <f t="shared" si="11"/>
        <v>--</v>
      </c>
      <c r="X35" s="277" t="str">
        <f t="shared" si="12"/>
        <v>--</v>
      </c>
      <c r="Y35" s="283" t="str">
        <f t="shared" si="13"/>
        <v>--</v>
      </c>
      <c r="Z35" s="221" t="s">
        <v>65</v>
      </c>
      <c r="AA35" s="43">
        <f t="shared" si="14"/>
        <v>10741.120413139344</v>
      </c>
      <c r="AB35" s="343"/>
    </row>
    <row r="36" spans="1:28" s="7" customFormat="1" ht="16.5" thickBot="1" thickTop="1">
      <c r="A36" s="5"/>
      <c r="B36" s="32"/>
      <c r="C36" s="38">
        <v>14</v>
      </c>
      <c r="D36" s="38">
        <v>286490</v>
      </c>
      <c r="E36" s="38">
        <v>5044</v>
      </c>
      <c r="F36" s="39" t="s">
        <v>71</v>
      </c>
      <c r="G36" s="39">
        <v>132</v>
      </c>
      <c r="H36" s="232">
        <v>111.5999984741211</v>
      </c>
      <c r="I36" s="230">
        <f t="shared" si="0"/>
        <v>358.0373471046448</v>
      </c>
      <c r="J36" s="40">
        <v>42081.27569444444</v>
      </c>
      <c r="K36" s="40">
        <v>42081.56736111111</v>
      </c>
      <c r="L36" s="9">
        <f t="shared" si="1"/>
        <v>7.000000000116415</v>
      </c>
      <c r="M36" s="10">
        <f t="shared" si="2"/>
        <v>420</v>
      </c>
      <c r="N36" s="41" t="s">
        <v>64</v>
      </c>
      <c r="O36" s="42" t="str">
        <f t="shared" si="3"/>
        <v>--</v>
      </c>
      <c r="P36" s="237">
        <f t="shared" si="4"/>
        <v>751.8784289197541</v>
      </c>
      <c r="Q36" s="242" t="str">
        <f t="shared" si="5"/>
        <v>--</v>
      </c>
      <c r="R36" s="251" t="str">
        <f t="shared" si="6"/>
        <v>--</v>
      </c>
      <c r="S36" s="252" t="str">
        <f t="shared" si="7"/>
        <v>--</v>
      </c>
      <c r="T36" s="253" t="str">
        <f t="shared" si="8"/>
        <v>--</v>
      </c>
      <c r="U36" s="267" t="str">
        <f t="shared" si="9"/>
        <v>--</v>
      </c>
      <c r="V36" s="268" t="str">
        <f t="shared" si="10"/>
        <v>--</v>
      </c>
      <c r="W36" s="269" t="str">
        <f t="shared" si="11"/>
        <v>--</v>
      </c>
      <c r="X36" s="277" t="str">
        <f t="shared" si="12"/>
        <v>--</v>
      </c>
      <c r="Y36" s="283" t="str">
        <f t="shared" si="13"/>
        <v>--</v>
      </c>
      <c r="Z36" s="221" t="s">
        <v>65</v>
      </c>
      <c r="AA36" s="43">
        <f t="shared" si="14"/>
        <v>751.8784289197541</v>
      </c>
      <c r="AB36" s="8"/>
    </row>
    <row r="37" spans="1:28" s="7" customFormat="1" ht="16.5" thickBot="1" thickTop="1">
      <c r="A37" s="5"/>
      <c r="B37" s="32"/>
      <c r="C37" s="38">
        <v>15</v>
      </c>
      <c r="D37" s="38">
        <v>286515</v>
      </c>
      <c r="E37" s="38">
        <v>5044</v>
      </c>
      <c r="F37" s="39" t="s">
        <v>71</v>
      </c>
      <c r="G37" s="39">
        <v>132</v>
      </c>
      <c r="H37" s="232">
        <v>111.5999984741211</v>
      </c>
      <c r="I37" s="230">
        <f t="shared" si="0"/>
        <v>358.0373471046448</v>
      </c>
      <c r="J37" s="40">
        <v>42081.86319444444</v>
      </c>
      <c r="K37" s="40">
        <v>42081.86736111111</v>
      </c>
      <c r="L37" s="9">
        <f t="shared" si="1"/>
        <v>0.09999999997671694</v>
      </c>
      <c r="M37" s="10">
        <f t="shared" si="2"/>
        <v>6</v>
      </c>
      <c r="N37" s="41" t="s">
        <v>72</v>
      </c>
      <c r="O37" s="42" t="str">
        <f t="shared" si="3"/>
        <v>--</v>
      </c>
      <c r="P37" s="237" t="str">
        <f t="shared" si="4"/>
        <v>--</v>
      </c>
      <c r="Q37" s="242" t="str">
        <f t="shared" si="5"/>
        <v>--</v>
      </c>
      <c r="R37" s="251">
        <f t="shared" si="6"/>
        <v>10741.120413139344</v>
      </c>
      <c r="S37" s="252" t="str">
        <f t="shared" si="7"/>
        <v>--</v>
      </c>
      <c r="T37" s="253" t="str">
        <f t="shared" si="8"/>
        <v>--</v>
      </c>
      <c r="U37" s="267" t="str">
        <f t="shared" si="9"/>
        <v>--</v>
      </c>
      <c r="V37" s="268" t="str">
        <f t="shared" si="10"/>
        <v>--</v>
      </c>
      <c r="W37" s="269" t="str">
        <f t="shared" si="11"/>
        <v>--</v>
      </c>
      <c r="X37" s="277" t="str">
        <f t="shared" si="12"/>
        <v>--</v>
      </c>
      <c r="Y37" s="283" t="str">
        <f t="shared" si="13"/>
        <v>--</v>
      </c>
      <c r="Z37" s="221" t="s">
        <v>65</v>
      </c>
      <c r="AA37" s="43">
        <f t="shared" si="14"/>
        <v>10741.120413139344</v>
      </c>
      <c r="AB37" s="8"/>
    </row>
    <row r="38" spans="1:28" s="7" customFormat="1" ht="16.5" thickBot="1" thickTop="1">
      <c r="A38" s="5"/>
      <c r="B38" s="112"/>
      <c r="C38" s="38">
        <v>16</v>
      </c>
      <c r="D38" s="38">
        <v>286547</v>
      </c>
      <c r="E38" s="38">
        <v>5044</v>
      </c>
      <c r="F38" s="39" t="s">
        <v>71</v>
      </c>
      <c r="G38" s="39">
        <v>132</v>
      </c>
      <c r="H38" s="232">
        <v>111.5999984741211</v>
      </c>
      <c r="I38" s="230">
        <f t="shared" si="0"/>
        <v>358.0373471046448</v>
      </c>
      <c r="J38" s="40">
        <v>42082.28472222222</v>
      </c>
      <c r="K38" s="40">
        <v>42082.584027777775</v>
      </c>
      <c r="L38" s="9">
        <f t="shared" si="1"/>
        <v>7.183333333348855</v>
      </c>
      <c r="M38" s="10">
        <f t="shared" si="2"/>
        <v>431</v>
      </c>
      <c r="N38" s="41" t="s">
        <v>64</v>
      </c>
      <c r="O38" s="42" t="str">
        <f t="shared" si="3"/>
        <v>--</v>
      </c>
      <c r="P38" s="237">
        <f t="shared" si="4"/>
        <v>771.212445663405</v>
      </c>
      <c r="Q38" s="242" t="str">
        <f t="shared" si="5"/>
        <v>--</v>
      </c>
      <c r="R38" s="251" t="str">
        <f t="shared" si="6"/>
        <v>--</v>
      </c>
      <c r="S38" s="252" t="str">
        <f t="shared" si="7"/>
        <v>--</v>
      </c>
      <c r="T38" s="253" t="str">
        <f t="shared" si="8"/>
        <v>--</v>
      </c>
      <c r="U38" s="267" t="str">
        <f t="shared" si="9"/>
        <v>--</v>
      </c>
      <c r="V38" s="268" t="str">
        <f t="shared" si="10"/>
        <v>--</v>
      </c>
      <c r="W38" s="269" t="str">
        <f t="shared" si="11"/>
        <v>--</v>
      </c>
      <c r="X38" s="277" t="str">
        <f t="shared" si="12"/>
        <v>--</v>
      </c>
      <c r="Y38" s="283" t="str">
        <f t="shared" si="13"/>
        <v>--</v>
      </c>
      <c r="Z38" s="221" t="s">
        <v>65</v>
      </c>
      <c r="AA38" s="43">
        <f t="shared" si="14"/>
        <v>771.212445663405</v>
      </c>
      <c r="AB38" s="8"/>
    </row>
    <row r="39" spans="1:28" s="7" customFormat="1" ht="16.5" thickBot="1" thickTop="1">
      <c r="A39" s="5"/>
      <c r="B39" s="32"/>
      <c r="C39" s="38">
        <v>17</v>
      </c>
      <c r="D39" s="38">
        <v>286548</v>
      </c>
      <c r="E39" s="38">
        <v>4317</v>
      </c>
      <c r="F39" s="39" t="s">
        <v>68</v>
      </c>
      <c r="G39" s="39">
        <v>132</v>
      </c>
      <c r="H39" s="232">
        <v>91.80000305175781</v>
      </c>
      <c r="I39" s="230">
        <f t="shared" si="0"/>
        <v>294.51460579071045</v>
      </c>
      <c r="J39" s="40">
        <v>42082.28472222222</v>
      </c>
      <c r="K39" s="40">
        <v>42082.584027777775</v>
      </c>
      <c r="L39" s="9">
        <f t="shared" si="1"/>
        <v>7.183333333348855</v>
      </c>
      <c r="M39" s="10">
        <f t="shared" si="2"/>
        <v>431</v>
      </c>
      <c r="N39" s="41" t="s">
        <v>64</v>
      </c>
      <c r="O39" s="42" t="str">
        <f t="shared" si="3"/>
        <v>--</v>
      </c>
      <c r="P39" s="237">
        <f t="shared" si="4"/>
        <v>634.3844608731903</v>
      </c>
      <c r="Q39" s="242" t="str">
        <f t="shared" si="5"/>
        <v>--</v>
      </c>
      <c r="R39" s="251" t="str">
        <f t="shared" si="6"/>
        <v>--</v>
      </c>
      <c r="S39" s="252" t="str">
        <f t="shared" si="7"/>
        <v>--</v>
      </c>
      <c r="T39" s="253" t="str">
        <f t="shared" si="8"/>
        <v>--</v>
      </c>
      <c r="U39" s="267" t="str">
        <f t="shared" si="9"/>
        <v>--</v>
      </c>
      <c r="V39" s="268" t="str">
        <f t="shared" si="10"/>
        <v>--</v>
      </c>
      <c r="W39" s="269" t="str">
        <f t="shared" si="11"/>
        <v>--</v>
      </c>
      <c r="X39" s="277" t="str">
        <f t="shared" si="12"/>
        <v>--</v>
      </c>
      <c r="Y39" s="283" t="str">
        <f t="shared" si="13"/>
        <v>--</v>
      </c>
      <c r="Z39" s="221" t="s">
        <v>65</v>
      </c>
      <c r="AA39" s="43">
        <f t="shared" si="14"/>
        <v>634.3844608731903</v>
      </c>
      <c r="AB39" s="8"/>
    </row>
    <row r="40" spans="1:28" s="7" customFormat="1" ht="16.5" thickBot="1" thickTop="1">
      <c r="A40" s="5"/>
      <c r="B40" s="32"/>
      <c r="C40" s="38">
        <v>18</v>
      </c>
      <c r="D40" s="38">
        <v>286579</v>
      </c>
      <c r="E40" s="38">
        <v>4800</v>
      </c>
      <c r="F40" s="39" t="s">
        <v>74</v>
      </c>
      <c r="G40" s="39">
        <v>132</v>
      </c>
      <c r="H40" s="232">
        <v>12.600000381469727</v>
      </c>
      <c r="I40" s="230">
        <f t="shared" si="0"/>
        <v>80.2055</v>
      </c>
      <c r="J40" s="40">
        <v>42085.236805555556</v>
      </c>
      <c r="K40" s="40">
        <v>42085.61597222222</v>
      </c>
      <c r="L40" s="9">
        <f t="shared" si="1"/>
        <v>9.099999999976717</v>
      </c>
      <c r="M40" s="10">
        <f t="shared" si="2"/>
        <v>546</v>
      </c>
      <c r="N40" s="41" t="s">
        <v>64</v>
      </c>
      <c r="O40" s="42" t="str">
        <f t="shared" si="3"/>
        <v>--</v>
      </c>
      <c r="P40" s="237">
        <f t="shared" si="4"/>
        <v>218.961015</v>
      </c>
      <c r="Q40" s="242" t="str">
        <f t="shared" si="5"/>
        <v>--</v>
      </c>
      <c r="R40" s="251" t="str">
        <f t="shared" si="6"/>
        <v>--</v>
      </c>
      <c r="S40" s="252" t="str">
        <f t="shared" si="7"/>
        <v>--</v>
      </c>
      <c r="T40" s="253" t="str">
        <f t="shared" si="8"/>
        <v>--</v>
      </c>
      <c r="U40" s="267" t="str">
        <f t="shared" si="9"/>
        <v>--</v>
      </c>
      <c r="V40" s="268" t="str">
        <f t="shared" si="10"/>
        <v>--</v>
      </c>
      <c r="W40" s="269" t="str">
        <f t="shared" si="11"/>
        <v>--</v>
      </c>
      <c r="X40" s="277" t="str">
        <f t="shared" si="12"/>
        <v>--</v>
      </c>
      <c r="Y40" s="283" t="str">
        <f t="shared" si="13"/>
        <v>--</v>
      </c>
      <c r="Z40" s="221" t="s">
        <v>65</v>
      </c>
      <c r="AA40" s="43">
        <f t="shared" si="14"/>
        <v>218.961015</v>
      </c>
      <c r="AB40" s="8"/>
    </row>
    <row r="41" spans="2:28" s="7" customFormat="1" ht="16.5" thickBot="1" thickTop="1">
      <c r="B41" s="113"/>
      <c r="C41" s="38">
        <v>19</v>
      </c>
      <c r="D41" s="38">
        <v>286580</v>
      </c>
      <c r="E41" s="38">
        <v>743</v>
      </c>
      <c r="F41" s="39" t="s">
        <v>75</v>
      </c>
      <c r="G41" s="39">
        <v>132</v>
      </c>
      <c r="H41" s="232">
        <v>60.900001525878906</v>
      </c>
      <c r="I41" s="230">
        <f>IF(H41&gt;25,H41,25)*IF(G41=220,$G$16,IF(G41=132,$G$17,$G$18))/100</f>
        <v>195.38060289535522</v>
      </c>
      <c r="J41" s="40">
        <v>42085.34722222222</v>
      </c>
      <c r="K41" s="40">
        <v>42085.59722222222</v>
      </c>
      <c r="L41" s="9">
        <f>IF(F41="","",(K41-J41)*24)</f>
        <v>6</v>
      </c>
      <c r="M41" s="10">
        <f>IF(F41="","",ROUND((K41-J41)*24*60,0))</f>
        <v>360</v>
      </c>
      <c r="N41" s="41" t="s">
        <v>64</v>
      </c>
      <c r="O41" s="42" t="str">
        <f>IF(F41="","","--")</f>
        <v>--</v>
      </c>
      <c r="P41" s="237">
        <f>IF(N41="P",ROUND(M41/60,2)*I41*$L$17*0.01,"--")</f>
        <v>351.68508521163943</v>
      </c>
      <c r="Q41" s="242" t="str">
        <f>IF(N41="RP",ROUND(M41/60,2)*I41*$L$17*0.01*O41/100,"--")</f>
        <v>--</v>
      </c>
      <c r="R41" s="251" t="str">
        <f>IF(N41="F",I41*$L$17,"--")</f>
        <v>--</v>
      </c>
      <c r="S41" s="252" t="str">
        <f>IF(AND(M41&gt;10,N41="F"),I41*$L$17*IF(M41&gt;180,3,ROUND(M41/60,2)),"--")</f>
        <v>--</v>
      </c>
      <c r="T41" s="253" t="str">
        <f>IF(AND(N41="F",M41&gt;180),(ROUND(M41/60,2)-3)*I41*$L$17*0.1,"--")</f>
        <v>--</v>
      </c>
      <c r="U41" s="267" t="str">
        <f>IF(N41="R",I41*$L$17*O41/100,"--")</f>
        <v>--</v>
      </c>
      <c r="V41" s="268" t="str">
        <f>IF(AND(M41&gt;10,N41="R"),I41*$L$17*O41/100*IF(M41&gt;180,3,ROUND(M41/60,2)),"--")</f>
        <v>--</v>
      </c>
      <c r="W41" s="269" t="str">
        <f>IF(AND(N41="R",M41&gt;180),(ROUND(M41/60,2)-3)*I41*$L$17*0.1*O41/100,"--")</f>
        <v>--</v>
      </c>
      <c r="X41" s="277" t="str">
        <f>IF(N41="RF",ROUND(M41/60,2)*I41*$L$17*0.1,"--")</f>
        <v>--</v>
      </c>
      <c r="Y41" s="283" t="str">
        <f>IF(N41="RR",ROUND(M41/60,2)*I41*$L$17*0.1*O41/100,"--")</f>
        <v>--</v>
      </c>
      <c r="Z41" s="221" t="s">
        <v>65</v>
      </c>
      <c r="AA41" s="43">
        <f t="shared" si="14"/>
        <v>351.68508521163943</v>
      </c>
      <c r="AB41" s="8"/>
    </row>
    <row r="42" spans="2:28" s="7" customFormat="1" ht="16.5" thickBot="1" thickTop="1">
      <c r="B42" s="113"/>
      <c r="C42" s="38">
        <v>20</v>
      </c>
      <c r="D42" s="38">
        <v>286581</v>
      </c>
      <c r="E42" s="38">
        <v>5044</v>
      </c>
      <c r="F42" s="39" t="s">
        <v>71</v>
      </c>
      <c r="G42" s="39">
        <v>132</v>
      </c>
      <c r="H42" s="232">
        <v>111.5999984741211</v>
      </c>
      <c r="I42" s="230">
        <f>IF(H42&gt;25,H42,25)*IF(G42=220,$G$16,IF(G42=132,$G$17,$G$18))/100</f>
        <v>358.0373471046448</v>
      </c>
      <c r="J42" s="40">
        <v>42085.941666666666</v>
      </c>
      <c r="K42" s="40">
        <v>42085.94930555556</v>
      </c>
      <c r="L42" s="9">
        <f>IF(F42="","",(K42-J42)*24)</f>
        <v>0.18333333340706304</v>
      </c>
      <c r="M42" s="10">
        <f>IF(F42="","",ROUND((K42-J42)*24*60,0))</f>
        <v>11</v>
      </c>
      <c r="N42" s="41" t="s">
        <v>72</v>
      </c>
      <c r="O42" s="42" t="str">
        <f>IF(F42="","","--")</f>
        <v>--</v>
      </c>
      <c r="P42" s="237" t="str">
        <f>IF(N42="P",ROUND(M42/60,2)*I42*$L$17*0.01,"--")</f>
        <v>--</v>
      </c>
      <c r="Q42" s="242" t="str">
        <f>IF(N42="RP",ROUND(M42/60,2)*I42*$L$17*0.01*O42/100,"--")</f>
        <v>--</v>
      </c>
      <c r="R42" s="251">
        <f>IF(N42="F",I42*$L$17,"--")</f>
        <v>10741.120413139344</v>
      </c>
      <c r="S42" s="252">
        <f>IF(AND(M42&gt;10,N42="F"),I42*$L$17*IF(M42&gt;180,3,ROUND(M42/60,2)),"--")</f>
        <v>1933.4016743650818</v>
      </c>
      <c r="T42" s="253" t="str">
        <f>IF(AND(N42="F",M42&gt;180),(ROUND(M42/60,2)-3)*I42*$L$17*0.1,"--")</f>
        <v>--</v>
      </c>
      <c r="U42" s="267" t="str">
        <f>IF(N42="R",I42*$L$17*O42/100,"--")</f>
        <v>--</v>
      </c>
      <c r="V42" s="268" t="str">
        <f>IF(AND(M42&gt;10,N42="R"),I42*$L$17*O42/100*IF(M42&gt;180,3,ROUND(M42/60,2)),"--")</f>
        <v>--</v>
      </c>
      <c r="W42" s="269" t="str">
        <f>IF(AND(N42="R",M42&gt;180),(ROUND(M42/60,2)-3)*I42*$L$17*0.1*O42/100,"--")</f>
        <v>--</v>
      </c>
      <c r="X42" s="277" t="str">
        <f>IF(N42="RF",ROUND(M42/60,2)*I42*$L$17*0.1,"--")</f>
        <v>--</v>
      </c>
      <c r="Y42" s="283" t="str">
        <f>IF(N42="RR",ROUND(M42/60,2)*I42*$L$17*0.1*O42/100,"--")</f>
        <v>--</v>
      </c>
      <c r="Z42" s="221" t="s">
        <v>65</v>
      </c>
      <c r="AA42" s="43">
        <f t="shared" si="14"/>
        <v>12674.522087504425</v>
      </c>
      <c r="AB42" s="8"/>
    </row>
    <row r="43" spans="2:28" s="7" customFormat="1" ht="16.5" thickBot="1" thickTop="1">
      <c r="B43" s="113"/>
      <c r="C43" s="38"/>
      <c r="D43" s="38"/>
      <c r="E43" s="38"/>
      <c r="F43" s="39"/>
      <c r="G43" s="39"/>
      <c r="H43" s="232"/>
      <c r="I43" s="230">
        <f>IF(H43&gt;25,H43,25)*IF(G43=220,$G$16,IF(G43=132,$G$17,$G$18))/100</f>
        <v>80.2055</v>
      </c>
      <c r="J43" s="40"/>
      <c r="K43" s="40"/>
      <c r="L43" s="9">
        <f>IF(F43="","",(K43-J43)*24)</f>
      </c>
      <c r="M43" s="10">
        <f>IF(F43="","",ROUND((K43-J43)*24*60,0))</f>
      </c>
      <c r="N43" s="41"/>
      <c r="O43" s="42">
        <f>IF(F43="","","--")</f>
      </c>
      <c r="P43" s="237" t="str">
        <f>IF(N43="P",ROUND(M43/60,2)*I43*$L$17*0.01,"--")</f>
        <v>--</v>
      </c>
      <c r="Q43" s="242" t="str">
        <f>IF(N43="RP",ROUND(M43/60,2)*I43*$L$17*0.01*O43/100,"--")</f>
        <v>--</v>
      </c>
      <c r="R43" s="251" t="str">
        <f>IF(N43="F",I43*$L$17,"--")</f>
        <v>--</v>
      </c>
      <c r="S43" s="252" t="str">
        <f>IF(AND(M43&gt;10,N43="F"),I43*$L$17*IF(M43&gt;180,3,ROUND(M43/60,2)),"--")</f>
        <v>--</v>
      </c>
      <c r="T43" s="253" t="str">
        <f>IF(AND(N43="F",M43&gt;180),(ROUND(M43/60,2)-3)*I43*$L$17*0.1,"--")</f>
        <v>--</v>
      </c>
      <c r="U43" s="267" t="str">
        <f>IF(N43="R",I43*$L$17*O43/100,"--")</f>
        <v>--</v>
      </c>
      <c r="V43" s="268" t="str">
        <f>IF(AND(M43&gt;10,N43="R"),I43*$L$17*O43/100*IF(M43&gt;180,3,ROUND(M43/60,2)),"--")</f>
        <v>--</v>
      </c>
      <c r="W43" s="269" t="str">
        <f>IF(AND(N43="R",M43&gt;180),(ROUND(M43/60,2)-3)*I43*$L$17*0.1*O43/100,"--")</f>
        <v>--</v>
      </c>
      <c r="X43" s="277" t="str">
        <f>IF(N43="RF",ROUND(M43/60,2)*I43*$L$17*0.1,"--")</f>
        <v>--</v>
      </c>
      <c r="Y43" s="283" t="str">
        <f>IF(N43="RR",ROUND(M43/60,2)*I43*$L$17*0.1*O43/100,"--")</f>
        <v>--</v>
      </c>
      <c r="Z43" s="221">
        <f>IF(F43="","","SI")</f>
      </c>
      <c r="AA43" s="43">
        <f t="shared" si="14"/>
      </c>
      <c r="AB43" s="8"/>
    </row>
    <row r="44" spans="1:28" s="7" customFormat="1" ht="16.5" thickBot="1" thickTop="1">
      <c r="A44" s="5"/>
      <c r="B44" s="32"/>
      <c r="C44" s="233"/>
      <c r="D44" s="233"/>
      <c r="E44" s="233"/>
      <c r="F44" s="352"/>
      <c r="G44" s="353"/>
      <c r="H44" s="354"/>
      <c r="I44" s="231"/>
      <c r="J44" s="354"/>
      <c r="K44" s="354"/>
      <c r="L44" s="11"/>
      <c r="M44" s="11"/>
      <c r="N44" s="354"/>
      <c r="O44" s="355"/>
      <c r="P44" s="238"/>
      <c r="Q44" s="244"/>
      <c r="R44" s="254"/>
      <c r="S44" s="255"/>
      <c r="T44" s="256"/>
      <c r="U44" s="270"/>
      <c r="V44" s="271"/>
      <c r="W44" s="272"/>
      <c r="X44" s="278"/>
      <c r="Y44" s="284"/>
      <c r="Z44" s="44"/>
      <c r="AA44" s="130"/>
      <c r="AB44" s="8"/>
    </row>
    <row r="45" spans="1:28" s="7" customFormat="1" ht="17.25" thickBot="1" thickTop="1">
      <c r="A45" s="5"/>
      <c r="B45" s="32"/>
      <c r="C45" s="196" t="s">
        <v>39</v>
      </c>
      <c r="D45" s="198"/>
      <c r="E45" s="198"/>
      <c r="F45" s="197"/>
      <c r="G45" s="12"/>
      <c r="H45" s="13"/>
      <c r="I45" s="45"/>
      <c r="J45" s="45"/>
      <c r="K45" s="45"/>
      <c r="L45" s="45"/>
      <c r="M45" s="45"/>
      <c r="N45" s="45"/>
      <c r="O45" s="46"/>
      <c r="P45" s="238">
        <f>SUM(P21:P44)</f>
        <v>54212.95329727931</v>
      </c>
      <c r="Q45" s="240">
        <f>SUM(Q21:Q44)</f>
        <v>0</v>
      </c>
      <c r="R45" s="257">
        <f aca="true" t="shared" si="15" ref="R45:Y45">SUM(R21:R44)</f>
        <v>67584.36149197542</v>
      </c>
      <c r="S45" s="257">
        <f t="shared" si="15"/>
        <v>31189.38414485541</v>
      </c>
      <c r="T45" s="257">
        <f t="shared" si="15"/>
        <v>652.8406877999997</v>
      </c>
      <c r="U45" s="273">
        <f t="shared" si="15"/>
        <v>0</v>
      </c>
      <c r="V45" s="273">
        <f t="shared" si="15"/>
        <v>0</v>
      </c>
      <c r="W45" s="273">
        <f t="shared" si="15"/>
        <v>0</v>
      </c>
      <c r="X45" s="279">
        <f t="shared" si="15"/>
        <v>0</v>
      </c>
      <c r="Y45" s="285">
        <f t="shared" si="15"/>
        <v>0</v>
      </c>
      <c r="Z45" s="47"/>
      <c r="AA45" s="225">
        <f>ROUND(SUM(AA21:AA44),2)</f>
        <v>153639.54</v>
      </c>
      <c r="AB45" s="114"/>
    </row>
    <row r="46" spans="1:28" s="211" customFormat="1" ht="9.75" thickTop="1">
      <c r="A46" s="200"/>
      <c r="B46" s="201"/>
      <c r="C46" s="198"/>
      <c r="D46" s="198"/>
      <c r="E46" s="198"/>
      <c r="F46" s="199"/>
      <c r="G46" s="202"/>
      <c r="H46" s="203"/>
      <c r="I46" s="204"/>
      <c r="J46" s="204"/>
      <c r="K46" s="204"/>
      <c r="L46" s="204"/>
      <c r="M46" s="204"/>
      <c r="N46" s="204"/>
      <c r="O46" s="205"/>
      <c r="P46" s="206"/>
      <c r="Q46" s="206"/>
      <c r="R46" s="207"/>
      <c r="S46" s="207"/>
      <c r="T46" s="208"/>
      <c r="U46" s="208"/>
      <c r="V46" s="208"/>
      <c r="W46" s="208"/>
      <c r="X46" s="208"/>
      <c r="Y46" s="208"/>
      <c r="Z46" s="208"/>
      <c r="AA46" s="209"/>
      <c r="AB46" s="210"/>
    </row>
    <row r="47" spans="1:28" s="7" customFormat="1" ht="13.5" thickBot="1">
      <c r="A47" s="5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</row>
    <row r="48" spans="1:28" ht="13.5" thickTop="1">
      <c r="A48" s="1"/>
      <c r="B48" s="1"/>
      <c r="AB48" s="1"/>
    </row>
    <row r="93" spans="1:2" ht="12.75">
      <c r="A93" s="1"/>
      <c r="B93" s="1"/>
    </row>
  </sheetData>
  <sheetProtection/>
  <mergeCells count="3">
    <mergeCell ref="G16:H16"/>
    <mergeCell ref="G17:H17"/>
    <mergeCell ref="G18:H1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"/>
  <sheetViews>
    <sheetView zoomScale="75" zoomScaleNormal="75" zoomScalePageLayoutView="0" workbookViewId="0" topLeftCell="A1">
      <selection activeCell="D12" sqref="D12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6" width="40.7109375" style="0" customWidth="1"/>
    <col min="7" max="7" width="8.7109375" style="0" customWidth="1"/>
    <col min="8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7" width="15.140625" style="0" hidden="1" customWidth="1"/>
    <col min="18" max="18" width="12.57421875" style="0" hidden="1" customWidth="1"/>
    <col min="19" max="19" width="15.28125" style="0" hidden="1" customWidth="1"/>
    <col min="20" max="23" width="12.57421875" style="0" hidden="1" customWidth="1"/>
    <col min="24" max="24" width="14.42187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59" customFormat="1" ht="29.25" customHeight="1">
      <c r="AB1" s="348"/>
    </row>
    <row r="2" spans="2:28" s="59" customFormat="1" ht="26.25">
      <c r="B2" s="356" t="str">
        <f>+'TOT-0315'!B2</f>
        <v>ANEXO III al Memorándum  D.T.E.E.  N° 821/2015.-</v>
      </c>
      <c r="C2" s="60"/>
      <c r="D2" s="60"/>
      <c r="E2" s="60"/>
      <c r="F2" s="60"/>
      <c r="G2" s="72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="7" customFormat="1" ht="12.75"/>
    <row r="4" spans="1:3" s="57" customFormat="1" ht="11.25">
      <c r="A4" s="364" t="s">
        <v>60</v>
      </c>
      <c r="B4" s="124"/>
      <c r="C4" s="364"/>
    </row>
    <row r="5" spans="1:3" s="57" customFormat="1" ht="11.25">
      <c r="A5" s="364" t="s">
        <v>61</v>
      </c>
      <c r="B5" s="124"/>
      <c r="C5" s="124"/>
    </row>
    <row r="6" s="7" customFormat="1" ht="13.5" thickBot="1"/>
    <row r="7" spans="1:28" s="7" customFormat="1" ht="13.5" thickTop="1">
      <c r="A7" s="5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1"/>
    </row>
    <row r="8" spans="1:28" s="61" customFormat="1" ht="20.25">
      <c r="A8" s="56"/>
      <c r="B8" s="118"/>
      <c r="F8" s="16" t="s">
        <v>14</v>
      </c>
      <c r="G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64"/>
    </row>
    <row r="9" spans="1:28" s="7" customFormat="1" ht="12.75">
      <c r="A9" s="5"/>
      <c r="B9" s="32"/>
      <c r="C9" s="68"/>
      <c r="D9" s="68"/>
      <c r="E9" s="68"/>
      <c r="G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8"/>
    </row>
    <row r="10" spans="1:28" s="61" customFormat="1" ht="20.25">
      <c r="A10" s="56"/>
      <c r="B10" s="118"/>
      <c r="F10" s="16" t="s">
        <v>15</v>
      </c>
      <c r="G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64"/>
    </row>
    <row r="11" spans="1:28" s="7" customFormat="1" ht="12.75">
      <c r="A11" s="5"/>
      <c r="B11" s="32"/>
      <c r="C11" s="68"/>
      <c r="D11" s="68"/>
      <c r="E11" s="68"/>
      <c r="G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8"/>
    </row>
    <row r="12" spans="1:28" s="61" customFormat="1" ht="20.25">
      <c r="A12" s="56"/>
      <c r="B12" s="118"/>
      <c r="F12" s="16" t="s">
        <v>16</v>
      </c>
      <c r="G12" s="16"/>
      <c r="H12" s="56"/>
      <c r="I12" s="119"/>
      <c r="J12" s="119"/>
      <c r="K12" s="119"/>
      <c r="L12" s="119"/>
      <c r="M12" s="119"/>
      <c r="N12" s="119"/>
      <c r="O12" s="119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64"/>
    </row>
    <row r="13" spans="1:28" s="7" customFormat="1" ht="12.75">
      <c r="A13" s="5"/>
      <c r="B13" s="32"/>
      <c r="C13" s="5"/>
      <c r="D13" s="5"/>
      <c r="E13" s="5"/>
      <c r="F13" s="116"/>
      <c r="G13" s="115"/>
      <c r="H13" s="5"/>
      <c r="I13" s="106"/>
      <c r="J13" s="106"/>
      <c r="K13" s="106"/>
      <c r="L13" s="106"/>
      <c r="M13" s="106"/>
      <c r="N13" s="106"/>
      <c r="O13" s="10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8"/>
    </row>
    <row r="14" spans="1:28" s="65" customFormat="1" ht="19.5">
      <c r="A14" s="33"/>
      <c r="B14" s="350" t="str">
        <f>+'TOT-0315'!B14</f>
        <v>Desde el 01 al 31 de marzo de 2015</v>
      </c>
      <c r="C14" s="88"/>
      <c r="D14" s="88"/>
      <c r="E14" s="88"/>
      <c r="F14" s="88"/>
      <c r="G14" s="120"/>
      <c r="H14" s="121"/>
      <c r="I14" s="122"/>
      <c r="J14" s="123"/>
      <c r="K14" s="122"/>
      <c r="L14" s="122"/>
      <c r="M14" s="122"/>
      <c r="N14" s="122"/>
      <c r="O14" s="122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9"/>
    </row>
    <row r="15" spans="1:28" s="7" customFormat="1" ht="13.5" thickBot="1">
      <c r="A15" s="5"/>
      <c r="B15" s="32"/>
      <c r="C15" s="5"/>
      <c r="D15" s="5"/>
      <c r="E15" s="5"/>
      <c r="F15" s="5"/>
      <c r="G15" s="115"/>
      <c r="H15" s="117"/>
      <c r="I15" s="106"/>
      <c r="J15" s="106"/>
      <c r="K15" s="106"/>
      <c r="L15" s="106"/>
      <c r="M15" s="106"/>
      <c r="N15" s="106"/>
      <c r="O15" s="10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8"/>
    </row>
    <row r="16" spans="1:28" s="7" customFormat="1" ht="14.25" thickBot="1" thickTop="1">
      <c r="A16" s="5"/>
      <c r="B16" s="32"/>
      <c r="C16" s="5"/>
      <c r="D16" s="5"/>
      <c r="E16" s="5"/>
      <c r="F16" s="125" t="s">
        <v>17</v>
      </c>
      <c r="G16" s="369">
        <v>335.172</v>
      </c>
      <c r="H16" s="370"/>
      <c r="I16" s="106"/>
      <c r="J16" s="106"/>
      <c r="K16" s="106"/>
      <c r="L16" s="106"/>
      <c r="M16" s="106"/>
      <c r="N16" s="106"/>
      <c r="O16" s="10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8"/>
    </row>
    <row r="17" spans="1:28" s="7" customFormat="1" ht="14.25" thickBot="1" thickTop="1">
      <c r="A17" s="5"/>
      <c r="B17" s="32"/>
      <c r="C17" s="5"/>
      <c r="D17" s="5"/>
      <c r="E17" s="5"/>
      <c r="F17" s="125" t="s">
        <v>18</v>
      </c>
      <c r="G17" s="369">
        <v>320.822</v>
      </c>
      <c r="H17" s="370"/>
      <c r="I17" s="5"/>
      <c r="J17" s="105"/>
      <c r="K17" s="126" t="s">
        <v>19</v>
      </c>
      <c r="L17" s="127">
        <f>30*'TOT-0315'!B13</f>
        <v>30</v>
      </c>
      <c r="M17" s="183" t="str">
        <f>IF(L17=30," ",IF(L17=60,"Coeficiente duplicado por tasa de falla &gt;4 Sal. x año/100 km.","REVISAR COEFICIENTE"))</f>
        <v> 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8"/>
    </row>
    <row r="18" spans="1:28" s="7" customFormat="1" ht="14.25" thickBot="1" thickTop="1">
      <c r="A18" s="5"/>
      <c r="B18" s="32"/>
      <c r="C18" s="5"/>
      <c r="D18" s="5"/>
      <c r="E18" s="5"/>
      <c r="F18" s="125" t="s">
        <v>20</v>
      </c>
      <c r="G18" s="369">
        <v>320.822</v>
      </c>
      <c r="H18" s="370"/>
      <c r="I18" s="5"/>
      <c r="J18" s="5"/>
      <c r="K18" s="5"/>
      <c r="L18" s="69"/>
      <c r="M18" s="107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8"/>
    </row>
    <row r="19" spans="1:28" s="7" customFormat="1" ht="14.25" thickBot="1" thickTop="1">
      <c r="A19" s="5"/>
      <c r="B19" s="32"/>
      <c r="C19" s="366">
        <v>3</v>
      </c>
      <c r="D19" s="366">
        <v>4</v>
      </c>
      <c r="E19" s="366">
        <v>5</v>
      </c>
      <c r="F19" s="366">
        <v>6</v>
      </c>
      <c r="G19" s="366">
        <v>7</v>
      </c>
      <c r="H19" s="366">
        <v>8</v>
      </c>
      <c r="I19" s="366">
        <v>9</v>
      </c>
      <c r="J19" s="366">
        <v>10</v>
      </c>
      <c r="K19" s="366">
        <v>11</v>
      </c>
      <c r="L19" s="366">
        <v>12</v>
      </c>
      <c r="M19" s="366">
        <v>13</v>
      </c>
      <c r="N19" s="366">
        <v>14</v>
      </c>
      <c r="O19" s="366">
        <v>15</v>
      </c>
      <c r="P19" s="366">
        <v>16</v>
      </c>
      <c r="Q19" s="366">
        <v>17</v>
      </c>
      <c r="R19" s="366">
        <v>18</v>
      </c>
      <c r="S19" s="366">
        <v>19</v>
      </c>
      <c r="T19" s="366">
        <v>20</v>
      </c>
      <c r="U19" s="366">
        <v>21</v>
      </c>
      <c r="V19" s="366">
        <v>22</v>
      </c>
      <c r="W19" s="366">
        <v>23</v>
      </c>
      <c r="X19" s="366">
        <v>24</v>
      </c>
      <c r="Y19" s="366">
        <v>25</v>
      </c>
      <c r="Z19" s="366">
        <v>26</v>
      </c>
      <c r="AA19" s="366">
        <v>27</v>
      </c>
      <c r="AB19" s="8"/>
    </row>
    <row r="20" spans="1:28" s="7" customFormat="1" ht="33.75" customHeight="1" thickBot="1" thickTop="1">
      <c r="A20" s="5"/>
      <c r="B20" s="32"/>
      <c r="C20" s="131" t="s">
        <v>21</v>
      </c>
      <c r="D20" s="131" t="s">
        <v>58</v>
      </c>
      <c r="E20" s="131" t="s">
        <v>59</v>
      </c>
      <c r="F20" s="132" t="s">
        <v>6</v>
      </c>
      <c r="G20" s="133" t="s">
        <v>22</v>
      </c>
      <c r="H20" s="133" t="s">
        <v>23</v>
      </c>
      <c r="I20" s="220" t="s">
        <v>24</v>
      </c>
      <c r="J20" s="132" t="s">
        <v>25</v>
      </c>
      <c r="K20" s="132" t="s">
        <v>26</v>
      </c>
      <c r="L20" s="133" t="s">
        <v>27</v>
      </c>
      <c r="M20" s="133" t="s">
        <v>28</v>
      </c>
      <c r="N20" s="133" t="s">
        <v>29</v>
      </c>
      <c r="O20" s="133" t="s">
        <v>30</v>
      </c>
      <c r="P20" s="235" t="s">
        <v>31</v>
      </c>
      <c r="Q20" s="239" t="s">
        <v>32</v>
      </c>
      <c r="R20" s="222" t="s">
        <v>33</v>
      </c>
      <c r="S20" s="223"/>
      <c r="T20" s="224"/>
      <c r="U20" s="258" t="s">
        <v>34</v>
      </c>
      <c r="V20" s="259"/>
      <c r="W20" s="260"/>
      <c r="X20" s="274" t="s">
        <v>35</v>
      </c>
      <c r="Y20" s="280" t="s">
        <v>36</v>
      </c>
      <c r="Z20" s="218" t="s">
        <v>37</v>
      </c>
      <c r="AA20" s="135" t="s">
        <v>38</v>
      </c>
      <c r="AB20" s="8"/>
    </row>
    <row r="21" spans="1:28" s="7" customFormat="1" ht="16.5" thickBot="1" thickTop="1">
      <c r="A21" s="5"/>
      <c r="B21" s="32"/>
      <c r="C21" s="108"/>
      <c r="D21" s="108"/>
      <c r="E21" s="108"/>
      <c r="F21" s="110"/>
      <c r="G21" s="109"/>
      <c r="H21" s="109"/>
      <c r="I21" s="228"/>
      <c r="J21" s="109"/>
      <c r="K21" s="110"/>
      <c r="L21" s="110"/>
      <c r="M21" s="110"/>
      <c r="N21" s="109"/>
      <c r="O21" s="109"/>
      <c r="P21" s="236"/>
      <c r="Q21" s="243"/>
      <c r="R21" s="245"/>
      <c r="S21" s="246"/>
      <c r="T21" s="247"/>
      <c r="U21" s="261"/>
      <c r="V21" s="262"/>
      <c r="W21" s="263"/>
      <c r="X21" s="275"/>
      <c r="Y21" s="281"/>
      <c r="Z21" s="111"/>
      <c r="AA21" s="347">
        <f>'LI-03 (1)'!AA45</f>
        <v>153639.54</v>
      </c>
      <c r="AB21" s="8"/>
    </row>
    <row r="22" spans="1:28" s="7" customFormat="1" ht="16.5" thickBot="1" thickTop="1">
      <c r="A22" s="5"/>
      <c r="B22" s="32"/>
      <c r="C22" s="108"/>
      <c r="D22" s="108"/>
      <c r="E22" s="108"/>
      <c r="F22" s="351"/>
      <c r="G22" s="351"/>
      <c r="H22" s="351"/>
      <c r="I22" s="229"/>
      <c r="J22" s="351"/>
      <c r="K22" s="38"/>
      <c r="L22" s="129"/>
      <c r="M22" s="129"/>
      <c r="N22" s="351"/>
      <c r="O22" s="351"/>
      <c r="P22" s="236"/>
      <c r="Q22" s="241"/>
      <c r="R22" s="248"/>
      <c r="S22" s="249"/>
      <c r="T22" s="250"/>
      <c r="U22" s="264"/>
      <c r="V22" s="265"/>
      <c r="W22" s="266"/>
      <c r="X22" s="276"/>
      <c r="Y22" s="282"/>
      <c r="Z22" s="128"/>
      <c r="AA22" s="234"/>
      <c r="AB22" s="8"/>
    </row>
    <row r="23" spans="1:28" s="7" customFormat="1" ht="16.5" thickBot="1" thickTop="1">
      <c r="A23" s="5"/>
      <c r="B23" s="32"/>
      <c r="C23" s="38">
        <v>21</v>
      </c>
      <c r="D23" s="38">
        <v>286738</v>
      </c>
      <c r="E23" s="38">
        <v>4800</v>
      </c>
      <c r="F23" s="39" t="s">
        <v>74</v>
      </c>
      <c r="G23" s="39">
        <v>132</v>
      </c>
      <c r="H23" s="232">
        <v>12.600000381469727</v>
      </c>
      <c r="I23" s="230">
        <f>IF(H23&gt;25,H23,25)*IF(G23=220,$G$16,IF(G23=132,$G$17,$G$18))/100</f>
        <v>80.2055</v>
      </c>
      <c r="J23" s="40">
        <v>42086.23263888889</v>
      </c>
      <c r="K23" s="40">
        <v>42086.501388888886</v>
      </c>
      <c r="L23" s="9">
        <f>IF(F23="","",(K23-J23)*24)</f>
        <v>6.449999999895226</v>
      </c>
      <c r="M23" s="10">
        <f>IF(F23="","",ROUND((K23-J23)*24*60,0))</f>
        <v>387</v>
      </c>
      <c r="N23" s="41" t="s">
        <v>64</v>
      </c>
      <c r="O23" s="42" t="str">
        <f>IF(F23="","","--")</f>
        <v>--</v>
      </c>
      <c r="P23" s="237">
        <f>IF(N23="P",ROUND(M23/60,2)*I23*$L$17*0.01,"--")</f>
        <v>155.1976425</v>
      </c>
      <c r="Q23" s="242" t="str">
        <f>IF(N23="RP",ROUND(M23/60,2)*I23*$L$17*0.01*O23/100,"--")</f>
        <v>--</v>
      </c>
      <c r="R23" s="251" t="str">
        <f>IF(N23="F",I23*$L$17,"--")</f>
        <v>--</v>
      </c>
      <c r="S23" s="252" t="str">
        <f>IF(AND(M23&gt;10,N23="F"),I23*$L$17*IF(M23&gt;180,3,ROUND(M23/60,2)),"--")</f>
        <v>--</v>
      </c>
      <c r="T23" s="253" t="str">
        <f>IF(AND(N23="F",M23&gt;180),(ROUND(M23/60,2)-3)*I23*$L$17*0.1,"--")</f>
        <v>--</v>
      </c>
      <c r="U23" s="267" t="str">
        <f>IF(N23="R",I23*$L$17*O23/100,"--")</f>
        <v>--</v>
      </c>
      <c r="V23" s="268" t="str">
        <f>IF(AND(M23&gt;10,N23="R"),I23*$L$17*O23/100*IF(M23&gt;180,3,ROUND(M23/60,2)),"--")</f>
        <v>--</v>
      </c>
      <c r="W23" s="269" t="str">
        <f>IF(AND(N23="R",M23&gt;180),(ROUND(M23/60,2)-3)*I23*$L$17*0.1*O23/100,"--")</f>
        <v>--</v>
      </c>
      <c r="X23" s="277" t="str">
        <f>IF(N23="RF",ROUND(M23/60,2)*I23*$L$17*0.1,"--")</f>
        <v>--</v>
      </c>
      <c r="Y23" s="283" t="str">
        <f>IF(N23="RR",ROUND(M23/60,2)*I23*$L$17*0.1*O23/100,"--")</f>
        <v>--</v>
      </c>
      <c r="Z23" s="221" t="s">
        <v>65</v>
      </c>
      <c r="AA23" s="43">
        <f>IF(F23="","",SUM(P23:Y23)*IF(Z23="SI",1,2))</f>
        <v>155.1976425</v>
      </c>
      <c r="AB23" s="343"/>
    </row>
    <row r="24" spans="1:28" s="7" customFormat="1" ht="16.5" thickBot="1" thickTop="1">
      <c r="A24" s="5"/>
      <c r="B24" s="32"/>
      <c r="C24" s="38">
        <v>22</v>
      </c>
      <c r="D24" s="38">
        <v>286742</v>
      </c>
      <c r="E24" s="38">
        <v>4800</v>
      </c>
      <c r="F24" s="39" t="s">
        <v>74</v>
      </c>
      <c r="G24" s="39">
        <v>132</v>
      </c>
      <c r="H24" s="232">
        <v>12.600000381469727</v>
      </c>
      <c r="I24" s="230">
        <f aca="true" t="shared" si="0" ref="I24:I39">IF(H24&gt;25,H24,25)*IF(G24=220,$G$16,IF(G24=132,$G$17,$G$18))/100</f>
        <v>80.2055</v>
      </c>
      <c r="J24" s="40">
        <v>42087.22777777778</v>
      </c>
      <c r="K24" s="40">
        <v>42087.47083333333</v>
      </c>
      <c r="L24" s="9">
        <f aca="true" t="shared" si="1" ref="L24:L39">IF(F24="","",(K24-J24)*24)</f>
        <v>5.833333333313931</v>
      </c>
      <c r="M24" s="10">
        <f aca="true" t="shared" si="2" ref="M24:M39">IF(F24="","",ROUND((K24-J24)*24*60,0))</f>
        <v>350</v>
      </c>
      <c r="N24" s="41" t="s">
        <v>64</v>
      </c>
      <c r="O24" s="42" t="str">
        <f aca="true" t="shared" si="3" ref="O24:O39">IF(F24="","","--")</f>
        <v>--</v>
      </c>
      <c r="P24" s="237">
        <f aca="true" t="shared" si="4" ref="P24:P39">IF(N24="P",ROUND(M24/60,2)*I24*$L$17*0.01,"--")</f>
        <v>140.27941950000002</v>
      </c>
      <c r="Q24" s="242" t="str">
        <f aca="true" t="shared" si="5" ref="Q24:Q39">IF(N24="RP",ROUND(M24/60,2)*I24*$L$17*0.01*O24/100,"--")</f>
        <v>--</v>
      </c>
      <c r="R24" s="251" t="str">
        <f aca="true" t="shared" si="6" ref="R24:R39">IF(N24="F",I24*$L$17,"--")</f>
        <v>--</v>
      </c>
      <c r="S24" s="252" t="str">
        <f aca="true" t="shared" si="7" ref="S24:S39">IF(AND(M24&gt;10,N24="F"),I24*$L$17*IF(M24&gt;180,3,ROUND(M24/60,2)),"--")</f>
        <v>--</v>
      </c>
      <c r="T24" s="253" t="str">
        <f aca="true" t="shared" si="8" ref="T24:T39">IF(AND(N24="F",M24&gt;180),(ROUND(M24/60,2)-3)*I24*$L$17*0.1,"--")</f>
        <v>--</v>
      </c>
      <c r="U24" s="267" t="str">
        <f aca="true" t="shared" si="9" ref="U24:U39">IF(N24="R",I24*$L$17*O24/100,"--")</f>
        <v>--</v>
      </c>
      <c r="V24" s="268" t="str">
        <f aca="true" t="shared" si="10" ref="V24:V39">IF(AND(M24&gt;10,N24="R"),I24*$L$17*O24/100*IF(M24&gt;180,3,ROUND(M24/60,2)),"--")</f>
        <v>--</v>
      </c>
      <c r="W24" s="269" t="str">
        <f aca="true" t="shared" si="11" ref="W24:W39">IF(AND(N24="R",M24&gt;180),(ROUND(M24/60,2)-3)*I24*$L$17*0.1*O24/100,"--")</f>
        <v>--</v>
      </c>
      <c r="X24" s="277" t="str">
        <f aca="true" t="shared" si="12" ref="X24:X39">IF(N24="RF",ROUND(M24/60,2)*I24*$L$17*0.1,"--")</f>
        <v>--</v>
      </c>
      <c r="Y24" s="283" t="str">
        <f aca="true" t="shared" si="13" ref="Y24:Y39">IF(N24="RR",ROUND(M24/60,2)*I24*$L$17*0.1*O24/100,"--")</f>
        <v>--</v>
      </c>
      <c r="Z24" s="221" t="s">
        <v>65</v>
      </c>
      <c r="AA24" s="43">
        <f aca="true" t="shared" si="14" ref="AA24:AA42">IF(F24="","",SUM(P24:Y24)*IF(Z24="SI",1,2))</f>
        <v>140.27941950000002</v>
      </c>
      <c r="AB24" s="343"/>
    </row>
    <row r="25" spans="1:28" s="7" customFormat="1" ht="16.5" thickBot="1" thickTop="1">
      <c r="A25" s="5"/>
      <c r="B25" s="32"/>
      <c r="C25" s="38">
        <v>23</v>
      </c>
      <c r="D25" s="38">
        <v>286769</v>
      </c>
      <c r="E25" s="38">
        <v>746</v>
      </c>
      <c r="F25" s="39" t="s">
        <v>76</v>
      </c>
      <c r="G25" s="39">
        <v>132</v>
      </c>
      <c r="H25" s="232">
        <v>74.5</v>
      </c>
      <c r="I25" s="230">
        <f t="shared" si="0"/>
        <v>239.01239</v>
      </c>
      <c r="J25" s="40">
        <v>42091.21527777778</v>
      </c>
      <c r="K25" s="40">
        <v>42091.21875</v>
      </c>
      <c r="L25" s="9">
        <f t="shared" si="1"/>
        <v>0.08333333325572312</v>
      </c>
      <c r="M25" s="10">
        <f t="shared" si="2"/>
        <v>5</v>
      </c>
      <c r="N25" s="41" t="s">
        <v>72</v>
      </c>
      <c r="O25" s="42" t="str">
        <f t="shared" si="3"/>
        <v>--</v>
      </c>
      <c r="P25" s="237" t="str">
        <f t="shared" si="4"/>
        <v>--</v>
      </c>
      <c r="Q25" s="242" t="str">
        <f t="shared" si="5"/>
        <v>--</v>
      </c>
      <c r="R25" s="251">
        <f t="shared" si="6"/>
        <v>7170.371700000001</v>
      </c>
      <c r="S25" s="252" t="str">
        <f t="shared" si="7"/>
        <v>--</v>
      </c>
      <c r="T25" s="253" t="str">
        <f t="shared" si="8"/>
        <v>--</v>
      </c>
      <c r="U25" s="267" t="str">
        <f t="shared" si="9"/>
        <v>--</v>
      </c>
      <c r="V25" s="268" t="str">
        <f t="shared" si="10"/>
        <v>--</v>
      </c>
      <c r="W25" s="269" t="str">
        <f t="shared" si="11"/>
        <v>--</v>
      </c>
      <c r="X25" s="277" t="str">
        <f t="shared" si="12"/>
        <v>--</v>
      </c>
      <c r="Y25" s="283" t="str">
        <f t="shared" si="13"/>
        <v>--</v>
      </c>
      <c r="Z25" s="221" t="s">
        <v>65</v>
      </c>
      <c r="AA25" s="43">
        <f t="shared" si="14"/>
        <v>7170.371700000001</v>
      </c>
      <c r="AB25" s="343"/>
    </row>
    <row r="26" spans="1:28" s="7" customFormat="1" ht="16.5" thickBot="1" thickTop="1">
      <c r="A26" s="5"/>
      <c r="B26" s="32"/>
      <c r="C26" s="38">
        <v>24</v>
      </c>
      <c r="D26" s="38">
        <v>287043</v>
      </c>
      <c r="E26" s="38">
        <v>746</v>
      </c>
      <c r="F26" s="39" t="s">
        <v>76</v>
      </c>
      <c r="G26" s="39">
        <v>132</v>
      </c>
      <c r="H26" s="232">
        <v>74.5</v>
      </c>
      <c r="I26" s="230">
        <f t="shared" si="0"/>
        <v>239.01239</v>
      </c>
      <c r="J26" s="40">
        <v>42093.02847222222</v>
      </c>
      <c r="K26" s="40">
        <v>42093.03194444445</v>
      </c>
      <c r="L26" s="9">
        <f t="shared" si="1"/>
        <v>0.0833333334303461</v>
      </c>
      <c r="M26" s="10">
        <f t="shared" si="2"/>
        <v>5</v>
      </c>
      <c r="N26" s="41" t="s">
        <v>72</v>
      </c>
      <c r="O26" s="42" t="str">
        <f t="shared" si="3"/>
        <v>--</v>
      </c>
      <c r="P26" s="237" t="str">
        <f t="shared" si="4"/>
        <v>--</v>
      </c>
      <c r="Q26" s="242" t="str">
        <f t="shared" si="5"/>
        <v>--</v>
      </c>
      <c r="R26" s="251">
        <f t="shared" si="6"/>
        <v>7170.371700000001</v>
      </c>
      <c r="S26" s="252" t="str">
        <f t="shared" si="7"/>
        <v>--</v>
      </c>
      <c r="T26" s="253" t="str">
        <f t="shared" si="8"/>
        <v>--</v>
      </c>
      <c r="U26" s="267" t="str">
        <f t="shared" si="9"/>
        <v>--</v>
      </c>
      <c r="V26" s="268" t="str">
        <f t="shared" si="10"/>
        <v>--</v>
      </c>
      <c r="W26" s="269" t="str">
        <f t="shared" si="11"/>
        <v>--</v>
      </c>
      <c r="X26" s="277" t="str">
        <f t="shared" si="12"/>
        <v>--</v>
      </c>
      <c r="Y26" s="283" t="str">
        <f t="shared" si="13"/>
        <v>--</v>
      </c>
      <c r="Z26" s="221" t="s">
        <v>65</v>
      </c>
      <c r="AA26" s="43">
        <f t="shared" si="14"/>
        <v>7170.371700000001</v>
      </c>
      <c r="AB26" s="343"/>
    </row>
    <row r="27" spans="1:28" s="7" customFormat="1" ht="16.5" thickBot="1" thickTop="1">
      <c r="A27" s="5"/>
      <c r="B27" s="32"/>
      <c r="C27" s="38">
        <v>25</v>
      </c>
      <c r="D27" s="38">
        <v>287059</v>
      </c>
      <c r="E27" s="38">
        <v>746</v>
      </c>
      <c r="F27" s="39" t="s">
        <v>76</v>
      </c>
      <c r="G27" s="39">
        <v>132</v>
      </c>
      <c r="H27" s="232">
        <v>74.5</v>
      </c>
      <c r="I27" s="230">
        <f t="shared" si="0"/>
        <v>239.01239</v>
      </c>
      <c r="J27" s="40">
        <v>42094.256944444445</v>
      </c>
      <c r="K27" s="40">
        <v>42094.260416666664</v>
      </c>
      <c r="L27" s="9">
        <f t="shared" si="1"/>
        <v>0.08333333325572312</v>
      </c>
      <c r="M27" s="10">
        <f t="shared" si="2"/>
        <v>5</v>
      </c>
      <c r="N27" s="41" t="s">
        <v>72</v>
      </c>
      <c r="O27" s="42" t="str">
        <f t="shared" si="3"/>
        <v>--</v>
      </c>
      <c r="P27" s="237" t="str">
        <f t="shared" si="4"/>
        <v>--</v>
      </c>
      <c r="Q27" s="242" t="str">
        <f t="shared" si="5"/>
        <v>--</v>
      </c>
      <c r="R27" s="251">
        <f t="shared" si="6"/>
        <v>7170.371700000001</v>
      </c>
      <c r="S27" s="252" t="str">
        <f t="shared" si="7"/>
        <v>--</v>
      </c>
      <c r="T27" s="253" t="str">
        <f t="shared" si="8"/>
        <v>--</v>
      </c>
      <c r="U27" s="267" t="str">
        <f t="shared" si="9"/>
        <v>--</v>
      </c>
      <c r="V27" s="268" t="str">
        <f t="shared" si="10"/>
        <v>--</v>
      </c>
      <c r="W27" s="269" t="str">
        <f t="shared" si="11"/>
        <v>--</v>
      </c>
      <c r="X27" s="277" t="str">
        <f t="shared" si="12"/>
        <v>--</v>
      </c>
      <c r="Y27" s="283" t="str">
        <f t="shared" si="13"/>
        <v>--</v>
      </c>
      <c r="Z27" s="221" t="s">
        <v>65</v>
      </c>
      <c r="AA27" s="43">
        <f t="shared" si="14"/>
        <v>7170.371700000001</v>
      </c>
      <c r="AB27" s="343"/>
    </row>
    <row r="28" spans="1:28" s="7" customFormat="1" ht="16.5" thickBot="1" thickTop="1">
      <c r="A28" s="5"/>
      <c r="B28" s="32"/>
      <c r="C28" s="38"/>
      <c r="D28" s="38"/>
      <c r="E28" s="38"/>
      <c r="F28" s="39"/>
      <c r="G28" s="39"/>
      <c r="H28" s="232"/>
      <c r="I28" s="230">
        <f t="shared" si="0"/>
        <v>80.2055</v>
      </c>
      <c r="J28" s="40"/>
      <c r="K28" s="40"/>
      <c r="L28" s="9">
        <f t="shared" si="1"/>
      </c>
      <c r="M28" s="10">
        <f t="shared" si="2"/>
      </c>
      <c r="N28" s="41"/>
      <c r="O28" s="42">
        <f t="shared" si="3"/>
      </c>
      <c r="P28" s="237" t="str">
        <f t="shared" si="4"/>
        <v>--</v>
      </c>
      <c r="Q28" s="242" t="str">
        <f t="shared" si="5"/>
        <v>--</v>
      </c>
      <c r="R28" s="251" t="str">
        <f t="shared" si="6"/>
        <v>--</v>
      </c>
      <c r="S28" s="252" t="str">
        <f t="shared" si="7"/>
        <v>--</v>
      </c>
      <c r="T28" s="253" t="str">
        <f t="shared" si="8"/>
        <v>--</v>
      </c>
      <c r="U28" s="267" t="str">
        <f t="shared" si="9"/>
        <v>--</v>
      </c>
      <c r="V28" s="268" t="str">
        <f t="shared" si="10"/>
        <v>--</v>
      </c>
      <c r="W28" s="269" t="str">
        <f t="shared" si="11"/>
        <v>--</v>
      </c>
      <c r="X28" s="277" t="str">
        <f t="shared" si="12"/>
        <v>--</v>
      </c>
      <c r="Y28" s="283" t="str">
        <f t="shared" si="13"/>
        <v>--</v>
      </c>
      <c r="Z28" s="221">
        <f aca="true" t="shared" si="15" ref="Z28:Z39">IF(F28="","","SI")</f>
      </c>
      <c r="AA28" s="43">
        <f t="shared" si="14"/>
      </c>
      <c r="AB28" s="343"/>
    </row>
    <row r="29" spans="1:28" s="7" customFormat="1" ht="16.5" thickBot="1" thickTop="1">
      <c r="A29" s="5"/>
      <c r="B29" s="32"/>
      <c r="C29" s="38"/>
      <c r="D29" s="38"/>
      <c r="E29" s="38"/>
      <c r="F29" s="39"/>
      <c r="G29" s="39"/>
      <c r="H29" s="232"/>
      <c r="I29" s="230">
        <f t="shared" si="0"/>
        <v>80.2055</v>
      </c>
      <c r="J29" s="40"/>
      <c r="K29" s="40"/>
      <c r="L29" s="9">
        <f t="shared" si="1"/>
      </c>
      <c r="M29" s="10">
        <f t="shared" si="2"/>
      </c>
      <c r="N29" s="41"/>
      <c r="O29" s="42">
        <f t="shared" si="3"/>
      </c>
      <c r="P29" s="237" t="str">
        <f t="shared" si="4"/>
        <v>--</v>
      </c>
      <c r="Q29" s="242" t="str">
        <f t="shared" si="5"/>
        <v>--</v>
      </c>
      <c r="R29" s="251" t="str">
        <f t="shared" si="6"/>
        <v>--</v>
      </c>
      <c r="S29" s="252" t="str">
        <f t="shared" si="7"/>
        <v>--</v>
      </c>
      <c r="T29" s="253" t="str">
        <f t="shared" si="8"/>
        <v>--</v>
      </c>
      <c r="U29" s="267" t="str">
        <f t="shared" si="9"/>
        <v>--</v>
      </c>
      <c r="V29" s="268" t="str">
        <f t="shared" si="10"/>
        <v>--</v>
      </c>
      <c r="W29" s="269" t="str">
        <f t="shared" si="11"/>
        <v>--</v>
      </c>
      <c r="X29" s="277" t="str">
        <f t="shared" si="12"/>
        <v>--</v>
      </c>
      <c r="Y29" s="283" t="str">
        <f t="shared" si="13"/>
        <v>--</v>
      </c>
      <c r="Z29" s="221">
        <f t="shared" si="15"/>
      </c>
      <c r="AA29" s="43">
        <f t="shared" si="14"/>
      </c>
      <c r="AB29" s="343"/>
    </row>
    <row r="30" spans="1:28" s="7" customFormat="1" ht="16.5" thickBot="1" thickTop="1">
      <c r="A30" s="5"/>
      <c r="B30" s="32"/>
      <c r="C30" s="38"/>
      <c r="D30" s="38"/>
      <c r="E30" s="38"/>
      <c r="F30" s="39"/>
      <c r="G30" s="39"/>
      <c r="H30" s="232"/>
      <c r="I30" s="230">
        <f t="shared" si="0"/>
        <v>80.2055</v>
      </c>
      <c r="J30" s="40"/>
      <c r="K30" s="40"/>
      <c r="L30" s="9">
        <f t="shared" si="1"/>
      </c>
      <c r="M30" s="10">
        <f t="shared" si="2"/>
      </c>
      <c r="N30" s="41"/>
      <c r="O30" s="42">
        <f t="shared" si="3"/>
      </c>
      <c r="P30" s="237" t="str">
        <f t="shared" si="4"/>
        <v>--</v>
      </c>
      <c r="Q30" s="242" t="str">
        <f t="shared" si="5"/>
        <v>--</v>
      </c>
      <c r="R30" s="251" t="str">
        <f t="shared" si="6"/>
        <v>--</v>
      </c>
      <c r="S30" s="252" t="str">
        <f t="shared" si="7"/>
        <v>--</v>
      </c>
      <c r="T30" s="253" t="str">
        <f t="shared" si="8"/>
        <v>--</v>
      </c>
      <c r="U30" s="267" t="str">
        <f t="shared" si="9"/>
        <v>--</v>
      </c>
      <c r="V30" s="268" t="str">
        <f t="shared" si="10"/>
        <v>--</v>
      </c>
      <c r="W30" s="269" t="str">
        <f t="shared" si="11"/>
        <v>--</v>
      </c>
      <c r="X30" s="277" t="str">
        <f t="shared" si="12"/>
        <v>--</v>
      </c>
      <c r="Y30" s="283" t="str">
        <f t="shared" si="13"/>
        <v>--</v>
      </c>
      <c r="Z30" s="221">
        <f t="shared" si="15"/>
      </c>
      <c r="AA30" s="43">
        <f t="shared" si="14"/>
      </c>
      <c r="AB30" s="343"/>
    </row>
    <row r="31" spans="1:28" s="7" customFormat="1" ht="16.5" thickBot="1" thickTop="1">
      <c r="A31" s="5"/>
      <c r="B31" s="32"/>
      <c r="C31" s="38"/>
      <c r="D31" s="38"/>
      <c r="E31" s="38"/>
      <c r="F31" s="39"/>
      <c r="G31" s="39"/>
      <c r="H31" s="232"/>
      <c r="I31" s="230">
        <f t="shared" si="0"/>
        <v>80.2055</v>
      </c>
      <c r="J31" s="40"/>
      <c r="K31" s="40"/>
      <c r="L31" s="9">
        <f t="shared" si="1"/>
      </c>
      <c r="M31" s="10">
        <f t="shared" si="2"/>
      </c>
      <c r="N31" s="41"/>
      <c r="O31" s="42">
        <f t="shared" si="3"/>
      </c>
      <c r="P31" s="237" t="str">
        <f t="shared" si="4"/>
        <v>--</v>
      </c>
      <c r="Q31" s="242" t="str">
        <f t="shared" si="5"/>
        <v>--</v>
      </c>
      <c r="R31" s="251" t="str">
        <f t="shared" si="6"/>
        <v>--</v>
      </c>
      <c r="S31" s="252" t="str">
        <f t="shared" si="7"/>
        <v>--</v>
      </c>
      <c r="T31" s="253" t="str">
        <f t="shared" si="8"/>
        <v>--</v>
      </c>
      <c r="U31" s="267" t="str">
        <f t="shared" si="9"/>
        <v>--</v>
      </c>
      <c r="V31" s="268" t="str">
        <f t="shared" si="10"/>
        <v>--</v>
      </c>
      <c r="W31" s="269" t="str">
        <f t="shared" si="11"/>
        <v>--</v>
      </c>
      <c r="X31" s="277" t="str">
        <f t="shared" si="12"/>
        <v>--</v>
      </c>
      <c r="Y31" s="283" t="str">
        <f t="shared" si="13"/>
        <v>--</v>
      </c>
      <c r="Z31" s="221">
        <f t="shared" si="15"/>
      </c>
      <c r="AA31" s="43">
        <f t="shared" si="14"/>
      </c>
      <c r="AB31" s="343"/>
    </row>
    <row r="32" spans="1:28" s="7" customFormat="1" ht="16.5" thickBot="1" thickTop="1">
      <c r="A32" s="5"/>
      <c r="B32" s="32"/>
      <c r="C32" s="38"/>
      <c r="D32" s="38"/>
      <c r="E32" s="38"/>
      <c r="F32" s="39"/>
      <c r="G32" s="39"/>
      <c r="H32" s="232"/>
      <c r="I32" s="230">
        <f t="shared" si="0"/>
        <v>80.2055</v>
      </c>
      <c r="J32" s="40"/>
      <c r="K32" s="40"/>
      <c r="L32" s="9">
        <f t="shared" si="1"/>
      </c>
      <c r="M32" s="10">
        <f t="shared" si="2"/>
      </c>
      <c r="N32" s="41"/>
      <c r="O32" s="42">
        <f t="shared" si="3"/>
      </c>
      <c r="P32" s="237" t="str">
        <f t="shared" si="4"/>
        <v>--</v>
      </c>
      <c r="Q32" s="242" t="str">
        <f t="shared" si="5"/>
        <v>--</v>
      </c>
      <c r="R32" s="251" t="str">
        <f t="shared" si="6"/>
        <v>--</v>
      </c>
      <c r="S32" s="252" t="str">
        <f t="shared" si="7"/>
        <v>--</v>
      </c>
      <c r="T32" s="253" t="str">
        <f t="shared" si="8"/>
        <v>--</v>
      </c>
      <c r="U32" s="267" t="str">
        <f t="shared" si="9"/>
        <v>--</v>
      </c>
      <c r="V32" s="268" t="str">
        <f t="shared" si="10"/>
        <v>--</v>
      </c>
      <c r="W32" s="269" t="str">
        <f t="shared" si="11"/>
        <v>--</v>
      </c>
      <c r="X32" s="277" t="str">
        <f t="shared" si="12"/>
        <v>--</v>
      </c>
      <c r="Y32" s="283" t="str">
        <f t="shared" si="13"/>
        <v>--</v>
      </c>
      <c r="Z32" s="221">
        <f t="shared" si="15"/>
      </c>
      <c r="AA32" s="43">
        <f t="shared" si="14"/>
      </c>
      <c r="AB32" s="343"/>
    </row>
    <row r="33" spans="1:28" s="7" customFormat="1" ht="16.5" thickBot="1" thickTop="1">
      <c r="A33" s="5"/>
      <c r="B33" s="32"/>
      <c r="C33" s="38"/>
      <c r="D33" s="38"/>
      <c r="E33" s="38"/>
      <c r="F33" s="39"/>
      <c r="G33" s="39"/>
      <c r="H33" s="232"/>
      <c r="I33" s="230">
        <f t="shared" si="0"/>
        <v>80.2055</v>
      </c>
      <c r="J33" s="40"/>
      <c r="K33" s="40"/>
      <c r="L33" s="9">
        <f t="shared" si="1"/>
      </c>
      <c r="M33" s="10">
        <f t="shared" si="2"/>
      </c>
      <c r="N33" s="41"/>
      <c r="O33" s="42">
        <f t="shared" si="3"/>
      </c>
      <c r="P33" s="237" t="str">
        <f t="shared" si="4"/>
        <v>--</v>
      </c>
      <c r="Q33" s="242" t="str">
        <f t="shared" si="5"/>
        <v>--</v>
      </c>
      <c r="R33" s="251" t="str">
        <f t="shared" si="6"/>
        <v>--</v>
      </c>
      <c r="S33" s="252" t="str">
        <f t="shared" si="7"/>
        <v>--</v>
      </c>
      <c r="T33" s="253" t="str">
        <f t="shared" si="8"/>
        <v>--</v>
      </c>
      <c r="U33" s="267" t="str">
        <f t="shared" si="9"/>
        <v>--</v>
      </c>
      <c r="V33" s="268" t="str">
        <f t="shared" si="10"/>
        <v>--</v>
      </c>
      <c r="W33" s="269" t="str">
        <f t="shared" si="11"/>
        <v>--</v>
      </c>
      <c r="X33" s="277" t="str">
        <f t="shared" si="12"/>
        <v>--</v>
      </c>
      <c r="Y33" s="283" t="str">
        <f t="shared" si="13"/>
        <v>--</v>
      </c>
      <c r="Z33" s="221">
        <f t="shared" si="15"/>
      </c>
      <c r="AA33" s="43">
        <f t="shared" si="14"/>
      </c>
      <c r="AB33" s="343"/>
    </row>
    <row r="34" spans="1:28" s="7" customFormat="1" ht="16.5" thickBot="1" thickTop="1">
      <c r="A34" s="5"/>
      <c r="B34" s="32"/>
      <c r="C34" s="38"/>
      <c r="D34" s="38"/>
      <c r="E34" s="38"/>
      <c r="F34" s="39"/>
      <c r="G34" s="39"/>
      <c r="H34" s="232"/>
      <c r="I34" s="230">
        <f t="shared" si="0"/>
        <v>80.2055</v>
      </c>
      <c r="J34" s="40"/>
      <c r="K34" s="40"/>
      <c r="L34" s="9">
        <f t="shared" si="1"/>
      </c>
      <c r="M34" s="10">
        <f t="shared" si="2"/>
      </c>
      <c r="N34" s="41"/>
      <c r="O34" s="42">
        <f t="shared" si="3"/>
      </c>
      <c r="P34" s="237" t="str">
        <f t="shared" si="4"/>
        <v>--</v>
      </c>
      <c r="Q34" s="242" t="str">
        <f t="shared" si="5"/>
        <v>--</v>
      </c>
      <c r="R34" s="251" t="str">
        <f t="shared" si="6"/>
        <v>--</v>
      </c>
      <c r="S34" s="252" t="str">
        <f t="shared" si="7"/>
        <v>--</v>
      </c>
      <c r="T34" s="253" t="str">
        <f t="shared" si="8"/>
        <v>--</v>
      </c>
      <c r="U34" s="267" t="str">
        <f t="shared" si="9"/>
        <v>--</v>
      </c>
      <c r="V34" s="268" t="str">
        <f t="shared" si="10"/>
        <v>--</v>
      </c>
      <c r="W34" s="269" t="str">
        <f t="shared" si="11"/>
        <v>--</v>
      </c>
      <c r="X34" s="277" t="str">
        <f t="shared" si="12"/>
        <v>--</v>
      </c>
      <c r="Y34" s="283" t="str">
        <f t="shared" si="13"/>
        <v>--</v>
      </c>
      <c r="Z34" s="221">
        <f t="shared" si="15"/>
      </c>
      <c r="AA34" s="43">
        <f t="shared" si="14"/>
      </c>
      <c r="AB34" s="343"/>
    </row>
    <row r="35" spans="1:28" s="7" customFormat="1" ht="16.5" thickBot="1" thickTop="1">
      <c r="A35" s="5"/>
      <c r="B35" s="32"/>
      <c r="C35" s="38"/>
      <c r="D35" s="38"/>
      <c r="E35" s="38"/>
      <c r="F35" s="39"/>
      <c r="G35" s="39"/>
      <c r="H35" s="232"/>
      <c r="I35" s="230">
        <f t="shared" si="0"/>
        <v>80.2055</v>
      </c>
      <c r="J35" s="40"/>
      <c r="K35" s="40"/>
      <c r="L35" s="9">
        <f t="shared" si="1"/>
      </c>
      <c r="M35" s="10">
        <f t="shared" si="2"/>
      </c>
      <c r="N35" s="41"/>
      <c r="O35" s="42">
        <f t="shared" si="3"/>
      </c>
      <c r="P35" s="237" t="str">
        <f t="shared" si="4"/>
        <v>--</v>
      </c>
      <c r="Q35" s="242" t="str">
        <f t="shared" si="5"/>
        <v>--</v>
      </c>
      <c r="R35" s="251" t="str">
        <f t="shared" si="6"/>
        <v>--</v>
      </c>
      <c r="S35" s="252" t="str">
        <f t="shared" si="7"/>
        <v>--</v>
      </c>
      <c r="T35" s="253" t="str">
        <f t="shared" si="8"/>
        <v>--</v>
      </c>
      <c r="U35" s="267" t="str">
        <f t="shared" si="9"/>
        <v>--</v>
      </c>
      <c r="V35" s="268" t="str">
        <f t="shared" si="10"/>
        <v>--</v>
      </c>
      <c r="W35" s="269" t="str">
        <f t="shared" si="11"/>
        <v>--</v>
      </c>
      <c r="X35" s="277" t="str">
        <f t="shared" si="12"/>
        <v>--</v>
      </c>
      <c r="Y35" s="283" t="str">
        <f t="shared" si="13"/>
        <v>--</v>
      </c>
      <c r="Z35" s="221">
        <f t="shared" si="15"/>
      </c>
      <c r="AA35" s="43">
        <f t="shared" si="14"/>
      </c>
      <c r="AB35" s="8"/>
    </row>
    <row r="36" spans="1:28" s="7" customFormat="1" ht="16.5" thickBot="1" thickTop="1">
      <c r="A36" s="5"/>
      <c r="B36" s="32"/>
      <c r="C36" s="38"/>
      <c r="D36" s="38"/>
      <c r="E36" s="38"/>
      <c r="F36" s="39"/>
      <c r="G36" s="39"/>
      <c r="H36" s="232"/>
      <c r="I36" s="230">
        <f t="shared" si="0"/>
        <v>80.2055</v>
      </c>
      <c r="J36" s="40"/>
      <c r="K36" s="40"/>
      <c r="L36" s="9">
        <f t="shared" si="1"/>
      </c>
      <c r="M36" s="10">
        <f t="shared" si="2"/>
      </c>
      <c r="N36" s="41"/>
      <c r="O36" s="42">
        <f t="shared" si="3"/>
      </c>
      <c r="P36" s="237" t="str">
        <f t="shared" si="4"/>
        <v>--</v>
      </c>
      <c r="Q36" s="242" t="str">
        <f t="shared" si="5"/>
        <v>--</v>
      </c>
      <c r="R36" s="251" t="str">
        <f t="shared" si="6"/>
        <v>--</v>
      </c>
      <c r="S36" s="252" t="str">
        <f t="shared" si="7"/>
        <v>--</v>
      </c>
      <c r="T36" s="253" t="str">
        <f t="shared" si="8"/>
        <v>--</v>
      </c>
      <c r="U36" s="267" t="str">
        <f t="shared" si="9"/>
        <v>--</v>
      </c>
      <c r="V36" s="268" t="str">
        <f t="shared" si="10"/>
        <v>--</v>
      </c>
      <c r="W36" s="269" t="str">
        <f t="shared" si="11"/>
        <v>--</v>
      </c>
      <c r="X36" s="277" t="str">
        <f t="shared" si="12"/>
        <v>--</v>
      </c>
      <c r="Y36" s="283" t="str">
        <f t="shared" si="13"/>
        <v>--</v>
      </c>
      <c r="Z36" s="221">
        <f t="shared" si="15"/>
      </c>
      <c r="AA36" s="43">
        <f t="shared" si="14"/>
      </c>
      <c r="AB36" s="8"/>
    </row>
    <row r="37" spans="1:28" s="7" customFormat="1" ht="16.5" thickBot="1" thickTop="1">
      <c r="A37" s="5"/>
      <c r="B37" s="112"/>
      <c r="C37" s="38"/>
      <c r="D37" s="38"/>
      <c r="E37" s="38"/>
      <c r="F37" s="39"/>
      <c r="G37" s="39"/>
      <c r="H37" s="232"/>
      <c r="I37" s="230">
        <f t="shared" si="0"/>
        <v>80.2055</v>
      </c>
      <c r="J37" s="40"/>
      <c r="K37" s="40"/>
      <c r="L37" s="9">
        <f t="shared" si="1"/>
      </c>
      <c r="M37" s="10">
        <f t="shared" si="2"/>
      </c>
      <c r="N37" s="41"/>
      <c r="O37" s="42">
        <f t="shared" si="3"/>
      </c>
      <c r="P37" s="237" t="str">
        <f t="shared" si="4"/>
        <v>--</v>
      </c>
      <c r="Q37" s="242" t="str">
        <f t="shared" si="5"/>
        <v>--</v>
      </c>
      <c r="R37" s="251" t="str">
        <f t="shared" si="6"/>
        <v>--</v>
      </c>
      <c r="S37" s="252" t="str">
        <f t="shared" si="7"/>
        <v>--</v>
      </c>
      <c r="T37" s="253" t="str">
        <f t="shared" si="8"/>
        <v>--</v>
      </c>
      <c r="U37" s="267" t="str">
        <f t="shared" si="9"/>
        <v>--</v>
      </c>
      <c r="V37" s="268" t="str">
        <f t="shared" si="10"/>
        <v>--</v>
      </c>
      <c r="W37" s="269" t="str">
        <f t="shared" si="11"/>
        <v>--</v>
      </c>
      <c r="X37" s="277" t="str">
        <f t="shared" si="12"/>
        <v>--</v>
      </c>
      <c r="Y37" s="283" t="str">
        <f t="shared" si="13"/>
        <v>--</v>
      </c>
      <c r="Z37" s="221">
        <f t="shared" si="15"/>
      </c>
      <c r="AA37" s="43">
        <f t="shared" si="14"/>
      </c>
      <c r="AB37" s="8"/>
    </row>
    <row r="38" spans="1:28" s="7" customFormat="1" ht="16.5" thickBot="1" thickTop="1">
      <c r="A38" s="5"/>
      <c r="B38" s="32"/>
      <c r="C38" s="38"/>
      <c r="D38" s="38"/>
      <c r="E38" s="38"/>
      <c r="F38" s="39"/>
      <c r="G38" s="39"/>
      <c r="H38" s="232"/>
      <c r="I38" s="230">
        <f t="shared" si="0"/>
        <v>80.2055</v>
      </c>
      <c r="J38" s="40"/>
      <c r="K38" s="40"/>
      <c r="L38" s="9">
        <f t="shared" si="1"/>
      </c>
      <c r="M38" s="10">
        <f t="shared" si="2"/>
      </c>
      <c r="N38" s="41"/>
      <c r="O38" s="42">
        <f t="shared" si="3"/>
      </c>
      <c r="P38" s="237" t="str">
        <f t="shared" si="4"/>
        <v>--</v>
      </c>
      <c r="Q38" s="242" t="str">
        <f t="shared" si="5"/>
        <v>--</v>
      </c>
      <c r="R38" s="251" t="str">
        <f t="shared" si="6"/>
        <v>--</v>
      </c>
      <c r="S38" s="252" t="str">
        <f t="shared" si="7"/>
        <v>--</v>
      </c>
      <c r="T38" s="253" t="str">
        <f t="shared" si="8"/>
        <v>--</v>
      </c>
      <c r="U38" s="267" t="str">
        <f t="shared" si="9"/>
        <v>--</v>
      </c>
      <c r="V38" s="268" t="str">
        <f t="shared" si="10"/>
        <v>--</v>
      </c>
      <c r="W38" s="269" t="str">
        <f t="shared" si="11"/>
        <v>--</v>
      </c>
      <c r="X38" s="277" t="str">
        <f t="shared" si="12"/>
        <v>--</v>
      </c>
      <c r="Y38" s="283" t="str">
        <f t="shared" si="13"/>
        <v>--</v>
      </c>
      <c r="Z38" s="221">
        <f t="shared" si="15"/>
      </c>
      <c r="AA38" s="43">
        <f t="shared" si="14"/>
      </c>
      <c r="AB38" s="8"/>
    </row>
    <row r="39" spans="1:28" s="7" customFormat="1" ht="16.5" thickBot="1" thickTop="1">
      <c r="A39" s="5"/>
      <c r="B39" s="32"/>
      <c r="C39" s="38"/>
      <c r="D39" s="38"/>
      <c r="E39" s="38"/>
      <c r="F39" s="39"/>
      <c r="G39" s="39"/>
      <c r="H39" s="232"/>
      <c r="I39" s="230">
        <f t="shared" si="0"/>
        <v>80.2055</v>
      </c>
      <c r="J39" s="40"/>
      <c r="K39" s="40"/>
      <c r="L39" s="9">
        <f t="shared" si="1"/>
      </c>
      <c r="M39" s="10">
        <f t="shared" si="2"/>
      </c>
      <c r="N39" s="41"/>
      <c r="O39" s="42">
        <f t="shared" si="3"/>
      </c>
      <c r="P39" s="237" t="str">
        <f t="shared" si="4"/>
        <v>--</v>
      </c>
      <c r="Q39" s="242" t="str">
        <f t="shared" si="5"/>
        <v>--</v>
      </c>
      <c r="R39" s="251" t="str">
        <f t="shared" si="6"/>
        <v>--</v>
      </c>
      <c r="S39" s="252" t="str">
        <f t="shared" si="7"/>
        <v>--</v>
      </c>
      <c r="T39" s="253" t="str">
        <f t="shared" si="8"/>
        <v>--</v>
      </c>
      <c r="U39" s="267" t="str">
        <f t="shared" si="9"/>
        <v>--</v>
      </c>
      <c r="V39" s="268" t="str">
        <f t="shared" si="10"/>
        <v>--</v>
      </c>
      <c r="W39" s="269" t="str">
        <f t="shared" si="11"/>
        <v>--</v>
      </c>
      <c r="X39" s="277" t="str">
        <f t="shared" si="12"/>
        <v>--</v>
      </c>
      <c r="Y39" s="283" t="str">
        <f t="shared" si="13"/>
        <v>--</v>
      </c>
      <c r="Z39" s="221">
        <f t="shared" si="15"/>
      </c>
      <c r="AA39" s="43">
        <f t="shared" si="14"/>
      </c>
      <c r="AB39" s="8"/>
    </row>
    <row r="40" spans="2:28" s="7" customFormat="1" ht="16.5" thickBot="1" thickTop="1">
      <c r="B40" s="113"/>
      <c r="C40" s="38"/>
      <c r="D40" s="38"/>
      <c r="E40" s="38"/>
      <c r="F40" s="39"/>
      <c r="G40" s="39"/>
      <c r="H40" s="232"/>
      <c r="I40" s="230">
        <f>IF(H40&gt;25,H40,25)*IF(G40=220,$G$16,IF(G40=132,$G$17,$G$18))/100</f>
        <v>80.2055</v>
      </c>
      <c r="J40" s="40"/>
      <c r="K40" s="40"/>
      <c r="L40" s="9">
        <f>IF(F40="","",(K40-J40)*24)</f>
      </c>
      <c r="M40" s="10">
        <f>IF(F40="","",ROUND((K40-J40)*24*60,0))</f>
      </c>
      <c r="N40" s="41"/>
      <c r="O40" s="42">
        <f>IF(F40="","","--")</f>
      </c>
      <c r="P40" s="237" t="str">
        <f>IF(N40="P",ROUND(M40/60,2)*I40*$L$17*0.01,"--")</f>
        <v>--</v>
      </c>
      <c r="Q40" s="242" t="str">
        <f>IF(N40="RP",ROUND(M40/60,2)*I40*$L$17*0.01*O40/100,"--")</f>
        <v>--</v>
      </c>
      <c r="R40" s="251" t="str">
        <f>IF(N40="F",I40*$L$17,"--")</f>
        <v>--</v>
      </c>
      <c r="S40" s="252" t="str">
        <f>IF(AND(M40&gt;10,N40="F"),I40*$L$17*IF(M40&gt;180,3,ROUND(M40/60,2)),"--")</f>
        <v>--</v>
      </c>
      <c r="T40" s="253" t="str">
        <f>IF(AND(N40="F",M40&gt;180),(ROUND(M40/60,2)-3)*I40*$L$17*0.1,"--")</f>
        <v>--</v>
      </c>
      <c r="U40" s="267" t="str">
        <f>IF(N40="R",I40*$L$17*O40/100,"--")</f>
        <v>--</v>
      </c>
      <c r="V40" s="268" t="str">
        <f>IF(AND(M40&gt;10,N40="R"),I40*$L$17*O40/100*IF(M40&gt;180,3,ROUND(M40/60,2)),"--")</f>
        <v>--</v>
      </c>
      <c r="W40" s="269" t="str">
        <f>IF(AND(N40="R",M40&gt;180),(ROUND(M40/60,2)-3)*I40*$L$17*0.1*O40/100,"--")</f>
        <v>--</v>
      </c>
      <c r="X40" s="277" t="str">
        <f>IF(N40="RF",ROUND(M40/60,2)*I40*$L$17*0.1,"--")</f>
        <v>--</v>
      </c>
      <c r="Y40" s="283" t="str">
        <f>IF(N40="RR",ROUND(M40/60,2)*I40*$L$17*0.1*O40/100,"--")</f>
        <v>--</v>
      </c>
      <c r="Z40" s="221">
        <f>IF(F40="","","SI")</f>
      </c>
      <c r="AA40" s="43">
        <f t="shared" si="14"/>
      </c>
      <c r="AB40" s="8"/>
    </row>
    <row r="41" spans="2:28" s="7" customFormat="1" ht="16.5" thickBot="1" thickTop="1">
      <c r="B41" s="113"/>
      <c r="C41" s="38"/>
      <c r="D41" s="38"/>
      <c r="E41" s="38"/>
      <c r="F41" s="39"/>
      <c r="G41" s="39"/>
      <c r="H41" s="232"/>
      <c r="I41" s="230">
        <f>IF(H41&gt;25,H41,25)*IF(G41=220,$G$16,IF(G41=132,$G$17,$G$18))/100</f>
        <v>80.2055</v>
      </c>
      <c r="J41" s="40"/>
      <c r="K41" s="40"/>
      <c r="L41" s="9">
        <f>IF(F41="","",(K41-J41)*24)</f>
      </c>
      <c r="M41" s="10">
        <f>IF(F41="","",ROUND((K41-J41)*24*60,0))</f>
      </c>
      <c r="N41" s="41"/>
      <c r="O41" s="42">
        <f>IF(F41="","","--")</f>
      </c>
      <c r="P41" s="237" t="str">
        <f>IF(N41="P",ROUND(M41/60,2)*I41*$L$17*0.01,"--")</f>
        <v>--</v>
      </c>
      <c r="Q41" s="242" t="str">
        <f>IF(N41="RP",ROUND(M41/60,2)*I41*$L$17*0.01*O41/100,"--")</f>
        <v>--</v>
      </c>
      <c r="R41" s="251" t="str">
        <f>IF(N41="F",I41*$L$17,"--")</f>
        <v>--</v>
      </c>
      <c r="S41" s="252" t="str">
        <f>IF(AND(M41&gt;10,N41="F"),I41*$L$17*IF(M41&gt;180,3,ROUND(M41/60,2)),"--")</f>
        <v>--</v>
      </c>
      <c r="T41" s="253" t="str">
        <f>IF(AND(N41="F",M41&gt;180),(ROUND(M41/60,2)-3)*I41*$L$17*0.1,"--")</f>
        <v>--</v>
      </c>
      <c r="U41" s="267" t="str">
        <f>IF(N41="R",I41*$L$17*O41/100,"--")</f>
        <v>--</v>
      </c>
      <c r="V41" s="268" t="str">
        <f>IF(AND(M41&gt;10,N41="R"),I41*$L$17*O41/100*IF(M41&gt;180,3,ROUND(M41/60,2)),"--")</f>
        <v>--</v>
      </c>
      <c r="W41" s="269" t="str">
        <f>IF(AND(N41="R",M41&gt;180),(ROUND(M41/60,2)-3)*I41*$L$17*0.1*O41/100,"--")</f>
        <v>--</v>
      </c>
      <c r="X41" s="277" t="str">
        <f>IF(N41="RF",ROUND(M41/60,2)*I41*$L$17*0.1,"--")</f>
        <v>--</v>
      </c>
      <c r="Y41" s="283" t="str">
        <f>IF(N41="RR",ROUND(M41/60,2)*I41*$L$17*0.1*O41/100,"--")</f>
        <v>--</v>
      </c>
      <c r="Z41" s="221">
        <f>IF(F41="","","SI")</f>
      </c>
      <c r="AA41" s="43">
        <f t="shared" si="14"/>
      </c>
      <c r="AB41" s="8"/>
    </row>
    <row r="42" spans="2:28" s="7" customFormat="1" ht="16.5" thickBot="1" thickTop="1">
      <c r="B42" s="113"/>
      <c r="C42" s="38"/>
      <c r="D42" s="38"/>
      <c r="E42" s="38"/>
      <c r="F42" s="39"/>
      <c r="G42" s="39"/>
      <c r="H42" s="232"/>
      <c r="I42" s="230">
        <f>IF(H42&gt;25,H42,25)*IF(G42=220,$G$16,IF(G42=132,$G$17,$G$18))/100</f>
        <v>80.2055</v>
      </c>
      <c r="J42" s="40"/>
      <c r="K42" s="40"/>
      <c r="L42" s="9">
        <f>IF(F42="","",(K42-J42)*24)</f>
      </c>
      <c r="M42" s="10">
        <f>IF(F42="","",ROUND((K42-J42)*24*60,0))</f>
      </c>
      <c r="N42" s="41"/>
      <c r="O42" s="42">
        <f>IF(F42="","","--")</f>
      </c>
      <c r="P42" s="237" t="str">
        <f>IF(N42="P",ROUND(M42/60,2)*I42*$L$17*0.01,"--")</f>
        <v>--</v>
      </c>
      <c r="Q42" s="242" t="str">
        <f>IF(N42="RP",ROUND(M42/60,2)*I42*$L$17*0.01*O42/100,"--")</f>
        <v>--</v>
      </c>
      <c r="R42" s="251" t="str">
        <f>IF(N42="F",I42*$L$17,"--")</f>
        <v>--</v>
      </c>
      <c r="S42" s="252" t="str">
        <f>IF(AND(M42&gt;10,N42="F"),I42*$L$17*IF(M42&gt;180,3,ROUND(M42/60,2)),"--")</f>
        <v>--</v>
      </c>
      <c r="T42" s="253" t="str">
        <f>IF(AND(N42="F",M42&gt;180),(ROUND(M42/60,2)-3)*I42*$L$17*0.1,"--")</f>
        <v>--</v>
      </c>
      <c r="U42" s="267" t="str">
        <f>IF(N42="R",I42*$L$17*O42/100,"--")</f>
        <v>--</v>
      </c>
      <c r="V42" s="268" t="str">
        <f>IF(AND(M42&gt;10,N42="R"),I42*$L$17*O42/100*IF(M42&gt;180,3,ROUND(M42/60,2)),"--")</f>
        <v>--</v>
      </c>
      <c r="W42" s="269" t="str">
        <f>IF(AND(N42="R",M42&gt;180),(ROUND(M42/60,2)-3)*I42*$L$17*0.1*O42/100,"--")</f>
        <v>--</v>
      </c>
      <c r="X42" s="277" t="str">
        <f>IF(N42="RF",ROUND(M42/60,2)*I42*$L$17*0.1,"--")</f>
        <v>--</v>
      </c>
      <c r="Y42" s="283" t="str">
        <f>IF(N42="RR",ROUND(M42/60,2)*I42*$L$17*0.1*O42/100,"--")</f>
        <v>--</v>
      </c>
      <c r="Z42" s="221">
        <f>IF(F42="","","SI")</f>
      </c>
      <c r="AA42" s="43">
        <f t="shared" si="14"/>
      </c>
      <c r="AB42" s="8"/>
    </row>
    <row r="43" spans="1:28" s="7" customFormat="1" ht="16.5" thickBot="1" thickTop="1">
      <c r="A43" s="5"/>
      <c r="B43" s="32"/>
      <c r="C43" s="233"/>
      <c r="D43" s="233"/>
      <c r="E43" s="233"/>
      <c r="F43" s="352"/>
      <c r="G43" s="353"/>
      <c r="H43" s="354"/>
      <c r="I43" s="231"/>
      <c r="J43" s="354"/>
      <c r="K43" s="354"/>
      <c r="L43" s="11"/>
      <c r="M43" s="11"/>
      <c r="N43" s="354"/>
      <c r="O43" s="355"/>
      <c r="P43" s="238"/>
      <c r="Q43" s="244"/>
      <c r="R43" s="254"/>
      <c r="S43" s="255"/>
      <c r="T43" s="256"/>
      <c r="U43" s="270"/>
      <c r="V43" s="271"/>
      <c r="W43" s="272"/>
      <c r="X43" s="278"/>
      <c r="Y43" s="284"/>
      <c r="Z43" s="44"/>
      <c r="AA43" s="130"/>
      <c r="AB43" s="8"/>
    </row>
    <row r="44" spans="1:28" s="7" customFormat="1" ht="17.25" thickBot="1" thickTop="1">
      <c r="A44" s="5"/>
      <c r="B44" s="32"/>
      <c r="C44" s="196" t="s">
        <v>39</v>
      </c>
      <c r="D44" s="198"/>
      <c r="E44" s="198"/>
      <c r="F44" s="197"/>
      <c r="G44" s="12"/>
      <c r="H44" s="13"/>
      <c r="I44" s="45"/>
      <c r="J44" s="45"/>
      <c r="K44" s="45"/>
      <c r="L44" s="45"/>
      <c r="M44" s="45"/>
      <c r="N44" s="45"/>
      <c r="O44" s="46"/>
      <c r="P44" s="238">
        <f>SUM(P21:P43)</f>
        <v>295.47706200000005</v>
      </c>
      <c r="Q44" s="240">
        <f>SUM(Q21:Q43)</f>
        <v>0</v>
      </c>
      <c r="R44" s="257">
        <f aca="true" t="shared" si="16" ref="R44:Y44">SUM(R21:R43)</f>
        <v>21511.115100000003</v>
      </c>
      <c r="S44" s="257">
        <f t="shared" si="16"/>
        <v>0</v>
      </c>
      <c r="T44" s="257">
        <f t="shared" si="16"/>
        <v>0</v>
      </c>
      <c r="U44" s="273">
        <f t="shared" si="16"/>
        <v>0</v>
      </c>
      <c r="V44" s="273">
        <f t="shared" si="16"/>
        <v>0</v>
      </c>
      <c r="W44" s="273">
        <f t="shared" si="16"/>
        <v>0</v>
      </c>
      <c r="X44" s="279">
        <f t="shared" si="16"/>
        <v>0</v>
      </c>
      <c r="Y44" s="285">
        <f t="shared" si="16"/>
        <v>0</v>
      </c>
      <c r="Z44" s="47"/>
      <c r="AA44" s="225">
        <f>ROUND(SUM(AA21:AA43),2)</f>
        <v>175446.13</v>
      </c>
      <c r="AB44" s="114"/>
    </row>
    <row r="45" spans="1:28" s="211" customFormat="1" ht="9.75" thickTop="1">
      <c r="A45" s="200"/>
      <c r="B45" s="201"/>
      <c r="C45" s="198"/>
      <c r="D45" s="198"/>
      <c r="E45" s="198"/>
      <c r="F45" s="199"/>
      <c r="G45" s="202"/>
      <c r="H45" s="203"/>
      <c r="I45" s="204"/>
      <c r="J45" s="204"/>
      <c r="K45" s="204"/>
      <c r="L45" s="204"/>
      <c r="M45" s="204"/>
      <c r="N45" s="204"/>
      <c r="O45" s="205"/>
      <c r="P45" s="206"/>
      <c r="Q45" s="206"/>
      <c r="R45" s="207"/>
      <c r="S45" s="207"/>
      <c r="T45" s="208"/>
      <c r="U45" s="208"/>
      <c r="V45" s="208"/>
      <c r="W45" s="208"/>
      <c r="X45" s="208"/>
      <c r="Y45" s="208"/>
      <c r="Z45" s="208"/>
      <c r="AA45" s="209"/>
      <c r="AB45" s="210"/>
    </row>
    <row r="46" spans="1:28" s="7" customFormat="1" ht="13.5" thickBot="1">
      <c r="A46" s="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</row>
    <row r="47" spans="1:28" ht="13.5" thickTop="1">
      <c r="A47" s="1"/>
      <c r="B47" s="1"/>
      <c r="AB47" s="1"/>
    </row>
    <row r="92" spans="1:2" ht="12.75">
      <c r="A92" s="1"/>
      <c r="B92" s="1"/>
    </row>
  </sheetData>
  <sheetProtection/>
  <mergeCells count="3">
    <mergeCell ref="G16:H16"/>
    <mergeCell ref="G17:H17"/>
    <mergeCell ref="G18:H1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A1">
      <selection activeCell="G16" sqref="G16:H18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7" width="25.7109375" style="0" customWidth="1"/>
    <col min="8" max="8" width="8.7109375" style="0" customWidth="1"/>
    <col min="9" max="9" width="12.7109375" style="0" customWidth="1"/>
    <col min="10" max="10" width="14.28125" style="0" hidden="1" customWidth="1"/>
    <col min="11" max="12" width="15.7109375" style="0" customWidth="1"/>
    <col min="13" max="15" width="9.7109375" style="0" customWidth="1"/>
    <col min="16" max="18" width="7.7109375" style="0" customWidth="1"/>
    <col min="19" max="19" width="12.57421875" style="0" hidden="1" customWidth="1"/>
    <col min="20" max="21" width="14.421875" style="0" hidden="1" customWidth="1"/>
    <col min="22" max="22" width="16.8515625" style="0" hidden="1" customWidth="1"/>
    <col min="23" max="27" width="16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6:30" s="59" customFormat="1" ht="30" customHeight="1"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349"/>
    </row>
    <row r="2" spans="2:30" s="59" customFormat="1" ht="26.25">
      <c r="B2" s="356" t="str">
        <f>+'TOT-0315'!B2</f>
        <v>ANEXO III al Memorándum  D.T.E.E.  N° 821/2015.-</v>
      </c>
      <c r="C2" s="60"/>
      <c r="D2" s="60"/>
      <c r="E2" s="60"/>
      <c r="F2" s="140"/>
      <c r="G2" s="72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6:30" s="7" customFormat="1" ht="12.75"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0" s="57" customFormat="1" ht="11.25">
      <c r="A4" s="364" t="s">
        <v>60</v>
      </c>
      <c r="B4" s="124"/>
      <c r="C4" s="364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:30" s="57" customFormat="1" ht="11.25">
      <c r="A5" s="364" t="s">
        <v>61</v>
      </c>
      <c r="B5" s="124"/>
      <c r="C5" s="124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:30" s="7" customFormat="1" ht="16.5" customHeight="1" thickBo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</row>
    <row r="7" spans="1:30" s="7" customFormat="1" ht="16.5" customHeight="1" thickTop="1">
      <c r="A7" s="138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3"/>
    </row>
    <row r="8" spans="1:30" s="61" customFormat="1" ht="21.75" customHeight="1">
      <c r="A8" s="157"/>
      <c r="B8" s="158"/>
      <c r="C8" s="146"/>
      <c r="D8" s="146"/>
      <c r="E8" s="146"/>
      <c r="F8" s="17" t="s">
        <v>14</v>
      </c>
      <c r="H8" s="146"/>
      <c r="I8" s="157"/>
      <c r="J8" s="157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59"/>
      <c r="AD8" s="160"/>
    </row>
    <row r="9" spans="1:30" s="7" customFormat="1" ht="16.5" customHeight="1">
      <c r="A9" s="138"/>
      <c r="B9" s="144"/>
      <c r="C9" s="23"/>
      <c r="D9" s="23"/>
      <c r="E9" s="23"/>
      <c r="F9" s="23"/>
      <c r="G9" s="23"/>
      <c r="H9" s="23"/>
      <c r="I9" s="13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54"/>
      <c r="AD9" s="145"/>
    </row>
    <row r="10" spans="1:30" s="61" customFormat="1" ht="24" customHeight="1">
      <c r="A10" s="157"/>
      <c r="B10" s="158"/>
      <c r="C10" s="146"/>
      <c r="D10" s="146"/>
      <c r="E10" s="146"/>
      <c r="F10" s="17" t="s">
        <v>40</v>
      </c>
      <c r="G10" s="146"/>
      <c r="H10" s="146"/>
      <c r="I10" s="15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59"/>
      <c r="AD10" s="160"/>
    </row>
    <row r="11" spans="1:30" s="7" customFormat="1" ht="16.5" customHeight="1">
      <c r="A11" s="138"/>
      <c r="B11" s="144"/>
      <c r="C11" s="23"/>
      <c r="D11" s="23"/>
      <c r="E11" s="23"/>
      <c r="F11" s="53"/>
      <c r="G11" s="23"/>
      <c r="H11" s="23"/>
      <c r="I11" s="138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54"/>
      <c r="AD11" s="145"/>
    </row>
    <row r="12" spans="1:30" s="61" customFormat="1" ht="24" customHeight="1">
      <c r="A12" s="157"/>
      <c r="B12" s="158"/>
      <c r="C12" s="146"/>
      <c r="D12" s="146"/>
      <c r="E12" s="146"/>
      <c r="F12" s="168" t="s">
        <v>41</v>
      </c>
      <c r="G12" s="17"/>
      <c r="H12" s="157"/>
      <c r="I12" s="157"/>
      <c r="J12" s="161"/>
      <c r="K12" s="146"/>
      <c r="L12" s="157"/>
      <c r="M12" s="157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59"/>
      <c r="AD12" s="160"/>
    </row>
    <row r="13" spans="1:30" s="7" customFormat="1" ht="16.5" customHeight="1">
      <c r="A13" s="138"/>
      <c r="B13" s="144"/>
      <c r="C13" s="23"/>
      <c r="D13" s="23"/>
      <c r="E13" s="23"/>
      <c r="F13" s="148"/>
      <c r="G13" s="148"/>
      <c r="H13" s="148"/>
      <c r="I13" s="149"/>
      <c r="J13" s="147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54"/>
      <c r="AD13" s="145"/>
    </row>
    <row r="14" spans="1:30" s="65" customFormat="1" ht="16.5" customHeight="1">
      <c r="A14" s="162"/>
      <c r="B14" s="164" t="str">
        <f>+'TOT-0315'!B14</f>
        <v>Desde el 01 al 31 de marzo de 2015</v>
      </c>
      <c r="C14" s="137"/>
      <c r="D14" s="137"/>
      <c r="E14" s="137"/>
      <c r="F14" s="137"/>
      <c r="G14" s="137"/>
      <c r="H14" s="137"/>
      <c r="I14" s="137"/>
      <c r="J14" s="137"/>
      <c r="K14" s="163"/>
      <c r="L14" s="165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66"/>
      <c r="AD14" s="167"/>
    </row>
    <row r="15" spans="1:30" s="7" customFormat="1" ht="16.5" customHeight="1" thickBot="1">
      <c r="A15" s="138"/>
      <c r="B15" s="144"/>
      <c r="C15" s="23"/>
      <c r="D15" s="23"/>
      <c r="E15" s="23"/>
      <c r="F15" s="23"/>
      <c r="G15" s="23"/>
      <c r="H15" s="23"/>
      <c r="I15" s="150"/>
      <c r="J15" s="23"/>
      <c r="K15" s="136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54"/>
      <c r="AD15" s="145"/>
    </row>
    <row r="16" spans="1:30" s="7" customFormat="1" ht="16.5" customHeight="1" thickBot="1" thickTop="1">
      <c r="A16" s="138"/>
      <c r="B16" s="144"/>
      <c r="C16" s="23"/>
      <c r="D16" s="23"/>
      <c r="E16" s="23"/>
      <c r="F16" s="169" t="s">
        <v>55</v>
      </c>
      <c r="G16" s="170"/>
      <c r="H16" s="171"/>
      <c r="I16" s="368">
        <v>1.147</v>
      </c>
      <c r="J16" s="138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54"/>
      <c r="AD16" s="145"/>
    </row>
    <row r="17" spans="1:30" s="7" customFormat="1" ht="16.5" customHeight="1" thickBot="1" thickTop="1">
      <c r="A17" s="138"/>
      <c r="B17" s="144"/>
      <c r="C17" s="23"/>
      <c r="D17" s="23"/>
      <c r="E17" s="23"/>
      <c r="F17" s="172" t="s">
        <v>42</v>
      </c>
      <c r="G17" s="173"/>
      <c r="H17" s="173"/>
      <c r="I17" s="174">
        <f>30*'TOT-0315'!B13</f>
        <v>30</v>
      </c>
      <c r="J17" s="23"/>
      <c r="K17" s="183" t="str">
        <f>IF(I17=30," ",IF(I17=60,"  Coeficiente duplicado por tasa de falla &gt;4 Sal. x año/100 km.","  REVISAR COEFICIENTE"))</f>
        <v> 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51"/>
      <c r="X17" s="151"/>
      <c r="Y17" s="151"/>
      <c r="Z17" s="151"/>
      <c r="AA17" s="151"/>
      <c r="AB17" s="151"/>
      <c r="AC17" s="54"/>
      <c r="AD17" s="145"/>
    </row>
    <row r="18" spans="1:30" s="7" customFormat="1" ht="16.5" customHeight="1" thickBot="1" thickTop="1">
      <c r="A18" s="138"/>
      <c r="B18" s="144"/>
      <c r="C18" s="365">
        <v>3</v>
      </c>
      <c r="D18" s="365">
        <v>4</v>
      </c>
      <c r="E18" s="365">
        <v>5</v>
      </c>
      <c r="F18" s="365">
        <v>6</v>
      </c>
      <c r="G18" s="365">
        <v>7</v>
      </c>
      <c r="H18" s="365">
        <v>8</v>
      </c>
      <c r="I18" s="365">
        <v>9</v>
      </c>
      <c r="J18" s="365">
        <v>10</v>
      </c>
      <c r="K18" s="365">
        <v>11</v>
      </c>
      <c r="L18" s="365">
        <v>12</v>
      </c>
      <c r="M18" s="365">
        <v>13</v>
      </c>
      <c r="N18" s="365">
        <v>14</v>
      </c>
      <c r="O18" s="365">
        <v>15</v>
      </c>
      <c r="P18" s="365">
        <v>16</v>
      </c>
      <c r="Q18" s="365">
        <v>17</v>
      </c>
      <c r="R18" s="365">
        <v>18</v>
      </c>
      <c r="S18" s="365">
        <v>19</v>
      </c>
      <c r="T18" s="365">
        <v>20</v>
      </c>
      <c r="U18" s="365">
        <v>21</v>
      </c>
      <c r="V18" s="365">
        <v>22</v>
      </c>
      <c r="W18" s="365">
        <v>23</v>
      </c>
      <c r="X18" s="365">
        <v>24</v>
      </c>
      <c r="Y18" s="365">
        <v>25</v>
      </c>
      <c r="Z18" s="365">
        <v>26</v>
      </c>
      <c r="AA18" s="365">
        <v>27</v>
      </c>
      <c r="AB18" s="365">
        <v>28</v>
      </c>
      <c r="AC18" s="365">
        <v>29</v>
      </c>
      <c r="AD18" s="145"/>
    </row>
    <row r="19" spans="1:30" s="308" customFormat="1" ht="33.75" customHeight="1" thickBot="1" thickTop="1">
      <c r="A19" s="305"/>
      <c r="B19" s="306"/>
      <c r="C19" s="131" t="s">
        <v>21</v>
      </c>
      <c r="D19" s="131" t="s">
        <v>58</v>
      </c>
      <c r="E19" s="131" t="s">
        <v>59</v>
      </c>
      <c r="F19" s="179" t="s">
        <v>43</v>
      </c>
      <c r="G19" s="175" t="s">
        <v>44</v>
      </c>
      <c r="H19" s="177" t="s">
        <v>45</v>
      </c>
      <c r="I19" s="178" t="s">
        <v>22</v>
      </c>
      <c r="J19" s="220" t="s">
        <v>24</v>
      </c>
      <c r="K19" s="175" t="s">
        <v>25</v>
      </c>
      <c r="L19" s="175" t="s">
        <v>26</v>
      </c>
      <c r="M19" s="179" t="s">
        <v>46</v>
      </c>
      <c r="N19" s="179" t="s">
        <v>47</v>
      </c>
      <c r="O19" s="134" t="s">
        <v>48</v>
      </c>
      <c r="P19" s="176" t="s">
        <v>49</v>
      </c>
      <c r="Q19" s="179" t="s">
        <v>30</v>
      </c>
      <c r="R19" s="175" t="s">
        <v>50</v>
      </c>
      <c r="S19" s="288" t="s">
        <v>51</v>
      </c>
      <c r="T19" s="293" t="s">
        <v>52</v>
      </c>
      <c r="U19" s="299" t="s">
        <v>32</v>
      </c>
      <c r="V19" s="309" t="s">
        <v>53</v>
      </c>
      <c r="W19" s="310"/>
      <c r="X19" s="318" t="s">
        <v>54</v>
      </c>
      <c r="Y19" s="338"/>
      <c r="Z19" s="328" t="s">
        <v>35</v>
      </c>
      <c r="AA19" s="329" t="s">
        <v>36</v>
      </c>
      <c r="AB19" s="218" t="s">
        <v>37</v>
      </c>
      <c r="AC19" s="180" t="s">
        <v>38</v>
      </c>
      <c r="AD19" s="307"/>
    </row>
    <row r="20" spans="1:30" s="7" customFormat="1" ht="16.5" customHeight="1" thickTop="1">
      <c r="A20" s="138"/>
      <c r="B20" s="144"/>
      <c r="C20" s="48"/>
      <c r="D20" s="48"/>
      <c r="E20" s="48"/>
      <c r="F20" s="357"/>
      <c r="G20" s="358"/>
      <c r="H20" s="358"/>
      <c r="I20" s="358"/>
      <c r="J20" s="228"/>
      <c r="K20" s="357"/>
      <c r="L20" s="358"/>
      <c r="M20" s="19"/>
      <c r="N20" s="19"/>
      <c r="O20" s="358"/>
      <c r="P20" s="18"/>
      <c r="Q20" s="358"/>
      <c r="R20" s="358"/>
      <c r="S20" s="289"/>
      <c r="T20" s="294"/>
      <c r="U20" s="300"/>
      <c r="V20" s="311"/>
      <c r="W20" s="312"/>
      <c r="X20" s="319"/>
      <c r="Y20" s="320"/>
      <c r="Z20" s="334"/>
      <c r="AA20" s="330"/>
      <c r="AB20" s="18"/>
      <c r="AC20" s="346"/>
      <c r="AD20" s="145"/>
    </row>
    <row r="21" spans="1:30" s="7" customFormat="1" ht="16.5" customHeight="1">
      <c r="A21" s="138"/>
      <c r="B21" s="144"/>
      <c r="C21" s="48"/>
      <c r="D21" s="48"/>
      <c r="E21" s="48"/>
      <c r="F21" s="359"/>
      <c r="G21" s="359"/>
      <c r="H21" s="359"/>
      <c r="I21" s="359"/>
      <c r="J21" s="229"/>
      <c r="K21" s="361"/>
      <c r="L21" s="359"/>
      <c r="M21" s="15"/>
      <c r="N21" s="15"/>
      <c r="O21" s="359"/>
      <c r="P21" s="14"/>
      <c r="Q21" s="359"/>
      <c r="R21" s="359"/>
      <c r="S21" s="290"/>
      <c r="T21" s="295"/>
      <c r="U21" s="301"/>
      <c r="V21" s="313"/>
      <c r="W21" s="314"/>
      <c r="X21" s="321"/>
      <c r="Y21" s="322"/>
      <c r="Z21" s="335"/>
      <c r="AA21" s="331"/>
      <c r="AB21" s="14"/>
      <c r="AC21" s="181"/>
      <c r="AD21" s="145"/>
    </row>
    <row r="22" spans="1:30" s="7" customFormat="1" ht="16.5" customHeight="1">
      <c r="A22" s="138"/>
      <c r="B22" s="152"/>
      <c r="C22" s="48">
        <v>26</v>
      </c>
      <c r="D22" s="48">
        <v>281504</v>
      </c>
      <c r="E22" s="48">
        <v>752</v>
      </c>
      <c r="F22" s="39" t="s">
        <v>77</v>
      </c>
      <c r="G22" s="38" t="s">
        <v>78</v>
      </c>
      <c r="H22" s="52">
        <v>30</v>
      </c>
      <c r="I22" s="232" t="s">
        <v>57</v>
      </c>
      <c r="J22" s="230">
        <f>H22*$I$16</f>
        <v>34.410000000000004</v>
      </c>
      <c r="K22" s="50">
        <v>42064</v>
      </c>
      <c r="L22" s="50">
        <v>42069.82430555556</v>
      </c>
      <c r="M22" s="20">
        <f>IF(F22="","",(L22-K22)*24)</f>
        <v>139.78333333338378</v>
      </c>
      <c r="N22" s="21">
        <f>IF(F22="","",ROUND((L22-K22)*24*60,0))</f>
        <v>8387</v>
      </c>
      <c r="O22" s="51" t="s">
        <v>79</v>
      </c>
      <c r="P22" s="51" t="str">
        <f>IF(F22="","",IF(OR(O22="P",O22="RP"),"--","NO"))</f>
        <v>--</v>
      </c>
      <c r="Q22" s="287">
        <v>50</v>
      </c>
      <c r="R22" s="51" t="str">
        <f>IF(F22="","","NO")</f>
        <v>NO</v>
      </c>
      <c r="S22" s="291">
        <f>$I$17*IF(OR(O22="P",O22="RP"),0.1,1)*IF(R22="SI",1,0.1)</f>
        <v>0.30000000000000004</v>
      </c>
      <c r="T22" s="296" t="str">
        <f>IF(O22="P",J22*S22*ROUND(N22/60,2),"--")</f>
        <v>--</v>
      </c>
      <c r="U22" s="302">
        <f>IF(O22="RP",J22*S22*ROUND(N22/60,2)*Q22/100,"--")</f>
        <v>721.4744700000001</v>
      </c>
      <c r="V22" s="315" t="str">
        <f>IF(AND(O22="F",P22="NO"),J22*S22,"--")</f>
        <v>--</v>
      </c>
      <c r="W22" s="316" t="str">
        <f>IF(O22="F",J22*S22*ROUND(N22/60,2),"--")</f>
        <v>--</v>
      </c>
      <c r="X22" s="323" t="str">
        <f>IF(AND(O22="R",P22="NO"),J22*S22*Q22/100,"--")</f>
        <v>--</v>
      </c>
      <c r="Y22" s="324" t="str">
        <f>IF(O22="R",J22*S22*ROUND(N22/60,2)*Q22/100,"--")</f>
        <v>--</v>
      </c>
      <c r="Z22" s="336" t="str">
        <f>IF(O22="RF",J22*S22*ROUND(N22/60,2),"--")</f>
        <v>--</v>
      </c>
      <c r="AA22" s="332" t="str">
        <f>IF(O22="RR",J22*S22*ROUND(N22/60,2)*Q22/100,"--")</f>
        <v>--</v>
      </c>
      <c r="AB22" s="51" t="s">
        <v>65</v>
      </c>
      <c r="AC22" s="25">
        <f>IF(F22="","",SUM(T22:AA22)*IF(AB22="SI",1,2))</f>
        <v>721.4744700000001</v>
      </c>
      <c r="AD22" s="344"/>
    </row>
    <row r="23" spans="1:30" s="7" customFormat="1" ht="16.5" customHeight="1">
      <c r="A23" s="138"/>
      <c r="B23" s="152"/>
      <c r="C23" s="48">
        <v>27</v>
      </c>
      <c r="D23" s="48">
        <v>285492</v>
      </c>
      <c r="E23" s="48">
        <v>5074</v>
      </c>
      <c r="F23" s="39" t="s">
        <v>80</v>
      </c>
      <c r="G23" s="38" t="s">
        <v>81</v>
      </c>
      <c r="H23" s="52">
        <v>50</v>
      </c>
      <c r="I23" s="232" t="s">
        <v>57</v>
      </c>
      <c r="J23" s="230">
        <f aca="true" t="shared" si="0" ref="J23:J38">H23*$I$16</f>
        <v>57.35</v>
      </c>
      <c r="K23" s="50">
        <v>42066.657638888886</v>
      </c>
      <c r="L23" s="50">
        <v>42066.680555555555</v>
      </c>
      <c r="M23" s="20">
        <f aca="true" t="shared" si="1" ref="M23:M38">IF(F23="","",(L23-K23)*24)</f>
        <v>0.5500000000465661</v>
      </c>
      <c r="N23" s="21">
        <f aca="true" t="shared" si="2" ref="N23:N38">IF(F23="","",ROUND((L23-K23)*24*60,0))</f>
        <v>33</v>
      </c>
      <c r="O23" s="51" t="s">
        <v>72</v>
      </c>
      <c r="P23" s="51" t="str">
        <f aca="true" t="shared" si="3" ref="P23:P41">IF(F23="","",IF(OR(O23="P",O23="RP"),"--","NO"))</f>
        <v>NO</v>
      </c>
      <c r="Q23" s="51" t="s">
        <v>82</v>
      </c>
      <c r="R23" s="51" t="s">
        <v>65</v>
      </c>
      <c r="S23" s="291">
        <f aca="true" t="shared" si="4" ref="S23:S38">$I$17*IF(OR(O23="P",O23="RP"),0.1,1)*IF(R23="SI",1,0.1)</f>
        <v>30</v>
      </c>
      <c r="T23" s="296" t="str">
        <f aca="true" t="shared" si="5" ref="T23:T38">IF(O23="P",J23*S23*ROUND(N23/60,2),"--")</f>
        <v>--</v>
      </c>
      <c r="U23" s="302" t="str">
        <f aca="true" t="shared" si="6" ref="U23:U38">IF(O23="RP",J23*S23*ROUND(N23/60,2)*Q23/100,"--")</f>
        <v>--</v>
      </c>
      <c r="V23" s="315">
        <f aca="true" t="shared" si="7" ref="V23:V38">IF(AND(O23="F",P23="NO"),J23*S23,"--")</f>
        <v>1720.5</v>
      </c>
      <c r="W23" s="316">
        <f aca="true" t="shared" si="8" ref="W23:W38">IF(O23="F",J23*S23*ROUND(N23/60,2),"--")</f>
        <v>946.2750000000001</v>
      </c>
      <c r="X23" s="323" t="str">
        <f aca="true" t="shared" si="9" ref="X23:X38">IF(AND(O23="R",P23="NO"),J23*S23*Q23/100,"--")</f>
        <v>--</v>
      </c>
      <c r="Y23" s="324" t="str">
        <f aca="true" t="shared" si="10" ref="Y23:Y38">IF(O23="R",J23*S23*ROUND(N23/60,2)*Q23/100,"--")</f>
        <v>--</v>
      </c>
      <c r="Z23" s="336" t="str">
        <f aca="true" t="shared" si="11" ref="Z23:Z38">IF(O23="RF",J23*S23*ROUND(N23/60,2),"--")</f>
        <v>--</v>
      </c>
      <c r="AA23" s="332" t="str">
        <f aca="true" t="shared" si="12" ref="AA23:AA38">IF(O23="RR",J23*S23*ROUND(N23/60,2)*Q23/100,"--")</f>
        <v>--</v>
      </c>
      <c r="AB23" s="51" t="s">
        <v>65</v>
      </c>
      <c r="AC23" s="25">
        <f aca="true" t="shared" si="13" ref="AC23:AC41">IF(F23="","",SUM(T23:AA23)*IF(AB23="SI",1,2))</f>
        <v>2666.775</v>
      </c>
      <c r="AD23" s="344"/>
    </row>
    <row r="24" spans="1:30" s="7" customFormat="1" ht="16.5" customHeight="1">
      <c r="A24" s="138"/>
      <c r="B24" s="152"/>
      <c r="C24" s="48">
        <v>28</v>
      </c>
      <c r="D24" s="48">
        <v>285497</v>
      </c>
      <c r="E24" s="48">
        <v>759</v>
      </c>
      <c r="F24" s="39" t="s">
        <v>83</v>
      </c>
      <c r="G24" s="38" t="s">
        <v>84</v>
      </c>
      <c r="H24" s="52">
        <v>30</v>
      </c>
      <c r="I24" s="232" t="s">
        <v>57</v>
      </c>
      <c r="J24" s="230">
        <f t="shared" si="0"/>
        <v>34.410000000000004</v>
      </c>
      <c r="K24" s="50">
        <v>42067.464583333334</v>
      </c>
      <c r="L24" s="50">
        <v>42067.493055555555</v>
      </c>
      <c r="M24" s="20">
        <f t="shared" si="1"/>
        <v>0.6833333332906477</v>
      </c>
      <c r="N24" s="21">
        <f t="shared" si="2"/>
        <v>41</v>
      </c>
      <c r="O24" s="51" t="s">
        <v>85</v>
      </c>
      <c r="P24" s="51" t="str">
        <f t="shared" si="3"/>
        <v>NO</v>
      </c>
      <c r="Q24" s="287">
        <v>60</v>
      </c>
      <c r="R24" s="51" t="s">
        <v>65</v>
      </c>
      <c r="S24" s="291">
        <f t="shared" si="4"/>
        <v>30</v>
      </c>
      <c r="T24" s="296" t="str">
        <f t="shared" si="5"/>
        <v>--</v>
      </c>
      <c r="U24" s="302" t="str">
        <f t="shared" si="6"/>
        <v>--</v>
      </c>
      <c r="V24" s="315" t="str">
        <f t="shared" si="7"/>
        <v>--</v>
      </c>
      <c r="W24" s="316" t="str">
        <f t="shared" si="8"/>
        <v>--</v>
      </c>
      <c r="X24" s="323">
        <f t="shared" si="9"/>
        <v>619.3800000000001</v>
      </c>
      <c r="Y24" s="324">
        <f t="shared" si="10"/>
        <v>421.1784000000001</v>
      </c>
      <c r="Z24" s="336" t="str">
        <f t="shared" si="11"/>
        <v>--</v>
      </c>
      <c r="AA24" s="332" t="str">
        <f t="shared" si="12"/>
        <v>--</v>
      </c>
      <c r="AB24" s="51" t="s">
        <v>65</v>
      </c>
      <c r="AC24" s="25">
        <f t="shared" si="13"/>
        <v>1040.5584000000003</v>
      </c>
      <c r="AD24" s="344"/>
    </row>
    <row r="25" spans="1:30" s="7" customFormat="1" ht="16.5" customHeight="1">
      <c r="A25" s="138"/>
      <c r="B25" s="144"/>
      <c r="C25" s="48">
        <v>29</v>
      </c>
      <c r="D25" s="48">
        <v>285498</v>
      </c>
      <c r="E25" s="48">
        <v>3625</v>
      </c>
      <c r="F25" s="39" t="s">
        <v>83</v>
      </c>
      <c r="G25" s="38" t="s">
        <v>86</v>
      </c>
      <c r="H25" s="52">
        <v>50</v>
      </c>
      <c r="I25" s="232" t="s">
        <v>57</v>
      </c>
      <c r="J25" s="230">
        <f t="shared" si="0"/>
        <v>57.35</v>
      </c>
      <c r="K25" s="50">
        <v>42067.464583333334</v>
      </c>
      <c r="L25" s="50">
        <v>42067.493055555555</v>
      </c>
      <c r="M25" s="20">
        <f t="shared" si="1"/>
        <v>0.6833333332906477</v>
      </c>
      <c r="N25" s="21">
        <f t="shared" si="2"/>
        <v>41</v>
      </c>
      <c r="O25" s="51" t="s">
        <v>85</v>
      </c>
      <c r="P25" s="51" t="str">
        <f t="shared" si="3"/>
        <v>NO</v>
      </c>
      <c r="Q25" s="287">
        <v>60</v>
      </c>
      <c r="R25" s="51" t="s">
        <v>65</v>
      </c>
      <c r="S25" s="291">
        <f t="shared" si="4"/>
        <v>30</v>
      </c>
      <c r="T25" s="296" t="str">
        <f t="shared" si="5"/>
        <v>--</v>
      </c>
      <c r="U25" s="302" t="str">
        <f t="shared" si="6"/>
        <v>--</v>
      </c>
      <c r="V25" s="315" t="str">
        <f t="shared" si="7"/>
        <v>--</v>
      </c>
      <c r="W25" s="316" t="str">
        <f t="shared" si="8"/>
        <v>--</v>
      </c>
      <c r="X25" s="323">
        <f t="shared" si="9"/>
        <v>1032.3</v>
      </c>
      <c r="Y25" s="324">
        <f t="shared" si="10"/>
        <v>701.964</v>
      </c>
      <c r="Z25" s="336" t="str">
        <f t="shared" si="11"/>
        <v>--</v>
      </c>
      <c r="AA25" s="332" t="str">
        <f t="shared" si="12"/>
        <v>--</v>
      </c>
      <c r="AB25" s="51" t="s">
        <v>65</v>
      </c>
      <c r="AC25" s="25">
        <f t="shared" si="13"/>
        <v>1734.2640000000001</v>
      </c>
      <c r="AD25" s="344"/>
    </row>
    <row r="26" spans="1:30" s="7" customFormat="1" ht="16.5" customHeight="1">
      <c r="A26" s="138"/>
      <c r="B26" s="144"/>
      <c r="C26" s="48">
        <v>30</v>
      </c>
      <c r="D26" s="48">
        <v>285516</v>
      </c>
      <c r="E26" s="48">
        <v>5074</v>
      </c>
      <c r="F26" s="39" t="s">
        <v>80</v>
      </c>
      <c r="G26" s="38" t="s">
        <v>81</v>
      </c>
      <c r="H26" s="52">
        <v>50</v>
      </c>
      <c r="I26" s="232" t="s">
        <v>57</v>
      </c>
      <c r="J26" s="230">
        <f t="shared" si="0"/>
        <v>57.35</v>
      </c>
      <c r="K26" s="50">
        <v>42067.464583333334</v>
      </c>
      <c r="L26" s="50">
        <v>42067.48472222222</v>
      </c>
      <c r="M26" s="20">
        <f t="shared" si="1"/>
        <v>0.48333333333721384</v>
      </c>
      <c r="N26" s="21">
        <f t="shared" si="2"/>
        <v>29</v>
      </c>
      <c r="O26" s="51" t="s">
        <v>72</v>
      </c>
      <c r="P26" s="51" t="str">
        <f t="shared" si="3"/>
        <v>NO</v>
      </c>
      <c r="Q26" s="51" t="s">
        <v>82</v>
      </c>
      <c r="R26" s="51" t="s">
        <v>65</v>
      </c>
      <c r="S26" s="291">
        <f t="shared" si="4"/>
        <v>30</v>
      </c>
      <c r="T26" s="296" t="str">
        <f t="shared" si="5"/>
        <v>--</v>
      </c>
      <c r="U26" s="302" t="str">
        <f t="shared" si="6"/>
        <v>--</v>
      </c>
      <c r="V26" s="315">
        <f t="shared" si="7"/>
        <v>1720.5</v>
      </c>
      <c r="W26" s="316">
        <f t="shared" si="8"/>
        <v>825.8399999999999</v>
      </c>
      <c r="X26" s="323" t="str">
        <f t="shared" si="9"/>
        <v>--</v>
      </c>
      <c r="Y26" s="324" t="str">
        <f t="shared" si="10"/>
        <v>--</v>
      </c>
      <c r="Z26" s="336" t="str">
        <f t="shared" si="11"/>
        <v>--</v>
      </c>
      <c r="AA26" s="332" t="str">
        <f t="shared" si="12"/>
        <v>--</v>
      </c>
      <c r="AB26" s="51" t="s">
        <v>65</v>
      </c>
      <c r="AC26" s="25">
        <f t="shared" si="13"/>
        <v>2546.34</v>
      </c>
      <c r="AD26" s="344"/>
    </row>
    <row r="27" spans="1:30" s="7" customFormat="1" ht="16.5" customHeight="1">
      <c r="A27" s="138"/>
      <c r="B27" s="144"/>
      <c r="C27" s="48">
        <v>31</v>
      </c>
      <c r="D27" s="48">
        <v>285521</v>
      </c>
      <c r="E27" s="48">
        <v>770</v>
      </c>
      <c r="F27" s="39" t="s">
        <v>87</v>
      </c>
      <c r="G27" s="38" t="s">
        <v>81</v>
      </c>
      <c r="H27" s="52">
        <v>30</v>
      </c>
      <c r="I27" s="232" t="s">
        <v>57</v>
      </c>
      <c r="J27" s="230">
        <f t="shared" si="0"/>
        <v>34.410000000000004</v>
      </c>
      <c r="K27" s="50">
        <v>42069.825</v>
      </c>
      <c r="L27" s="50">
        <v>42069.89236111111</v>
      </c>
      <c r="M27" s="20">
        <f t="shared" si="1"/>
        <v>1.6166666666977108</v>
      </c>
      <c r="N27" s="21">
        <f t="shared" si="2"/>
        <v>97</v>
      </c>
      <c r="O27" s="51" t="s">
        <v>72</v>
      </c>
      <c r="P27" s="51" t="str">
        <f t="shared" si="3"/>
        <v>NO</v>
      </c>
      <c r="Q27" s="51" t="s">
        <v>82</v>
      </c>
      <c r="R27" s="51" t="s">
        <v>65</v>
      </c>
      <c r="S27" s="291">
        <f t="shared" si="4"/>
        <v>30</v>
      </c>
      <c r="T27" s="296" t="str">
        <f t="shared" si="5"/>
        <v>--</v>
      </c>
      <c r="U27" s="302" t="str">
        <f t="shared" si="6"/>
        <v>--</v>
      </c>
      <c r="V27" s="315">
        <f t="shared" si="7"/>
        <v>1032.3000000000002</v>
      </c>
      <c r="W27" s="316">
        <f t="shared" si="8"/>
        <v>1672.3260000000005</v>
      </c>
      <c r="X27" s="323" t="str">
        <f t="shared" si="9"/>
        <v>--</v>
      </c>
      <c r="Y27" s="324" t="str">
        <f t="shared" si="10"/>
        <v>--</v>
      </c>
      <c r="Z27" s="336" t="str">
        <f t="shared" si="11"/>
        <v>--</v>
      </c>
      <c r="AA27" s="332" t="str">
        <f t="shared" si="12"/>
        <v>--</v>
      </c>
      <c r="AB27" s="51" t="s">
        <v>65</v>
      </c>
      <c r="AC27" s="25">
        <f t="shared" si="13"/>
        <v>2704.6260000000007</v>
      </c>
      <c r="AD27" s="344"/>
    </row>
    <row r="28" spans="1:30" s="7" customFormat="1" ht="16.5" customHeight="1">
      <c r="A28" s="138"/>
      <c r="B28" s="144"/>
      <c r="C28" s="48">
        <v>32</v>
      </c>
      <c r="D28" s="48">
        <v>285522</v>
      </c>
      <c r="E28" s="48">
        <v>750</v>
      </c>
      <c r="F28" s="39" t="s">
        <v>77</v>
      </c>
      <c r="G28" s="38" t="s">
        <v>86</v>
      </c>
      <c r="H28" s="52">
        <v>15</v>
      </c>
      <c r="I28" s="232" t="s">
        <v>57</v>
      </c>
      <c r="J28" s="230">
        <f t="shared" si="0"/>
        <v>17.205000000000002</v>
      </c>
      <c r="K28" s="50">
        <v>42069.825</v>
      </c>
      <c r="L28" s="50">
        <v>42069.82916666667</v>
      </c>
      <c r="M28" s="20">
        <f t="shared" si="1"/>
        <v>0.10000000015133992</v>
      </c>
      <c r="N28" s="21">
        <f t="shared" si="2"/>
        <v>6</v>
      </c>
      <c r="O28" s="51" t="s">
        <v>72</v>
      </c>
      <c r="P28" s="51" t="str">
        <f t="shared" si="3"/>
        <v>NO</v>
      </c>
      <c r="Q28" s="51" t="s">
        <v>82</v>
      </c>
      <c r="R28" s="51" t="s">
        <v>65</v>
      </c>
      <c r="S28" s="291">
        <f t="shared" si="4"/>
        <v>30</v>
      </c>
      <c r="T28" s="296" t="str">
        <f t="shared" si="5"/>
        <v>--</v>
      </c>
      <c r="U28" s="302" t="str">
        <f t="shared" si="6"/>
        <v>--</v>
      </c>
      <c r="V28" s="315">
        <f t="shared" si="7"/>
        <v>516.1500000000001</v>
      </c>
      <c r="W28" s="316">
        <f t="shared" si="8"/>
        <v>51.61500000000001</v>
      </c>
      <c r="X28" s="323" t="str">
        <f t="shared" si="9"/>
        <v>--</v>
      </c>
      <c r="Y28" s="324" t="str">
        <f t="shared" si="10"/>
        <v>--</v>
      </c>
      <c r="Z28" s="336" t="str">
        <f t="shared" si="11"/>
        <v>--</v>
      </c>
      <c r="AA28" s="332" t="str">
        <f t="shared" si="12"/>
        <v>--</v>
      </c>
      <c r="AB28" s="51" t="s">
        <v>65</v>
      </c>
      <c r="AC28" s="25">
        <f t="shared" si="13"/>
        <v>567.7650000000001</v>
      </c>
      <c r="AD28" s="344"/>
    </row>
    <row r="29" spans="1:30" s="7" customFormat="1" ht="16.5" customHeight="1">
      <c r="A29" s="138"/>
      <c r="B29" s="144"/>
      <c r="C29" s="48">
        <v>33</v>
      </c>
      <c r="D29" s="48">
        <v>285523</v>
      </c>
      <c r="E29" s="48">
        <v>2662</v>
      </c>
      <c r="F29" s="39" t="s">
        <v>77</v>
      </c>
      <c r="G29" s="38" t="s">
        <v>88</v>
      </c>
      <c r="H29" s="52">
        <v>15</v>
      </c>
      <c r="I29" s="232" t="s">
        <v>57</v>
      </c>
      <c r="J29" s="230">
        <f t="shared" si="0"/>
        <v>17.205000000000002</v>
      </c>
      <c r="K29" s="50">
        <v>42069.825</v>
      </c>
      <c r="L29" s="50">
        <v>42069.82916666667</v>
      </c>
      <c r="M29" s="20">
        <f t="shared" si="1"/>
        <v>0.10000000015133992</v>
      </c>
      <c r="N29" s="21">
        <f t="shared" si="2"/>
        <v>6</v>
      </c>
      <c r="O29" s="51" t="s">
        <v>72</v>
      </c>
      <c r="P29" s="51" t="str">
        <f t="shared" si="3"/>
        <v>NO</v>
      </c>
      <c r="Q29" s="51" t="s">
        <v>82</v>
      </c>
      <c r="R29" s="51" t="s">
        <v>65</v>
      </c>
      <c r="S29" s="291">
        <f t="shared" si="4"/>
        <v>30</v>
      </c>
      <c r="T29" s="296" t="str">
        <f t="shared" si="5"/>
        <v>--</v>
      </c>
      <c r="U29" s="302" t="str">
        <f t="shared" si="6"/>
        <v>--</v>
      </c>
      <c r="V29" s="315">
        <f t="shared" si="7"/>
        <v>516.1500000000001</v>
      </c>
      <c r="W29" s="316">
        <f t="shared" si="8"/>
        <v>51.61500000000001</v>
      </c>
      <c r="X29" s="323" t="str">
        <f t="shared" si="9"/>
        <v>--</v>
      </c>
      <c r="Y29" s="324" t="str">
        <f t="shared" si="10"/>
        <v>--</v>
      </c>
      <c r="Z29" s="336" t="str">
        <f t="shared" si="11"/>
        <v>--</v>
      </c>
      <c r="AA29" s="332" t="str">
        <f t="shared" si="12"/>
        <v>--</v>
      </c>
      <c r="AB29" s="51" t="s">
        <v>65</v>
      </c>
      <c r="AC29" s="25">
        <f t="shared" si="13"/>
        <v>567.7650000000001</v>
      </c>
      <c r="AD29" s="344"/>
    </row>
    <row r="30" spans="1:30" s="7" customFormat="1" ht="16.5" customHeight="1">
      <c r="A30" s="138"/>
      <c r="B30" s="144"/>
      <c r="C30" s="48">
        <v>34</v>
      </c>
      <c r="D30" s="48">
        <v>285524</v>
      </c>
      <c r="E30" s="48">
        <v>752</v>
      </c>
      <c r="F30" s="39" t="s">
        <v>77</v>
      </c>
      <c r="G30" s="38" t="s">
        <v>78</v>
      </c>
      <c r="H30" s="52">
        <v>30</v>
      </c>
      <c r="I30" s="232" t="s">
        <v>57</v>
      </c>
      <c r="J30" s="230">
        <f t="shared" si="0"/>
        <v>34.410000000000004</v>
      </c>
      <c r="K30" s="50">
        <v>42069.825</v>
      </c>
      <c r="L30" s="50">
        <v>42069.82916666667</v>
      </c>
      <c r="M30" s="20">
        <f t="shared" si="1"/>
        <v>0.10000000015133992</v>
      </c>
      <c r="N30" s="21">
        <f t="shared" si="2"/>
        <v>6</v>
      </c>
      <c r="O30" s="51" t="s">
        <v>72</v>
      </c>
      <c r="P30" s="51" t="str">
        <f t="shared" si="3"/>
        <v>NO</v>
      </c>
      <c r="Q30" s="51" t="s">
        <v>82</v>
      </c>
      <c r="R30" s="51" t="s">
        <v>65</v>
      </c>
      <c r="S30" s="291">
        <f t="shared" si="4"/>
        <v>30</v>
      </c>
      <c r="T30" s="296" t="str">
        <f t="shared" si="5"/>
        <v>--</v>
      </c>
      <c r="U30" s="302" t="str">
        <f t="shared" si="6"/>
        <v>--</v>
      </c>
      <c r="V30" s="315">
        <f t="shared" si="7"/>
        <v>1032.3000000000002</v>
      </c>
      <c r="W30" s="316">
        <f t="shared" si="8"/>
        <v>103.23000000000002</v>
      </c>
      <c r="X30" s="323" t="str">
        <f t="shared" si="9"/>
        <v>--</v>
      </c>
      <c r="Y30" s="324" t="str">
        <f t="shared" si="10"/>
        <v>--</v>
      </c>
      <c r="Z30" s="336" t="str">
        <f t="shared" si="11"/>
        <v>--</v>
      </c>
      <c r="AA30" s="332" t="str">
        <f t="shared" si="12"/>
        <v>--</v>
      </c>
      <c r="AB30" s="51" t="s">
        <v>65</v>
      </c>
      <c r="AC30" s="25">
        <f t="shared" si="13"/>
        <v>1135.5300000000002</v>
      </c>
      <c r="AD30" s="344"/>
    </row>
    <row r="31" spans="1:30" s="7" customFormat="1" ht="16.5" customHeight="1">
      <c r="A31" s="138"/>
      <c r="B31" s="144"/>
      <c r="C31" s="48">
        <v>35</v>
      </c>
      <c r="D31" s="48">
        <v>285525</v>
      </c>
      <c r="E31" s="48">
        <v>753</v>
      </c>
      <c r="F31" s="39" t="s">
        <v>77</v>
      </c>
      <c r="G31" s="38" t="s">
        <v>89</v>
      </c>
      <c r="H31" s="52">
        <v>30</v>
      </c>
      <c r="I31" s="232" t="s">
        <v>57</v>
      </c>
      <c r="J31" s="230">
        <f t="shared" si="0"/>
        <v>34.410000000000004</v>
      </c>
      <c r="K31" s="50">
        <v>42069.825</v>
      </c>
      <c r="L31" s="50">
        <v>42069.82916666667</v>
      </c>
      <c r="M31" s="20">
        <f t="shared" si="1"/>
        <v>0.10000000015133992</v>
      </c>
      <c r="N31" s="21">
        <f t="shared" si="2"/>
        <v>6</v>
      </c>
      <c r="O31" s="51" t="s">
        <v>72</v>
      </c>
      <c r="P31" s="51" t="str">
        <f t="shared" si="3"/>
        <v>NO</v>
      </c>
      <c r="Q31" s="51" t="s">
        <v>82</v>
      </c>
      <c r="R31" s="51" t="s">
        <v>65</v>
      </c>
      <c r="S31" s="291">
        <f t="shared" si="4"/>
        <v>30</v>
      </c>
      <c r="T31" s="296" t="str">
        <f t="shared" si="5"/>
        <v>--</v>
      </c>
      <c r="U31" s="302" t="str">
        <f t="shared" si="6"/>
        <v>--</v>
      </c>
      <c r="V31" s="315">
        <f t="shared" si="7"/>
        <v>1032.3000000000002</v>
      </c>
      <c r="W31" s="316">
        <f t="shared" si="8"/>
        <v>103.23000000000002</v>
      </c>
      <c r="X31" s="323" t="str">
        <f t="shared" si="9"/>
        <v>--</v>
      </c>
      <c r="Y31" s="324" t="str">
        <f t="shared" si="10"/>
        <v>--</v>
      </c>
      <c r="Z31" s="336" t="str">
        <f t="shared" si="11"/>
        <v>--</v>
      </c>
      <c r="AA31" s="332" t="str">
        <f t="shared" si="12"/>
        <v>--</v>
      </c>
      <c r="AB31" s="51" t="s">
        <v>65</v>
      </c>
      <c r="AC31" s="25">
        <f t="shared" si="13"/>
        <v>1135.5300000000002</v>
      </c>
      <c r="AD31" s="344"/>
    </row>
    <row r="32" spans="1:30" s="7" customFormat="1" ht="16.5" customHeight="1">
      <c r="A32" s="138"/>
      <c r="B32" s="144"/>
      <c r="C32" s="48">
        <v>36</v>
      </c>
      <c r="D32" s="48">
        <v>285553</v>
      </c>
      <c r="E32" s="48">
        <v>752</v>
      </c>
      <c r="F32" s="39" t="s">
        <v>77</v>
      </c>
      <c r="G32" s="38" t="s">
        <v>78</v>
      </c>
      <c r="H32" s="52">
        <v>30</v>
      </c>
      <c r="I32" s="232" t="s">
        <v>57</v>
      </c>
      <c r="J32" s="230">
        <f t="shared" si="0"/>
        <v>34.410000000000004</v>
      </c>
      <c r="K32" s="50">
        <v>42069.82986111111</v>
      </c>
      <c r="L32" s="50">
        <v>42094.99930555555</v>
      </c>
      <c r="M32" s="20">
        <f t="shared" si="1"/>
        <v>604.0666666666511</v>
      </c>
      <c r="N32" s="21">
        <f t="shared" si="2"/>
        <v>36244</v>
      </c>
      <c r="O32" s="51" t="s">
        <v>79</v>
      </c>
      <c r="P32" s="51" t="str">
        <f t="shared" si="3"/>
        <v>--</v>
      </c>
      <c r="Q32" s="287">
        <v>50</v>
      </c>
      <c r="R32" s="51" t="str">
        <f>IF(F32="","","NO")</f>
        <v>NO</v>
      </c>
      <c r="S32" s="291">
        <f t="shared" si="4"/>
        <v>0.30000000000000004</v>
      </c>
      <c r="T32" s="296" t="str">
        <f t="shared" si="5"/>
        <v>--</v>
      </c>
      <c r="U32" s="302">
        <f t="shared" si="6"/>
        <v>3117.907305000001</v>
      </c>
      <c r="V32" s="315" t="str">
        <f t="shared" si="7"/>
        <v>--</v>
      </c>
      <c r="W32" s="316" t="str">
        <f t="shared" si="8"/>
        <v>--</v>
      </c>
      <c r="X32" s="323" t="str">
        <f t="shared" si="9"/>
        <v>--</v>
      </c>
      <c r="Y32" s="324" t="str">
        <f t="shared" si="10"/>
        <v>--</v>
      </c>
      <c r="Z32" s="336" t="str">
        <f t="shared" si="11"/>
        <v>--</v>
      </c>
      <c r="AA32" s="332" t="str">
        <f t="shared" si="12"/>
        <v>--</v>
      </c>
      <c r="AB32" s="51" t="s">
        <v>65</v>
      </c>
      <c r="AC32" s="25">
        <f t="shared" si="13"/>
        <v>3117.907305000001</v>
      </c>
      <c r="AD32" s="344"/>
    </row>
    <row r="33" spans="1:30" s="7" customFormat="1" ht="16.5" customHeight="1">
      <c r="A33" s="138"/>
      <c r="B33" s="144"/>
      <c r="C33" s="48">
        <v>37</v>
      </c>
      <c r="D33" s="48">
        <v>285550</v>
      </c>
      <c r="E33" s="48">
        <v>770</v>
      </c>
      <c r="F33" s="39" t="s">
        <v>87</v>
      </c>
      <c r="G33" s="38" t="s">
        <v>81</v>
      </c>
      <c r="H33" s="52">
        <v>30</v>
      </c>
      <c r="I33" s="232" t="s">
        <v>57</v>
      </c>
      <c r="J33" s="230">
        <f t="shared" si="0"/>
        <v>34.410000000000004</v>
      </c>
      <c r="K33" s="50">
        <v>42069.893055555556</v>
      </c>
      <c r="L33" s="50">
        <v>42072.399305555555</v>
      </c>
      <c r="M33" s="20">
        <f t="shared" si="1"/>
        <v>60.149999999965075</v>
      </c>
      <c r="N33" s="21">
        <f t="shared" si="2"/>
        <v>3609</v>
      </c>
      <c r="O33" s="51" t="s">
        <v>85</v>
      </c>
      <c r="P33" s="51" t="str">
        <f t="shared" si="3"/>
        <v>NO</v>
      </c>
      <c r="Q33" s="287">
        <v>40</v>
      </c>
      <c r="R33" s="51" t="str">
        <f>IF(F33="","","NO")</f>
        <v>NO</v>
      </c>
      <c r="S33" s="291">
        <f t="shared" si="4"/>
        <v>3</v>
      </c>
      <c r="T33" s="296" t="str">
        <f t="shared" si="5"/>
        <v>--</v>
      </c>
      <c r="U33" s="302" t="str">
        <f t="shared" si="6"/>
        <v>--</v>
      </c>
      <c r="V33" s="315" t="str">
        <f t="shared" si="7"/>
        <v>--</v>
      </c>
      <c r="W33" s="316" t="str">
        <f t="shared" si="8"/>
        <v>--</v>
      </c>
      <c r="X33" s="323">
        <f t="shared" si="9"/>
        <v>41.29200000000001</v>
      </c>
      <c r="Y33" s="324">
        <f t="shared" si="10"/>
        <v>2483.7138000000004</v>
      </c>
      <c r="Z33" s="336" t="str">
        <f t="shared" si="11"/>
        <v>--</v>
      </c>
      <c r="AA33" s="332" t="str">
        <f t="shared" si="12"/>
        <v>--</v>
      </c>
      <c r="AB33" s="51" t="s">
        <v>65</v>
      </c>
      <c r="AC33" s="25">
        <f t="shared" si="13"/>
        <v>2525.0058000000004</v>
      </c>
      <c r="AD33" s="344"/>
    </row>
    <row r="34" spans="1:30" s="7" customFormat="1" ht="16.5" customHeight="1">
      <c r="A34" s="138"/>
      <c r="B34" s="144"/>
      <c r="C34" s="48">
        <v>38</v>
      </c>
      <c r="D34" s="48">
        <v>286120</v>
      </c>
      <c r="E34" s="48">
        <v>759</v>
      </c>
      <c r="F34" s="39" t="s">
        <v>83</v>
      </c>
      <c r="G34" s="38" t="s">
        <v>84</v>
      </c>
      <c r="H34" s="52">
        <v>30</v>
      </c>
      <c r="I34" s="232" t="s">
        <v>57</v>
      </c>
      <c r="J34" s="230">
        <f t="shared" si="0"/>
        <v>34.410000000000004</v>
      </c>
      <c r="K34" s="50">
        <v>42077.146527777775</v>
      </c>
      <c r="L34" s="50">
        <v>42077.16180555556</v>
      </c>
      <c r="M34" s="20">
        <f t="shared" si="1"/>
        <v>0.3666666668141261</v>
      </c>
      <c r="N34" s="21">
        <f t="shared" si="2"/>
        <v>22</v>
      </c>
      <c r="O34" s="51" t="s">
        <v>72</v>
      </c>
      <c r="P34" s="51" t="str">
        <f t="shared" si="3"/>
        <v>NO</v>
      </c>
      <c r="Q34" s="51" t="s">
        <v>82</v>
      </c>
      <c r="R34" s="51" t="s">
        <v>65</v>
      </c>
      <c r="S34" s="291">
        <f t="shared" si="4"/>
        <v>30</v>
      </c>
      <c r="T34" s="296" t="str">
        <f t="shared" si="5"/>
        <v>--</v>
      </c>
      <c r="U34" s="302" t="str">
        <f t="shared" si="6"/>
        <v>--</v>
      </c>
      <c r="V34" s="315">
        <f t="shared" si="7"/>
        <v>1032.3000000000002</v>
      </c>
      <c r="W34" s="316">
        <f t="shared" si="8"/>
        <v>381.9510000000001</v>
      </c>
      <c r="X34" s="323" t="str">
        <f t="shared" si="9"/>
        <v>--</v>
      </c>
      <c r="Y34" s="324" t="str">
        <f t="shared" si="10"/>
        <v>--</v>
      </c>
      <c r="Z34" s="336" t="str">
        <f t="shared" si="11"/>
        <v>--</v>
      </c>
      <c r="AA34" s="332" t="str">
        <f t="shared" si="12"/>
        <v>--</v>
      </c>
      <c r="AB34" s="51" t="s">
        <v>65</v>
      </c>
      <c r="AC34" s="25">
        <f t="shared" si="13"/>
        <v>1414.2510000000002</v>
      </c>
      <c r="AD34" s="344"/>
    </row>
    <row r="35" spans="1:30" s="7" customFormat="1" ht="16.5" customHeight="1">
      <c r="A35" s="138"/>
      <c r="B35" s="144"/>
      <c r="C35" s="48">
        <v>39</v>
      </c>
      <c r="D35" s="48">
        <v>286121</v>
      </c>
      <c r="E35" s="48">
        <v>3625</v>
      </c>
      <c r="F35" s="39" t="s">
        <v>83</v>
      </c>
      <c r="G35" s="38" t="s">
        <v>86</v>
      </c>
      <c r="H35" s="52">
        <v>50</v>
      </c>
      <c r="I35" s="232" t="s">
        <v>57</v>
      </c>
      <c r="J35" s="230">
        <f t="shared" si="0"/>
        <v>57.35</v>
      </c>
      <c r="K35" s="50">
        <v>42077.146527777775</v>
      </c>
      <c r="L35" s="50">
        <v>42077.16180555556</v>
      </c>
      <c r="M35" s="20">
        <f t="shared" si="1"/>
        <v>0.3666666668141261</v>
      </c>
      <c r="N35" s="21">
        <f t="shared" si="2"/>
        <v>22</v>
      </c>
      <c r="O35" s="51" t="s">
        <v>72</v>
      </c>
      <c r="P35" s="51" t="str">
        <f t="shared" si="3"/>
        <v>NO</v>
      </c>
      <c r="Q35" s="51" t="s">
        <v>82</v>
      </c>
      <c r="R35" s="51" t="s">
        <v>65</v>
      </c>
      <c r="S35" s="291">
        <f t="shared" si="4"/>
        <v>30</v>
      </c>
      <c r="T35" s="296" t="str">
        <f t="shared" si="5"/>
        <v>--</v>
      </c>
      <c r="U35" s="302" t="str">
        <f t="shared" si="6"/>
        <v>--</v>
      </c>
      <c r="V35" s="315">
        <f t="shared" si="7"/>
        <v>1720.5</v>
      </c>
      <c r="W35" s="316">
        <f t="shared" si="8"/>
        <v>636.585</v>
      </c>
      <c r="X35" s="323" t="str">
        <f t="shared" si="9"/>
        <v>--</v>
      </c>
      <c r="Y35" s="324" t="str">
        <f t="shared" si="10"/>
        <v>--</v>
      </c>
      <c r="Z35" s="336" t="str">
        <f t="shared" si="11"/>
        <v>--</v>
      </c>
      <c r="AA35" s="332" t="str">
        <f t="shared" si="12"/>
        <v>--</v>
      </c>
      <c r="AB35" s="51" t="s">
        <v>65</v>
      </c>
      <c r="AC35" s="25">
        <f t="shared" si="13"/>
        <v>2357.085</v>
      </c>
      <c r="AD35" s="344"/>
    </row>
    <row r="36" spans="1:30" s="7" customFormat="1" ht="16.5" customHeight="1">
      <c r="A36" s="138"/>
      <c r="B36" s="144"/>
      <c r="C36" s="48">
        <v>40</v>
      </c>
      <c r="D36" s="48">
        <v>286122</v>
      </c>
      <c r="E36" s="48">
        <v>5074</v>
      </c>
      <c r="F36" s="39" t="s">
        <v>80</v>
      </c>
      <c r="G36" s="38" t="s">
        <v>81</v>
      </c>
      <c r="H36" s="52">
        <v>50</v>
      </c>
      <c r="I36" s="232" t="s">
        <v>57</v>
      </c>
      <c r="J36" s="230">
        <f t="shared" si="0"/>
        <v>57.35</v>
      </c>
      <c r="K36" s="50">
        <v>42077.146527777775</v>
      </c>
      <c r="L36" s="50">
        <v>42077.177777777775</v>
      </c>
      <c r="M36" s="20">
        <f t="shared" si="1"/>
        <v>0.75</v>
      </c>
      <c r="N36" s="21">
        <f t="shared" si="2"/>
        <v>45</v>
      </c>
      <c r="O36" s="51" t="s">
        <v>72</v>
      </c>
      <c r="P36" s="51" t="str">
        <f t="shared" si="3"/>
        <v>NO</v>
      </c>
      <c r="Q36" s="51" t="s">
        <v>82</v>
      </c>
      <c r="R36" s="51" t="s">
        <v>65</v>
      </c>
      <c r="S36" s="291">
        <f t="shared" si="4"/>
        <v>30</v>
      </c>
      <c r="T36" s="296" t="str">
        <f t="shared" si="5"/>
        <v>--</v>
      </c>
      <c r="U36" s="302" t="str">
        <f t="shared" si="6"/>
        <v>--</v>
      </c>
      <c r="V36" s="315">
        <f t="shared" si="7"/>
        <v>1720.5</v>
      </c>
      <c r="W36" s="316">
        <f t="shared" si="8"/>
        <v>1290.375</v>
      </c>
      <c r="X36" s="323" t="str">
        <f t="shared" si="9"/>
        <v>--</v>
      </c>
      <c r="Y36" s="324" t="str">
        <f t="shared" si="10"/>
        <v>--</v>
      </c>
      <c r="Z36" s="336" t="str">
        <f t="shared" si="11"/>
        <v>--</v>
      </c>
      <c r="AA36" s="332" t="str">
        <f t="shared" si="12"/>
        <v>--</v>
      </c>
      <c r="AB36" s="51" t="s">
        <v>65</v>
      </c>
      <c r="AC36" s="25">
        <f t="shared" si="13"/>
        <v>3010.875</v>
      </c>
      <c r="AD36" s="344"/>
    </row>
    <row r="37" spans="1:30" s="7" customFormat="1" ht="16.5" customHeight="1">
      <c r="A37" s="138"/>
      <c r="B37" s="144"/>
      <c r="C37" s="48">
        <v>41</v>
      </c>
      <c r="D37" s="48">
        <v>286123</v>
      </c>
      <c r="E37" s="48">
        <v>771</v>
      </c>
      <c r="F37" s="39" t="s">
        <v>90</v>
      </c>
      <c r="G37" s="38" t="s">
        <v>81</v>
      </c>
      <c r="H37" s="52">
        <v>30</v>
      </c>
      <c r="I37" s="232" t="s">
        <v>57</v>
      </c>
      <c r="J37" s="230">
        <f t="shared" si="0"/>
        <v>34.410000000000004</v>
      </c>
      <c r="K37" s="50">
        <v>42077.146527777775</v>
      </c>
      <c r="L37" s="50">
        <v>42077.152083333334</v>
      </c>
      <c r="M37" s="20">
        <f t="shared" si="1"/>
        <v>0.13333333341870457</v>
      </c>
      <c r="N37" s="21">
        <f t="shared" si="2"/>
        <v>8</v>
      </c>
      <c r="O37" s="51" t="s">
        <v>72</v>
      </c>
      <c r="P37" s="51" t="str">
        <f t="shared" si="3"/>
        <v>NO</v>
      </c>
      <c r="Q37" s="51" t="s">
        <v>82</v>
      </c>
      <c r="R37" s="51" t="str">
        <f>IF(F37="","","NO")</f>
        <v>NO</v>
      </c>
      <c r="S37" s="291">
        <f t="shared" si="4"/>
        <v>3</v>
      </c>
      <c r="T37" s="296" t="str">
        <f t="shared" si="5"/>
        <v>--</v>
      </c>
      <c r="U37" s="302" t="str">
        <f t="shared" si="6"/>
        <v>--</v>
      </c>
      <c r="V37" s="315">
        <f t="shared" si="7"/>
        <v>103.23000000000002</v>
      </c>
      <c r="W37" s="316">
        <f t="shared" si="8"/>
        <v>13.419900000000002</v>
      </c>
      <c r="X37" s="323" t="str">
        <f t="shared" si="9"/>
        <v>--</v>
      </c>
      <c r="Y37" s="324" t="str">
        <f t="shared" si="10"/>
        <v>--</v>
      </c>
      <c r="Z37" s="336" t="str">
        <f t="shared" si="11"/>
        <v>--</v>
      </c>
      <c r="AA37" s="332" t="str">
        <f t="shared" si="12"/>
        <v>--</v>
      </c>
      <c r="AB37" s="51" t="s">
        <v>65</v>
      </c>
      <c r="AC37" s="25">
        <f t="shared" si="13"/>
        <v>116.64990000000002</v>
      </c>
      <c r="AD37" s="145"/>
    </row>
    <row r="38" spans="1:30" s="7" customFormat="1" ht="16.5" customHeight="1">
      <c r="A38" s="138"/>
      <c r="B38" s="144"/>
      <c r="C38" s="48">
        <v>42</v>
      </c>
      <c r="D38" s="48">
        <v>286124</v>
      </c>
      <c r="E38" s="48">
        <v>4072</v>
      </c>
      <c r="F38" s="39" t="s">
        <v>90</v>
      </c>
      <c r="G38" s="38" t="s">
        <v>86</v>
      </c>
      <c r="H38" s="52">
        <v>30</v>
      </c>
      <c r="I38" s="232" t="s">
        <v>57</v>
      </c>
      <c r="J38" s="230">
        <f t="shared" si="0"/>
        <v>34.410000000000004</v>
      </c>
      <c r="K38" s="50">
        <v>42077.146527777775</v>
      </c>
      <c r="L38" s="50">
        <v>42077.152083333334</v>
      </c>
      <c r="M38" s="20">
        <f t="shared" si="1"/>
        <v>0.13333333341870457</v>
      </c>
      <c r="N38" s="21">
        <f t="shared" si="2"/>
        <v>8</v>
      </c>
      <c r="O38" s="51" t="s">
        <v>72</v>
      </c>
      <c r="P38" s="51" t="str">
        <f t="shared" si="3"/>
        <v>NO</v>
      </c>
      <c r="Q38" s="51" t="s">
        <v>82</v>
      </c>
      <c r="R38" s="51" t="str">
        <f>IF(F38="","","NO")</f>
        <v>NO</v>
      </c>
      <c r="S38" s="291">
        <f t="shared" si="4"/>
        <v>3</v>
      </c>
      <c r="T38" s="296" t="str">
        <f t="shared" si="5"/>
        <v>--</v>
      </c>
      <c r="U38" s="302" t="str">
        <f t="shared" si="6"/>
        <v>--</v>
      </c>
      <c r="V38" s="315">
        <f t="shared" si="7"/>
        <v>103.23000000000002</v>
      </c>
      <c r="W38" s="316">
        <f t="shared" si="8"/>
        <v>13.419900000000002</v>
      </c>
      <c r="X38" s="323" t="str">
        <f t="shared" si="9"/>
        <v>--</v>
      </c>
      <c r="Y38" s="324" t="str">
        <f t="shared" si="10"/>
        <v>--</v>
      </c>
      <c r="Z38" s="336" t="str">
        <f t="shared" si="11"/>
        <v>--</v>
      </c>
      <c r="AA38" s="332" t="str">
        <f t="shared" si="12"/>
        <v>--</v>
      </c>
      <c r="AB38" s="51" t="s">
        <v>65</v>
      </c>
      <c r="AC38" s="25">
        <f t="shared" si="13"/>
        <v>116.64990000000002</v>
      </c>
      <c r="AD38" s="145"/>
    </row>
    <row r="39" spans="1:30" s="7" customFormat="1" ht="16.5" customHeight="1">
      <c r="A39" s="138"/>
      <c r="B39" s="144"/>
      <c r="C39" s="48">
        <v>43</v>
      </c>
      <c r="D39" s="48">
        <v>286186</v>
      </c>
      <c r="E39" s="48">
        <v>3305</v>
      </c>
      <c r="F39" s="39" t="s">
        <v>91</v>
      </c>
      <c r="G39" s="38" t="s">
        <v>81</v>
      </c>
      <c r="H39" s="52">
        <v>30</v>
      </c>
      <c r="I39" s="232" t="s">
        <v>92</v>
      </c>
      <c r="J39" s="230">
        <f>H39*$I$16</f>
        <v>34.410000000000004</v>
      </c>
      <c r="K39" s="50">
        <v>42077.597916666666</v>
      </c>
      <c r="L39" s="50">
        <v>42077.61944444444</v>
      </c>
      <c r="M39" s="20">
        <f>IF(F39="","",(L39-K39)*24)</f>
        <v>0.5166666666045785</v>
      </c>
      <c r="N39" s="21">
        <f>IF(F39="","",ROUND((L39-K39)*24*60,0))</f>
        <v>31</v>
      </c>
      <c r="O39" s="51" t="s">
        <v>72</v>
      </c>
      <c r="P39" s="51" t="str">
        <f t="shared" si="3"/>
        <v>NO</v>
      </c>
      <c r="Q39" s="51" t="s">
        <v>82</v>
      </c>
      <c r="R39" s="51" t="s">
        <v>65</v>
      </c>
      <c r="S39" s="291">
        <f>$I$17*IF(OR(O39="P",O39="RP"),0.1,1)*IF(R39="SI",1,0.1)</f>
        <v>30</v>
      </c>
      <c r="T39" s="296" t="str">
        <f>IF(O39="P",J39*S39*ROUND(N39/60,2),"--")</f>
        <v>--</v>
      </c>
      <c r="U39" s="302" t="str">
        <f>IF(O39="RP",J39*S39*ROUND(N39/60,2)*Q39/100,"--")</f>
        <v>--</v>
      </c>
      <c r="V39" s="315">
        <f>IF(AND(O39="F",P39="NO"),J39*S39,"--")</f>
        <v>1032.3000000000002</v>
      </c>
      <c r="W39" s="316">
        <f>IF(O39="F",J39*S39*ROUND(N39/60,2),"--")</f>
        <v>536.7960000000002</v>
      </c>
      <c r="X39" s="323" t="str">
        <f>IF(AND(O39="R",P39="NO"),J39*S39*Q39/100,"--")</f>
        <v>--</v>
      </c>
      <c r="Y39" s="324" t="str">
        <f>IF(O39="R",J39*S39*ROUND(N39/60,2)*Q39/100,"--")</f>
        <v>--</v>
      </c>
      <c r="Z39" s="336" t="str">
        <f>IF(O39="RF",J39*S39*ROUND(N39/60,2),"--")</f>
        <v>--</v>
      </c>
      <c r="AA39" s="332" t="str">
        <f>IF(O39="RR",J39*S39*ROUND(N39/60,2)*Q39/100,"--")</f>
        <v>--</v>
      </c>
      <c r="AB39" s="51" t="s">
        <v>65</v>
      </c>
      <c r="AC39" s="25">
        <f t="shared" si="13"/>
        <v>1569.0960000000005</v>
      </c>
      <c r="AD39" s="145"/>
    </row>
    <row r="40" spans="1:30" s="7" customFormat="1" ht="16.5" customHeight="1">
      <c r="A40" s="138"/>
      <c r="B40" s="144"/>
      <c r="C40" s="48">
        <v>44</v>
      </c>
      <c r="D40" s="48">
        <v>286187</v>
      </c>
      <c r="E40" s="48">
        <v>765</v>
      </c>
      <c r="F40" s="39" t="s">
        <v>91</v>
      </c>
      <c r="G40" s="38" t="s">
        <v>93</v>
      </c>
      <c r="H40" s="52">
        <v>15</v>
      </c>
      <c r="I40" s="232" t="s">
        <v>57</v>
      </c>
      <c r="J40" s="230">
        <f>H40*$I$16</f>
        <v>17.205000000000002</v>
      </c>
      <c r="K40" s="50">
        <v>42077.597916666666</v>
      </c>
      <c r="L40" s="50">
        <v>42077.61944444444</v>
      </c>
      <c r="M40" s="20">
        <f>IF(F40="","",(L40-K40)*24)</f>
        <v>0.5166666666045785</v>
      </c>
      <c r="N40" s="21">
        <f>IF(F40="","",ROUND((L40-K40)*24*60,0))</f>
        <v>31</v>
      </c>
      <c r="O40" s="51" t="s">
        <v>72</v>
      </c>
      <c r="P40" s="51" t="str">
        <f t="shared" si="3"/>
        <v>NO</v>
      </c>
      <c r="Q40" s="51" t="s">
        <v>82</v>
      </c>
      <c r="R40" s="51" t="s">
        <v>65</v>
      </c>
      <c r="S40" s="291">
        <f>$I$17*IF(OR(O40="P",O40="RP"),0.1,1)*IF(R40="SI",1,0.1)</f>
        <v>30</v>
      </c>
      <c r="T40" s="296" t="str">
        <f>IF(O40="P",J40*S40*ROUND(N40/60,2),"--")</f>
        <v>--</v>
      </c>
      <c r="U40" s="302" t="str">
        <f>IF(O40="RP",J40*S40*ROUND(N40/60,2)*Q40/100,"--")</f>
        <v>--</v>
      </c>
      <c r="V40" s="315">
        <f>IF(AND(O40="F",P40="NO"),J40*S40,"--")</f>
        <v>516.1500000000001</v>
      </c>
      <c r="W40" s="316">
        <f>IF(O40="F",J40*S40*ROUND(N40/60,2),"--")</f>
        <v>268.3980000000001</v>
      </c>
      <c r="X40" s="323" t="str">
        <f>IF(AND(O40="R",P40="NO"),J40*S40*Q40/100,"--")</f>
        <v>--</v>
      </c>
      <c r="Y40" s="324" t="str">
        <f>IF(O40="R",J40*S40*ROUND(N40/60,2)*Q40/100,"--")</f>
        <v>--</v>
      </c>
      <c r="Z40" s="336" t="str">
        <f>IF(O40="RF",J40*S40*ROUND(N40/60,2),"--")</f>
        <v>--</v>
      </c>
      <c r="AA40" s="332" t="str">
        <f>IF(O40="RR",J40*S40*ROUND(N40/60,2)*Q40/100,"--")</f>
        <v>--</v>
      </c>
      <c r="AB40" s="51" t="s">
        <v>65</v>
      </c>
      <c r="AC40" s="25">
        <f t="shared" si="13"/>
        <v>784.5480000000002</v>
      </c>
      <c r="AD40" s="145"/>
    </row>
    <row r="41" spans="1:30" s="7" customFormat="1" ht="16.5" customHeight="1">
      <c r="A41" s="138"/>
      <c r="B41" s="144"/>
      <c r="C41" s="48"/>
      <c r="D41" s="48"/>
      <c r="E41" s="48"/>
      <c r="F41" s="39"/>
      <c r="G41" s="38"/>
      <c r="H41" s="52"/>
      <c r="I41" s="49"/>
      <c r="J41" s="230">
        <f>H41*$I$16</f>
        <v>0</v>
      </c>
      <c r="K41" s="50"/>
      <c r="L41" s="50"/>
      <c r="M41" s="20">
        <f>IF(F41="","",(L41-K41)*24)</f>
      </c>
      <c r="N41" s="21">
        <f>IF(F41="","",ROUND((L41-K41)*24*60,0))</f>
      </c>
      <c r="O41" s="51"/>
      <c r="P41" s="51">
        <f t="shared" si="3"/>
      </c>
      <c r="Q41" s="287">
        <f>IF(F41="","","--")</f>
      </c>
      <c r="R41" s="51">
        <f>IF(F41="","","NO")</f>
      </c>
      <c r="S41" s="291">
        <f>$I$17*IF(OR(O41="P",O41="RP"),0.1,1)*IF(R41="SI",1,0.1)</f>
        <v>3</v>
      </c>
      <c r="T41" s="296" t="str">
        <f>IF(O41="P",J41*S41*ROUND(N41/60,2),"--")</f>
        <v>--</v>
      </c>
      <c r="U41" s="302" t="str">
        <f>IF(O41="RP",J41*S41*ROUND(N41/60,2)*Q41/100,"--")</f>
        <v>--</v>
      </c>
      <c r="V41" s="315" t="str">
        <f>IF(AND(O41="F",P41="NO"),J41*S41,"--")</f>
        <v>--</v>
      </c>
      <c r="W41" s="316" t="str">
        <f>IF(O41="F",J41*S41*ROUND(N41/60,2),"--")</f>
        <v>--</v>
      </c>
      <c r="X41" s="323" t="str">
        <f>IF(AND(O41="R",P41="NO"),J41*S41*Q41/100,"--")</f>
        <v>--</v>
      </c>
      <c r="Y41" s="324" t="str">
        <f>IF(O41="R",J41*S41*ROUND(N41/60,2)*Q41/100,"--")</f>
        <v>--</v>
      </c>
      <c r="Z41" s="336" t="str">
        <f>IF(O41="RF",J41*S41*ROUND(N41/60,2),"--")</f>
        <v>--</v>
      </c>
      <c r="AA41" s="332" t="str">
        <f>IF(O41="RR",J41*S41*ROUND(N41/60,2)*Q41/100,"--")</f>
        <v>--</v>
      </c>
      <c r="AB41" s="51">
        <f>IF(F41="","","SI")</f>
      </c>
      <c r="AC41" s="25">
        <f t="shared" si="13"/>
      </c>
      <c r="AD41" s="145"/>
    </row>
    <row r="42" spans="1:30" s="7" customFormat="1" ht="16.5" customHeight="1" thickBot="1">
      <c r="A42" s="138"/>
      <c r="B42" s="144"/>
      <c r="C42" s="360"/>
      <c r="D42" s="360"/>
      <c r="E42" s="360"/>
      <c r="F42" s="360"/>
      <c r="G42" s="360"/>
      <c r="H42" s="360"/>
      <c r="I42" s="360"/>
      <c r="J42" s="286"/>
      <c r="K42" s="360"/>
      <c r="L42" s="360"/>
      <c r="M42" s="22"/>
      <c r="N42" s="22"/>
      <c r="O42" s="360"/>
      <c r="P42" s="22"/>
      <c r="Q42" s="360"/>
      <c r="R42" s="360"/>
      <c r="S42" s="292"/>
      <c r="T42" s="297"/>
      <c r="U42" s="303"/>
      <c r="V42" s="342"/>
      <c r="W42" s="341"/>
      <c r="X42" s="325"/>
      <c r="Y42" s="326"/>
      <c r="Z42" s="337"/>
      <c r="AA42" s="333"/>
      <c r="AB42" s="22"/>
      <c r="AC42" s="182"/>
      <c r="AD42" s="145"/>
    </row>
    <row r="43" spans="1:30" s="7" customFormat="1" ht="16.5" customHeight="1" thickBot="1" thickTop="1">
      <c r="A43" s="138"/>
      <c r="B43" s="144"/>
      <c r="C43" s="196" t="s">
        <v>39</v>
      </c>
      <c r="D43" s="198"/>
      <c r="E43" s="198"/>
      <c r="F43" s="197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98">
        <f>SUM(T20:T42)</f>
        <v>0</v>
      </c>
      <c r="U43" s="304">
        <f aca="true" t="shared" si="14" ref="U43:AA43">SUM(U20:U42)</f>
        <v>3839.381775000001</v>
      </c>
      <c r="V43" s="317">
        <f t="shared" si="14"/>
        <v>13798.409999999998</v>
      </c>
      <c r="W43" s="317">
        <f t="shared" si="14"/>
        <v>6895.0758000000005</v>
      </c>
      <c r="X43" s="327">
        <f t="shared" si="14"/>
        <v>1692.972</v>
      </c>
      <c r="Y43" s="327">
        <f t="shared" si="14"/>
        <v>3606.8562000000006</v>
      </c>
      <c r="Z43" s="339">
        <f t="shared" si="14"/>
        <v>0</v>
      </c>
      <c r="AA43" s="340">
        <f t="shared" si="14"/>
        <v>0</v>
      </c>
      <c r="AB43" s="24"/>
      <c r="AC43" s="226">
        <f>ROUND(SUM(AC20:AC42),2)</f>
        <v>29832.7</v>
      </c>
      <c r="AD43" s="145"/>
    </row>
    <row r="44" spans="1:30" s="211" customFormat="1" ht="9.75" thickTop="1">
      <c r="A44" s="212"/>
      <c r="B44" s="213"/>
      <c r="C44" s="198"/>
      <c r="D44" s="198"/>
      <c r="E44" s="198"/>
      <c r="F44" s="199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5"/>
      <c r="U44" s="215"/>
      <c r="V44" s="215"/>
      <c r="W44" s="215"/>
      <c r="X44" s="215"/>
      <c r="Y44" s="215"/>
      <c r="Z44" s="215"/>
      <c r="AA44" s="215"/>
      <c r="AB44" s="214"/>
      <c r="AC44" s="216"/>
      <c r="AD44" s="217"/>
    </row>
    <row r="45" spans="1:30" s="7" customFormat="1" ht="16.5" customHeight="1" thickBot="1">
      <c r="A45" s="138"/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5"/>
    </row>
    <row r="46" spans="2:30" ht="16.5" customHeight="1" thickTop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="75" zoomScaleNormal="75" zoomScalePageLayoutView="0" workbookViewId="0" topLeftCell="A1">
      <selection activeCell="G27" sqref="G27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7" width="25.7109375" style="0" customWidth="1"/>
    <col min="8" max="8" width="8.7109375" style="0" customWidth="1"/>
    <col min="9" max="9" width="12.7109375" style="0" customWidth="1"/>
    <col min="10" max="10" width="14.28125" style="0" hidden="1" customWidth="1"/>
    <col min="11" max="12" width="15.7109375" style="0" customWidth="1"/>
    <col min="13" max="15" width="9.7109375" style="0" customWidth="1"/>
    <col min="16" max="18" width="7.7109375" style="0" customWidth="1"/>
    <col min="19" max="19" width="12.57421875" style="0" hidden="1" customWidth="1"/>
    <col min="20" max="21" width="14.421875" style="0" hidden="1" customWidth="1"/>
    <col min="22" max="22" width="16.8515625" style="0" hidden="1" customWidth="1"/>
    <col min="23" max="27" width="16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6:30" s="59" customFormat="1" ht="30" customHeight="1"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349"/>
    </row>
    <row r="2" spans="2:30" s="59" customFormat="1" ht="26.25">
      <c r="B2" s="356" t="str">
        <f>+'TOT-0315'!B2</f>
        <v>ANEXO III al Memorándum  D.T.E.E.  N° 821/2015.-</v>
      </c>
      <c r="C2" s="60"/>
      <c r="D2" s="60"/>
      <c r="E2" s="60"/>
      <c r="F2" s="140"/>
      <c r="G2" s="72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6:30" s="7" customFormat="1" ht="12.75"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0" s="57" customFormat="1" ht="11.25">
      <c r="A4" s="364" t="s">
        <v>60</v>
      </c>
      <c r="B4" s="124"/>
      <c r="C4" s="364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:30" s="57" customFormat="1" ht="11.25">
      <c r="A5" s="364" t="s">
        <v>61</v>
      </c>
      <c r="B5" s="124"/>
      <c r="C5" s="124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:30" s="7" customFormat="1" ht="16.5" customHeight="1" thickBo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</row>
    <row r="7" spans="1:30" s="7" customFormat="1" ht="16.5" customHeight="1" thickTop="1">
      <c r="A7" s="138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3"/>
    </row>
    <row r="8" spans="1:30" s="61" customFormat="1" ht="21.75" customHeight="1">
      <c r="A8" s="157"/>
      <c r="B8" s="158"/>
      <c r="C8" s="146"/>
      <c r="D8" s="146"/>
      <c r="E8" s="146"/>
      <c r="F8" s="17" t="s">
        <v>14</v>
      </c>
      <c r="H8" s="146"/>
      <c r="I8" s="157"/>
      <c r="J8" s="157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59"/>
      <c r="AD8" s="160"/>
    </row>
    <row r="9" spans="1:30" s="7" customFormat="1" ht="16.5" customHeight="1">
      <c r="A9" s="138"/>
      <c r="B9" s="144"/>
      <c r="C9" s="23"/>
      <c r="D9" s="23"/>
      <c r="E9" s="23"/>
      <c r="F9" s="23"/>
      <c r="G9" s="23"/>
      <c r="H9" s="23"/>
      <c r="I9" s="13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54"/>
      <c r="AD9" s="145"/>
    </row>
    <row r="10" spans="1:30" s="61" customFormat="1" ht="24" customHeight="1">
      <c r="A10" s="157"/>
      <c r="B10" s="158"/>
      <c r="C10" s="146"/>
      <c r="D10" s="146"/>
      <c r="E10" s="146"/>
      <c r="F10" s="17" t="s">
        <v>40</v>
      </c>
      <c r="G10" s="146"/>
      <c r="H10" s="146"/>
      <c r="I10" s="15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59"/>
      <c r="AD10" s="160"/>
    </row>
    <row r="11" spans="1:30" s="7" customFormat="1" ht="16.5" customHeight="1">
      <c r="A11" s="138"/>
      <c r="B11" s="144"/>
      <c r="C11" s="23"/>
      <c r="D11" s="23"/>
      <c r="E11" s="23"/>
      <c r="F11" s="53"/>
      <c r="G11" s="23"/>
      <c r="H11" s="23"/>
      <c r="I11" s="138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54"/>
      <c r="AD11" s="145"/>
    </row>
    <row r="12" spans="1:30" s="61" customFormat="1" ht="24" customHeight="1">
      <c r="A12" s="157"/>
      <c r="B12" s="158"/>
      <c r="C12" s="146"/>
      <c r="D12" s="146"/>
      <c r="E12" s="146"/>
      <c r="F12" s="168" t="s">
        <v>41</v>
      </c>
      <c r="G12" s="17"/>
      <c r="H12" s="157"/>
      <c r="I12" s="157"/>
      <c r="J12" s="161"/>
      <c r="K12" s="146"/>
      <c r="L12" s="157"/>
      <c r="M12" s="157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59"/>
      <c r="AD12" s="160"/>
    </row>
    <row r="13" spans="1:30" s="7" customFormat="1" ht="16.5" customHeight="1">
      <c r="A13" s="138"/>
      <c r="B13" s="144"/>
      <c r="C13" s="23"/>
      <c r="D13" s="23"/>
      <c r="E13" s="23"/>
      <c r="F13" s="148"/>
      <c r="G13" s="148"/>
      <c r="H13" s="148"/>
      <c r="I13" s="149"/>
      <c r="J13" s="147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54"/>
      <c r="AD13" s="145"/>
    </row>
    <row r="14" spans="1:30" s="65" customFormat="1" ht="16.5" customHeight="1">
      <c r="A14" s="162"/>
      <c r="B14" s="164" t="str">
        <f>+'TOT-0315'!B14</f>
        <v>Desde el 01 al 31 de marzo de 2015</v>
      </c>
      <c r="C14" s="137"/>
      <c r="D14" s="137"/>
      <c r="E14" s="137"/>
      <c r="F14" s="137"/>
      <c r="G14" s="137"/>
      <c r="H14" s="137"/>
      <c r="I14" s="137"/>
      <c r="J14" s="137"/>
      <c r="K14" s="163"/>
      <c r="L14" s="165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66"/>
      <c r="AD14" s="167"/>
    </row>
    <row r="15" spans="1:30" s="7" customFormat="1" ht="16.5" customHeight="1" thickBot="1">
      <c r="A15" s="138"/>
      <c r="B15" s="144"/>
      <c r="C15" s="23"/>
      <c r="D15" s="23"/>
      <c r="E15" s="23"/>
      <c r="F15" s="23"/>
      <c r="G15" s="23"/>
      <c r="H15" s="23"/>
      <c r="I15" s="150"/>
      <c r="J15" s="23"/>
      <c r="K15" s="136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54"/>
      <c r="AD15" s="145"/>
    </row>
    <row r="16" spans="1:30" s="7" customFormat="1" ht="16.5" customHeight="1" thickBot="1" thickTop="1">
      <c r="A16" s="138"/>
      <c r="B16" s="144"/>
      <c r="C16" s="23"/>
      <c r="D16" s="23"/>
      <c r="E16" s="23"/>
      <c r="F16" s="169" t="s">
        <v>55</v>
      </c>
      <c r="G16" s="170"/>
      <c r="H16" s="171"/>
      <c r="I16" s="368">
        <v>1.147</v>
      </c>
      <c r="J16" s="138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54"/>
      <c r="AD16" s="145"/>
    </row>
    <row r="17" spans="1:30" s="7" customFormat="1" ht="16.5" customHeight="1" thickBot="1" thickTop="1">
      <c r="A17" s="138"/>
      <c r="B17" s="144"/>
      <c r="C17" s="23"/>
      <c r="D17" s="23"/>
      <c r="E17" s="23"/>
      <c r="F17" s="172" t="s">
        <v>42</v>
      </c>
      <c r="G17" s="173"/>
      <c r="H17" s="173"/>
      <c r="I17" s="174">
        <f>30*'TOT-0315'!B13</f>
        <v>30</v>
      </c>
      <c r="J17" s="23"/>
      <c r="K17" s="183" t="str">
        <f>IF(I17=30," ",IF(I17=60,"  Coeficiente duplicado por tasa de falla &gt;4 Sal. x año/100 km.","  REVISAR COEFICIENTE"))</f>
        <v> 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51"/>
      <c r="X17" s="151"/>
      <c r="Y17" s="151"/>
      <c r="Z17" s="151"/>
      <c r="AA17" s="151"/>
      <c r="AB17" s="151"/>
      <c r="AC17" s="54"/>
      <c r="AD17" s="145"/>
    </row>
    <row r="18" spans="1:30" s="7" customFormat="1" ht="16.5" customHeight="1" thickBot="1" thickTop="1">
      <c r="A18" s="138"/>
      <c r="B18" s="144"/>
      <c r="C18" s="365">
        <v>3</v>
      </c>
      <c r="D18" s="365">
        <v>4</v>
      </c>
      <c r="E18" s="365">
        <v>5</v>
      </c>
      <c r="F18" s="365">
        <v>6</v>
      </c>
      <c r="G18" s="365">
        <v>7</v>
      </c>
      <c r="H18" s="365">
        <v>8</v>
      </c>
      <c r="I18" s="365">
        <v>9</v>
      </c>
      <c r="J18" s="365">
        <v>10</v>
      </c>
      <c r="K18" s="365">
        <v>11</v>
      </c>
      <c r="L18" s="365">
        <v>12</v>
      </c>
      <c r="M18" s="365">
        <v>13</v>
      </c>
      <c r="N18" s="365">
        <v>14</v>
      </c>
      <c r="O18" s="365">
        <v>15</v>
      </c>
      <c r="P18" s="365">
        <v>16</v>
      </c>
      <c r="Q18" s="365">
        <v>17</v>
      </c>
      <c r="R18" s="365">
        <v>18</v>
      </c>
      <c r="S18" s="365">
        <v>19</v>
      </c>
      <c r="T18" s="365">
        <v>20</v>
      </c>
      <c r="U18" s="365">
        <v>21</v>
      </c>
      <c r="V18" s="365">
        <v>22</v>
      </c>
      <c r="W18" s="365">
        <v>23</v>
      </c>
      <c r="X18" s="365">
        <v>24</v>
      </c>
      <c r="Y18" s="365">
        <v>25</v>
      </c>
      <c r="Z18" s="365">
        <v>26</v>
      </c>
      <c r="AA18" s="365">
        <v>27</v>
      </c>
      <c r="AB18" s="365">
        <v>28</v>
      </c>
      <c r="AC18" s="365">
        <v>29</v>
      </c>
      <c r="AD18" s="145"/>
    </row>
    <row r="19" spans="1:30" s="308" customFormat="1" ht="33.75" customHeight="1" thickBot="1" thickTop="1">
      <c r="A19" s="305"/>
      <c r="B19" s="306"/>
      <c r="C19" s="131" t="s">
        <v>21</v>
      </c>
      <c r="D19" s="131" t="s">
        <v>58</v>
      </c>
      <c r="E19" s="131" t="s">
        <v>59</v>
      </c>
      <c r="F19" s="179" t="s">
        <v>43</v>
      </c>
      <c r="G19" s="175" t="s">
        <v>44</v>
      </c>
      <c r="H19" s="177" t="s">
        <v>45</v>
      </c>
      <c r="I19" s="178" t="s">
        <v>22</v>
      </c>
      <c r="J19" s="220" t="s">
        <v>24</v>
      </c>
      <c r="K19" s="175" t="s">
        <v>25</v>
      </c>
      <c r="L19" s="175" t="s">
        <v>26</v>
      </c>
      <c r="M19" s="179" t="s">
        <v>46</v>
      </c>
      <c r="N19" s="179" t="s">
        <v>47</v>
      </c>
      <c r="O19" s="134" t="s">
        <v>48</v>
      </c>
      <c r="P19" s="176" t="s">
        <v>49</v>
      </c>
      <c r="Q19" s="179" t="s">
        <v>30</v>
      </c>
      <c r="R19" s="175" t="s">
        <v>50</v>
      </c>
      <c r="S19" s="288" t="s">
        <v>51</v>
      </c>
      <c r="T19" s="293" t="s">
        <v>52</v>
      </c>
      <c r="U19" s="299" t="s">
        <v>32</v>
      </c>
      <c r="V19" s="309" t="s">
        <v>53</v>
      </c>
      <c r="W19" s="310"/>
      <c r="X19" s="318" t="s">
        <v>54</v>
      </c>
      <c r="Y19" s="338"/>
      <c r="Z19" s="328" t="s">
        <v>35</v>
      </c>
      <c r="AA19" s="329" t="s">
        <v>36</v>
      </c>
      <c r="AB19" s="218" t="s">
        <v>37</v>
      </c>
      <c r="AC19" s="180" t="s">
        <v>38</v>
      </c>
      <c r="AD19" s="307"/>
    </row>
    <row r="20" spans="1:30" s="7" customFormat="1" ht="16.5" customHeight="1" thickTop="1">
      <c r="A20" s="138"/>
      <c r="B20" s="144"/>
      <c r="C20" s="48"/>
      <c r="D20" s="48"/>
      <c r="E20" s="48"/>
      <c r="F20" s="357"/>
      <c r="G20" s="358"/>
      <c r="H20" s="358"/>
      <c r="I20" s="358"/>
      <c r="J20" s="228"/>
      <c r="K20" s="357"/>
      <c r="L20" s="358"/>
      <c r="M20" s="19"/>
      <c r="N20" s="19"/>
      <c r="O20" s="358"/>
      <c r="P20" s="18"/>
      <c r="Q20" s="358"/>
      <c r="R20" s="358"/>
      <c r="S20" s="289"/>
      <c r="T20" s="294"/>
      <c r="U20" s="300"/>
      <c r="V20" s="311"/>
      <c r="W20" s="312"/>
      <c r="X20" s="319"/>
      <c r="Y20" s="320"/>
      <c r="Z20" s="334"/>
      <c r="AA20" s="330"/>
      <c r="AB20" s="18"/>
      <c r="AC20" s="346">
        <f>'T-03 (1)'!AC43</f>
        <v>29832.7</v>
      </c>
      <c r="AD20" s="145"/>
    </row>
    <row r="21" spans="1:30" s="7" customFormat="1" ht="16.5" customHeight="1">
      <c r="A21" s="138"/>
      <c r="B21" s="144"/>
      <c r="C21" s="48"/>
      <c r="D21" s="48"/>
      <c r="E21" s="48"/>
      <c r="F21" s="359"/>
      <c r="G21" s="359"/>
      <c r="H21" s="359"/>
      <c r="I21" s="359"/>
      <c r="J21" s="229"/>
      <c r="K21" s="361"/>
      <c r="L21" s="359"/>
      <c r="M21" s="15"/>
      <c r="N21" s="15"/>
      <c r="O21" s="359"/>
      <c r="P21" s="14"/>
      <c r="Q21" s="359"/>
      <c r="R21" s="359"/>
      <c r="S21" s="290"/>
      <c r="T21" s="295"/>
      <c r="U21" s="301"/>
      <c r="V21" s="313"/>
      <c r="W21" s="314"/>
      <c r="X21" s="321"/>
      <c r="Y21" s="322"/>
      <c r="Z21" s="335"/>
      <c r="AA21" s="331"/>
      <c r="AB21" s="14"/>
      <c r="AC21" s="181"/>
      <c r="AD21" s="145"/>
    </row>
    <row r="22" spans="1:30" s="7" customFormat="1" ht="16.5" customHeight="1">
      <c r="A22" s="138"/>
      <c r="B22" s="152"/>
      <c r="C22" s="48">
        <v>45</v>
      </c>
      <c r="D22" s="48">
        <v>286188</v>
      </c>
      <c r="E22" s="48">
        <v>764</v>
      </c>
      <c r="F22" s="39" t="s">
        <v>91</v>
      </c>
      <c r="G22" s="38" t="s">
        <v>84</v>
      </c>
      <c r="H22" s="52">
        <v>30</v>
      </c>
      <c r="I22" s="232" t="s">
        <v>94</v>
      </c>
      <c r="J22" s="230">
        <f>H22*$I$16</f>
        <v>34.410000000000004</v>
      </c>
      <c r="K22" s="50">
        <v>42077.597916666666</v>
      </c>
      <c r="L22" s="50">
        <v>42077.61944444444</v>
      </c>
      <c r="M22" s="20">
        <f>IF(F22="","",(L22-K22)*24)</f>
        <v>0.5166666666045785</v>
      </c>
      <c r="N22" s="21">
        <f>IF(F22="","",ROUND((L22-K22)*24*60,0))</f>
        <v>31</v>
      </c>
      <c r="O22" s="51" t="s">
        <v>72</v>
      </c>
      <c r="P22" s="51" t="str">
        <f>IF(F22="","",IF(OR(O22="P",O22="RP"),"--","NO"))</f>
        <v>NO</v>
      </c>
      <c r="Q22" s="51" t="s">
        <v>82</v>
      </c>
      <c r="R22" s="51" t="s">
        <v>65</v>
      </c>
      <c r="S22" s="291">
        <f>$I$17*IF(OR(O22="P",O22="RP"),0.1,1)*IF(R22="SI",1,0.1)</f>
        <v>30</v>
      </c>
      <c r="T22" s="296" t="str">
        <f>IF(O22="P",J22*S22*ROUND(N22/60,2),"--")</f>
        <v>--</v>
      </c>
      <c r="U22" s="302" t="str">
        <f>IF(O22="RP",J22*S22*ROUND(N22/60,2)*Q22/100,"--")</f>
        <v>--</v>
      </c>
      <c r="V22" s="315">
        <f>IF(AND(O22="F",P22="NO"),J22*S22,"--")</f>
        <v>1032.3000000000002</v>
      </c>
      <c r="W22" s="316">
        <f>IF(O22="F",J22*S22*ROUND(N22/60,2),"--")</f>
        <v>536.7960000000002</v>
      </c>
      <c r="X22" s="323" t="str">
        <f>IF(AND(O22="R",P22="NO"),J22*S22*Q22/100,"--")</f>
        <v>--</v>
      </c>
      <c r="Y22" s="324" t="str">
        <f>IF(O22="R",J22*S22*ROUND(N22/60,2)*Q22/100,"--")</f>
        <v>--</v>
      </c>
      <c r="Z22" s="336" t="str">
        <f>IF(O22="RF",J22*S22*ROUND(N22/60,2),"--")</f>
        <v>--</v>
      </c>
      <c r="AA22" s="332" t="str">
        <f>IF(O22="RR",J22*S22*ROUND(N22/60,2)*Q22/100,"--")</f>
        <v>--</v>
      </c>
      <c r="AB22" s="51" t="s">
        <v>65</v>
      </c>
      <c r="AC22" s="25">
        <f>IF(F22="","",SUM(T22:AA22)*IF(AB22="SI",1,2))</f>
        <v>1569.0960000000005</v>
      </c>
      <c r="AD22" s="344"/>
    </row>
    <row r="23" spans="1:30" s="7" customFormat="1" ht="16.5" customHeight="1">
      <c r="A23" s="138"/>
      <c r="B23" s="152"/>
      <c r="C23" s="48">
        <v>46</v>
      </c>
      <c r="D23" s="48">
        <v>286189</v>
      </c>
      <c r="E23" s="48">
        <v>1336</v>
      </c>
      <c r="F23" s="39" t="s">
        <v>91</v>
      </c>
      <c r="G23" s="38" t="s">
        <v>86</v>
      </c>
      <c r="H23" s="52">
        <v>30</v>
      </c>
      <c r="I23" s="232" t="s">
        <v>95</v>
      </c>
      <c r="J23" s="230">
        <f aca="true" t="shared" si="0" ref="J23:J39">H23*$I$16</f>
        <v>34.410000000000004</v>
      </c>
      <c r="K23" s="50">
        <v>42077.597916666666</v>
      </c>
      <c r="L23" s="50">
        <v>42077.61944444444</v>
      </c>
      <c r="M23" s="20">
        <f aca="true" t="shared" si="1" ref="M23:M39">IF(F23="","",(L23-K23)*24)</f>
        <v>0.5166666666045785</v>
      </c>
      <c r="N23" s="21">
        <f aca="true" t="shared" si="2" ref="N23:N39">IF(F23="","",ROUND((L23-K23)*24*60,0))</f>
        <v>31</v>
      </c>
      <c r="O23" s="51" t="s">
        <v>72</v>
      </c>
      <c r="P23" s="51" t="str">
        <f aca="true" t="shared" si="3" ref="P23:P42">IF(F23="","",IF(OR(O23="P",O23="RP"),"--","NO"))</f>
        <v>NO</v>
      </c>
      <c r="Q23" s="51" t="s">
        <v>82</v>
      </c>
      <c r="R23" s="51" t="s">
        <v>65</v>
      </c>
      <c r="S23" s="291">
        <f aca="true" t="shared" si="4" ref="S23:S39">$I$17*IF(OR(O23="P",O23="RP"),0.1,1)*IF(R23="SI",1,0.1)</f>
        <v>30</v>
      </c>
      <c r="T23" s="296" t="str">
        <f aca="true" t="shared" si="5" ref="T23:T39">IF(O23="P",J23*S23*ROUND(N23/60,2),"--")</f>
        <v>--</v>
      </c>
      <c r="U23" s="302" t="str">
        <f aca="true" t="shared" si="6" ref="U23:U39">IF(O23="RP",J23*S23*ROUND(N23/60,2)*Q23/100,"--")</f>
        <v>--</v>
      </c>
      <c r="V23" s="315">
        <f aca="true" t="shared" si="7" ref="V23:V39">IF(AND(O23="F",P23="NO"),J23*S23,"--")</f>
        <v>1032.3000000000002</v>
      </c>
      <c r="W23" s="316">
        <f aca="true" t="shared" si="8" ref="W23:W39">IF(O23="F",J23*S23*ROUND(N23/60,2),"--")</f>
        <v>536.7960000000002</v>
      </c>
      <c r="X23" s="323" t="str">
        <f aca="true" t="shared" si="9" ref="X23:X39">IF(AND(O23="R",P23="NO"),J23*S23*Q23/100,"--")</f>
        <v>--</v>
      </c>
      <c r="Y23" s="324" t="str">
        <f aca="true" t="shared" si="10" ref="Y23:Y39">IF(O23="R",J23*S23*ROUND(N23/60,2)*Q23/100,"--")</f>
        <v>--</v>
      </c>
      <c r="Z23" s="336" t="str">
        <f aca="true" t="shared" si="11" ref="Z23:Z39">IF(O23="RF",J23*S23*ROUND(N23/60,2),"--")</f>
        <v>--</v>
      </c>
      <c r="AA23" s="332" t="str">
        <f aca="true" t="shared" si="12" ref="AA23:AA39">IF(O23="RR",J23*S23*ROUND(N23/60,2)*Q23/100,"--")</f>
        <v>--</v>
      </c>
      <c r="AB23" s="51" t="s">
        <v>65</v>
      </c>
      <c r="AC23" s="25">
        <f aca="true" t="shared" si="13" ref="AC23:AC42">IF(F23="","",SUM(T23:AA23)*IF(AB23="SI",1,2))</f>
        <v>1569.0960000000005</v>
      </c>
      <c r="AD23" s="344"/>
    </row>
    <row r="24" spans="1:30" s="7" customFormat="1" ht="16.5" customHeight="1">
      <c r="A24" s="138"/>
      <c r="B24" s="152"/>
      <c r="C24" s="48">
        <v>47</v>
      </c>
      <c r="D24" s="48">
        <v>286190</v>
      </c>
      <c r="E24" s="48">
        <v>4611</v>
      </c>
      <c r="F24" s="39" t="s">
        <v>91</v>
      </c>
      <c r="G24" s="38" t="s">
        <v>88</v>
      </c>
      <c r="H24" s="52">
        <v>30</v>
      </c>
      <c r="I24" s="232" t="s">
        <v>57</v>
      </c>
      <c r="J24" s="230">
        <f t="shared" si="0"/>
        <v>34.410000000000004</v>
      </c>
      <c r="K24" s="50">
        <v>42077.597916666666</v>
      </c>
      <c r="L24" s="50">
        <v>42077.61944444444</v>
      </c>
      <c r="M24" s="20">
        <f t="shared" si="1"/>
        <v>0.5166666666045785</v>
      </c>
      <c r="N24" s="21">
        <f t="shared" si="2"/>
        <v>31</v>
      </c>
      <c r="O24" s="51" t="s">
        <v>72</v>
      </c>
      <c r="P24" s="51" t="str">
        <f t="shared" si="3"/>
        <v>NO</v>
      </c>
      <c r="Q24" s="51" t="s">
        <v>82</v>
      </c>
      <c r="R24" s="51" t="s">
        <v>65</v>
      </c>
      <c r="S24" s="291">
        <f t="shared" si="4"/>
        <v>30</v>
      </c>
      <c r="T24" s="296" t="str">
        <f t="shared" si="5"/>
        <v>--</v>
      </c>
      <c r="U24" s="302" t="str">
        <f t="shared" si="6"/>
        <v>--</v>
      </c>
      <c r="V24" s="315">
        <f t="shared" si="7"/>
        <v>1032.3000000000002</v>
      </c>
      <c r="W24" s="316">
        <f t="shared" si="8"/>
        <v>536.7960000000002</v>
      </c>
      <c r="X24" s="323" t="str">
        <f t="shared" si="9"/>
        <v>--</v>
      </c>
      <c r="Y24" s="324" t="str">
        <f t="shared" si="10"/>
        <v>--</v>
      </c>
      <c r="Z24" s="336" t="str">
        <f t="shared" si="11"/>
        <v>--</v>
      </c>
      <c r="AA24" s="332" t="str">
        <f t="shared" si="12"/>
        <v>--</v>
      </c>
      <c r="AB24" s="51" t="s">
        <v>65</v>
      </c>
      <c r="AC24" s="25">
        <f t="shared" si="13"/>
        <v>1569.0960000000005</v>
      </c>
      <c r="AD24" s="344"/>
    </row>
    <row r="25" spans="1:30" s="7" customFormat="1" ht="16.5" customHeight="1">
      <c r="A25" s="138"/>
      <c r="B25" s="144"/>
      <c r="C25" s="48">
        <v>48</v>
      </c>
      <c r="D25" s="48">
        <v>286217</v>
      </c>
      <c r="E25" s="48">
        <v>4263</v>
      </c>
      <c r="F25" s="39" t="s">
        <v>96</v>
      </c>
      <c r="G25" s="38" t="s">
        <v>84</v>
      </c>
      <c r="H25" s="52">
        <v>15</v>
      </c>
      <c r="I25" s="232" t="s">
        <v>97</v>
      </c>
      <c r="J25" s="230">
        <f t="shared" si="0"/>
        <v>17.205000000000002</v>
      </c>
      <c r="K25" s="50">
        <v>42077.631944444445</v>
      </c>
      <c r="L25" s="50">
        <v>42077.66527777778</v>
      </c>
      <c r="M25" s="20">
        <f t="shared" si="1"/>
        <v>0.7999999999883585</v>
      </c>
      <c r="N25" s="21">
        <f t="shared" si="2"/>
        <v>48</v>
      </c>
      <c r="O25" s="51" t="s">
        <v>72</v>
      </c>
      <c r="P25" s="51" t="str">
        <f t="shared" si="3"/>
        <v>NO</v>
      </c>
      <c r="Q25" s="51" t="s">
        <v>82</v>
      </c>
      <c r="R25" s="51" t="s">
        <v>65</v>
      </c>
      <c r="S25" s="291">
        <f t="shared" si="4"/>
        <v>30</v>
      </c>
      <c r="T25" s="296" t="str">
        <f t="shared" si="5"/>
        <v>--</v>
      </c>
      <c r="U25" s="302" t="str">
        <f t="shared" si="6"/>
        <v>--</v>
      </c>
      <c r="V25" s="315">
        <f t="shared" si="7"/>
        <v>516.1500000000001</v>
      </c>
      <c r="W25" s="316">
        <f t="shared" si="8"/>
        <v>412.9200000000001</v>
      </c>
      <c r="X25" s="323" t="str">
        <f t="shared" si="9"/>
        <v>--</v>
      </c>
      <c r="Y25" s="324" t="str">
        <f t="shared" si="10"/>
        <v>--</v>
      </c>
      <c r="Z25" s="336" t="str">
        <f t="shared" si="11"/>
        <v>--</v>
      </c>
      <c r="AA25" s="332" t="str">
        <f t="shared" si="12"/>
        <v>--</v>
      </c>
      <c r="AB25" s="51" t="s">
        <v>65</v>
      </c>
      <c r="AC25" s="25">
        <f t="shared" si="13"/>
        <v>929.0700000000002</v>
      </c>
      <c r="AD25" s="344"/>
    </row>
    <row r="26" spans="1:30" s="7" customFormat="1" ht="16.5" customHeight="1">
      <c r="A26" s="138"/>
      <c r="B26" s="144"/>
      <c r="C26" s="48">
        <v>49</v>
      </c>
      <c r="D26" s="48">
        <v>286219</v>
      </c>
      <c r="E26" s="48">
        <v>768</v>
      </c>
      <c r="F26" s="39" t="s">
        <v>98</v>
      </c>
      <c r="G26" s="38" t="s">
        <v>93</v>
      </c>
      <c r="H26" s="52">
        <v>15</v>
      </c>
      <c r="I26" s="232" t="s">
        <v>57</v>
      </c>
      <c r="J26" s="230">
        <f t="shared" si="0"/>
        <v>17.205000000000002</v>
      </c>
      <c r="K26" s="50">
        <v>42077.631944444445</v>
      </c>
      <c r="L26" s="50">
        <v>42077.65833333333</v>
      </c>
      <c r="M26" s="20">
        <f t="shared" si="1"/>
        <v>0.6333333333022892</v>
      </c>
      <c r="N26" s="21">
        <f t="shared" si="2"/>
        <v>38</v>
      </c>
      <c r="O26" s="51" t="s">
        <v>72</v>
      </c>
      <c r="P26" s="51" t="str">
        <f t="shared" si="3"/>
        <v>NO</v>
      </c>
      <c r="Q26" s="51" t="s">
        <v>82</v>
      </c>
      <c r="R26" s="51" t="s">
        <v>65</v>
      </c>
      <c r="S26" s="291">
        <f t="shared" si="4"/>
        <v>30</v>
      </c>
      <c r="T26" s="296" t="str">
        <f t="shared" si="5"/>
        <v>--</v>
      </c>
      <c r="U26" s="302" t="str">
        <f t="shared" si="6"/>
        <v>--</v>
      </c>
      <c r="V26" s="315">
        <f t="shared" si="7"/>
        <v>516.1500000000001</v>
      </c>
      <c r="W26" s="316">
        <f t="shared" si="8"/>
        <v>325.1745000000001</v>
      </c>
      <c r="X26" s="323" t="str">
        <f t="shared" si="9"/>
        <v>--</v>
      </c>
      <c r="Y26" s="324" t="str">
        <f t="shared" si="10"/>
        <v>--</v>
      </c>
      <c r="Z26" s="336" t="str">
        <f t="shared" si="11"/>
        <v>--</v>
      </c>
      <c r="AA26" s="332" t="str">
        <f t="shared" si="12"/>
        <v>--</v>
      </c>
      <c r="AB26" s="51" t="s">
        <v>65</v>
      </c>
      <c r="AC26" s="25">
        <f t="shared" si="13"/>
        <v>841.3245000000002</v>
      </c>
      <c r="AD26" s="344"/>
    </row>
    <row r="27" spans="1:30" s="7" customFormat="1" ht="16.5" customHeight="1">
      <c r="A27" s="138"/>
      <c r="B27" s="144"/>
      <c r="C27" s="48">
        <v>50</v>
      </c>
      <c r="D27" s="48">
        <v>286231</v>
      </c>
      <c r="E27" s="48">
        <v>765</v>
      </c>
      <c r="F27" s="39" t="s">
        <v>91</v>
      </c>
      <c r="G27" s="38" t="s">
        <v>93</v>
      </c>
      <c r="H27" s="52">
        <v>15</v>
      </c>
      <c r="I27" s="232" t="s">
        <v>57</v>
      </c>
      <c r="J27" s="230">
        <f t="shared" si="0"/>
        <v>17.205000000000002</v>
      </c>
      <c r="K27" s="50">
        <v>42078.629166666666</v>
      </c>
      <c r="L27" s="50">
        <v>42078.63402777778</v>
      </c>
      <c r="M27" s="20">
        <f t="shared" si="1"/>
        <v>0.11666666669771075</v>
      </c>
      <c r="N27" s="21">
        <f t="shared" si="2"/>
        <v>7</v>
      </c>
      <c r="O27" s="51" t="s">
        <v>72</v>
      </c>
      <c r="P27" s="51" t="str">
        <f t="shared" si="3"/>
        <v>NO</v>
      </c>
      <c r="Q27" s="51" t="s">
        <v>82</v>
      </c>
      <c r="R27" s="51" t="s">
        <v>65</v>
      </c>
      <c r="S27" s="291">
        <f t="shared" si="4"/>
        <v>30</v>
      </c>
      <c r="T27" s="296" t="str">
        <f t="shared" si="5"/>
        <v>--</v>
      </c>
      <c r="U27" s="302" t="str">
        <f t="shared" si="6"/>
        <v>--</v>
      </c>
      <c r="V27" s="315">
        <f t="shared" si="7"/>
        <v>516.1500000000001</v>
      </c>
      <c r="W27" s="316">
        <f t="shared" si="8"/>
        <v>61.93800000000001</v>
      </c>
      <c r="X27" s="323" t="str">
        <f t="shared" si="9"/>
        <v>--</v>
      </c>
      <c r="Y27" s="324" t="str">
        <f t="shared" si="10"/>
        <v>--</v>
      </c>
      <c r="Z27" s="336" t="str">
        <f t="shared" si="11"/>
        <v>--</v>
      </c>
      <c r="AA27" s="332" t="str">
        <f t="shared" si="12"/>
        <v>--</v>
      </c>
      <c r="AB27" s="51" t="s">
        <v>65</v>
      </c>
      <c r="AC27" s="25">
        <f t="shared" si="13"/>
        <v>578.0880000000001</v>
      </c>
      <c r="AD27" s="344"/>
    </row>
    <row r="28" spans="1:30" s="7" customFormat="1" ht="16.5" customHeight="1">
      <c r="A28" s="138"/>
      <c r="B28" s="144"/>
      <c r="C28" s="48">
        <v>51</v>
      </c>
      <c r="D28" s="48">
        <v>286232</v>
      </c>
      <c r="E28" s="48">
        <v>764</v>
      </c>
      <c r="F28" s="39" t="s">
        <v>91</v>
      </c>
      <c r="G28" s="38" t="s">
        <v>84</v>
      </c>
      <c r="H28" s="52">
        <v>30</v>
      </c>
      <c r="I28" s="232" t="s">
        <v>94</v>
      </c>
      <c r="J28" s="230">
        <f t="shared" si="0"/>
        <v>34.410000000000004</v>
      </c>
      <c r="K28" s="50">
        <v>42078.629166666666</v>
      </c>
      <c r="L28" s="50">
        <v>42078.63402777778</v>
      </c>
      <c r="M28" s="20">
        <f t="shared" si="1"/>
        <v>0.11666666669771075</v>
      </c>
      <c r="N28" s="21">
        <f t="shared" si="2"/>
        <v>7</v>
      </c>
      <c r="O28" s="51" t="s">
        <v>72</v>
      </c>
      <c r="P28" s="51" t="str">
        <f t="shared" si="3"/>
        <v>NO</v>
      </c>
      <c r="Q28" s="51" t="s">
        <v>82</v>
      </c>
      <c r="R28" s="51" t="s">
        <v>65</v>
      </c>
      <c r="S28" s="291">
        <f t="shared" si="4"/>
        <v>30</v>
      </c>
      <c r="T28" s="296" t="str">
        <f t="shared" si="5"/>
        <v>--</v>
      </c>
      <c r="U28" s="302" t="str">
        <f t="shared" si="6"/>
        <v>--</v>
      </c>
      <c r="V28" s="315">
        <f t="shared" si="7"/>
        <v>1032.3000000000002</v>
      </c>
      <c r="W28" s="316">
        <f t="shared" si="8"/>
        <v>123.87600000000002</v>
      </c>
      <c r="X28" s="323" t="str">
        <f t="shared" si="9"/>
        <v>--</v>
      </c>
      <c r="Y28" s="324" t="str">
        <f t="shared" si="10"/>
        <v>--</v>
      </c>
      <c r="Z28" s="336" t="str">
        <f t="shared" si="11"/>
        <v>--</v>
      </c>
      <c r="AA28" s="332" t="str">
        <f t="shared" si="12"/>
        <v>--</v>
      </c>
      <c r="AB28" s="51" t="s">
        <v>65</v>
      </c>
      <c r="AC28" s="25">
        <f t="shared" si="13"/>
        <v>1156.1760000000002</v>
      </c>
      <c r="AD28" s="344"/>
    </row>
    <row r="29" spans="1:30" s="7" customFormat="1" ht="16.5" customHeight="1">
      <c r="A29" s="138"/>
      <c r="B29" s="144"/>
      <c r="C29" s="48">
        <v>52</v>
      </c>
      <c r="D29" s="48">
        <v>286233</v>
      </c>
      <c r="E29" s="48">
        <v>1336</v>
      </c>
      <c r="F29" s="39" t="s">
        <v>91</v>
      </c>
      <c r="G29" s="38" t="s">
        <v>86</v>
      </c>
      <c r="H29" s="52">
        <v>30</v>
      </c>
      <c r="I29" s="232" t="s">
        <v>95</v>
      </c>
      <c r="J29" s="230">
        <f t="shared" si="0"/>
        <v>34.410000000000004</v>
      </c>
      <c r="K29" s="50">
        <v>42078.629166666666</v>
      </c>
      <c r="L29" s="50">
        <v>42078.63402777778</v>
      </c>
      <c r="M29" s="20">
        <f t="shared" si="1"/>
        <v>0.11666666669771075</v>
      </c>
      <c r="N29" s="21">
        <f t="shared" si="2"/>
        <v>7</v>
      </c>
      <c r="O29" s="51" t="s">
        <v>72</v>
      </c>
      <c r="P29" s="51" t="str">
        <f t="shared" si="3"/>
        <v>NO</v>
      </c>
      <c r="Q29" s="51" t="s">
        <v>82</v>
      </c>
      <c r="R29" s="51" t="s">
        <v>65</v>
      </c>
      <c r="S29" s="291">
        <f t="shared" si="4"/>
        <v>30</v>
      </c>
      <c r="T29" s="296" t="str">
        <f t="shared" si="5"/>
        <v>--</v>
      </c>
      <c r="U29" s="302" t="str">
        <f t="shared" si="6"/>
        <v>--</v>
      </c>
      <c r="V29" s="315">
        <f t="shared" si="7"/>
        <v>1032.3000000000002</v>
      </c>
      <c r="W29" s="316">
        <f t="shared" si="8"/>
        <v>123.87600000000002</v>
      </c>
      <c r="X29" s="323" t="str">
        <f t="shared" si="9"/>
        <v>--</v>
      </c>
      <c r="Y29" s="324" t="str">
        <f t="shared" si="10"/>
        <v>--</v>
      </c>
      <c r="Z29" s="336" t="str">
        <f t="shared" si="11"/>
        <v>--</v>
      </c>
      <c r="AA29" s="332" t="str">
        <f t="shared" si="12"/>
        <v>--</v>
      </c>
      <c r="AB29" s="51" t="s">
        <v>65</v>
      </c>
      <c r="AC29" s="25">
        <f t="shared" si="13"/>
        <v>1156.1760000000002</v>
      </c>
      <c r="AD29" s="344"/>
    </row>
    <row r="30" spans="1:30" s="7" customFormat="1" ht="16.5" customHeight="1">
      <c r="A30" s="138"/>
      <c r="B30" s="144"/>
      <c r="C30" s="48">
        <v>53</v>
      </c>
      <c r="D30" s="48">
        <v>286234</v>
      </c>
      <c r="E30" s="48">
        <v>4611</v>
      </c>
      <c r="F30" s="39" t="s">
        <v>91</v>
      </c>
      <c r="G30" s="38" t="s">
        <v>88</v>
      </c>
      <c r="H30" s="52">
        <v>30</v>
      </c>
      <c r="I30" s="232" t="s">
        <v>97</v>
      </c>
      <c r="J30" s="230">
        <f t="shared" si="0"/>
        <v>34.410000000000004</v>
      </c>
      <c r="K30" s="50">
        <v>42078.629166666666</v>
      </c>
      <c r="L30" s="50">
        <v>42078.63402777778</v>
      </c>
      <c r="M30" s="20">
        <f t="shared" si="1"/>
        <v>0.11666666669771075</v>
      </c>
      <c r="N30" s="21">
        <f t="shared" si="2"/>
        <v>7</v>
      </c>
      <c r="O30" s="51" t="s">
        <v>72</v>
      </c>
      <c r="P30" s="51" t="str">
        <f t="shared" si="3"/>
        <v>NO</v>
      </c>
      <c r="Q30" s="51" t="s">
        <v>82</v>
      </c>
      <c r="R30" s="51" t="s">
        <v>65</v>
      </c>
      <c r="S30" s="291">
        <f t="shared" si="4"/>
        <v>30</v>
      </c>
      <c r="T30" s="296" t="str">
        <f t="shared" si="5"/>
        <v>--</v>
      </c>
      <c r="U30" s="302" t="str">
        <f t="shared" si="6"/>
        <v>--</v>
      </c>
      <c r="V30" s="315">
        <f t="shared" si="7"/>
        <v>1032.3000000000002</v>
      </c>
      <c r="W30" s="316">
        <f t="shared" si="8"/>
        <v>123.87600000000002</v>
      </c>
      <c r="X30" s="323" t="str">
        <f t="shared" si="9"/>
        <v>--</v>
      </c>
      <c r="Y30" s="324" t="str">
        <f t="shared" si="10"/>
        <v>--</v>
      </c>
      <c r="Z30" s="336" t="str">
        <f t="shared" si="11"/>
        <v>--</v>
      </c>
      <c r="AA30" s="332" t="str">
        <f t="shared" si="12"/>
        <v>--</v>
      </c>
      <c r="AB30" s="51" t="s">
        <v>65</v>
      </c>
      <c r="AC30" s="25">
        <f t="shared" si="13"/>
        <v>1156.1760000000002</v>
      </c>
      <c r="AD30" s="344"/>
    </row>
    <row r="31" spans="1:30" s="7" customFormat="1" ht="16.5" customHeight="1">
      <c r="A31" s="138"/>
      <c r="B31" s="144"/>
      <c r="C31" s="48">
        <v>54</v>
      </c>
      <c r="D31" s="48">
        <v>286254</v>
      </c>
      <c r="E31" s="48">
        <v>4318</v>
      </c>
      <c r="F31" s="39" t="s">
        <v>99</v>
      </c>
      <c r="G31" s="38" t="s">
        <v>81</v>
      </c>
      <c r="H31" s="52">
        <v>15</v>
      </c>
      <c r="I31" s="232" t="s">
        <v>97</v>
      </c>
      <c r="J31" s="230">
        <f t="shared" si="0"/>
        <v>17.205000000000002</v>
      </c>
      <c r="K31" s="50">
        <v>42078.629166666666</v>
      </c>
      <c r="L31" s="50">
        <v>42078.646527777775</v>
      </c>
      <c r="M31" s="20">
        <f t="shared" si="1"/>
        <v>0.41666666662786156</v>
      </c>
      <c r="N31" s="21">
        <f t="shared" si="2"/>
        <v>25</v>
      </c>
      <c r="O31" s="51" t="s">
        <v>72</v>
      </c>
      <c r="P31" s="51" t="str">
        <f t="shared" si="3"/>
        <v>NO</v>
      </c>
      <c r="Q31" s="51" t="s">
        <v>82</v>
      </c>
      <c r="R31" s="51" t="s">
        <v>65</v>
      </c>
      <c r="S31" s="291">
        <f t="shared" si="4"/>
        <v>30</v>
      </c>
      <c r="T31" s="296" t="str">
        <f t="shared" si="5"/>
        <v>--</v>
      </c>
      <c r="U31" s="302" t="str">
        <f t="shared" si="6"/>
        <v>--</v>
      </c>
      <c r="V31" s="315">
        <f t="shared" si="7"/>
        <v>516.1500000000001</v>
      </c>
      <c r="W31" s="316">
        <f t="shared" si="8"/>
        <v>216.78300000000004</v>
      </c>
      <c r="X31" s="323" t="str">
        <f t="shared" si="9"/>
        <v>--</v>
      </c>
      <c r="Y31" s="324" t="str">
        <f t="shared" si="10"/>
        <v>--</v>
      </c>
      <c r="Z31" s="336" t="str">
        <f t="shared" si="11"/>
        <v>--</v>
      </c>
      <c r="AA31" s="332" t="str">
        <f t="shared" si="12"/>
        <v>--</v>
      </c>
      <c r="AB31" s="51" t="s">
        <v>65</v>
      </c>
      <c r="AC31" s="25">
        <f t="shared" si="13"/>
        <v>732.9330000000001</v>
      </c>
      <c r="AD31" s="344"/>
    </row>
    <row r="32" spans="1:30" s="7" customFormat="1" ht="16.5" customHeight="1">
      <c r="A32" s="138"/>
      <c r="B32" s="144"/>
      <c r="C32" s="48">
        <v>55</v>
      </c>
      <c r="D32" s="48">
        <v>286540</v>
      </c>
      <c r="E32" s="48">
        <v>3948</v>
      </c>
      <c r="F32" s="39" t="s">
        <v>106</v>
      </c>
      <c r="G32" s="38" t="s">
        <v>81</v>
      </c>
      <c r="H32" s="52">
        <v>7.5</v>
      </c>
      <c r="I32" s="232" t="s">
        <v>103</v>
      </c>
      <c r="J32" s="230">
        <f t="shared" si="0"/>
        <v>8.602500000000001</v>
      </c>
      <c r="K32" s="50">
        <v>42081.95416666667</v>
      </c>
      <c r="L32" s="50">
        <v>42081.96805555555</v>
      </c>
      <c r="M32" s="20">
        <f>IF(F32="","",(L32-K32)*24)</f>
        <v>0.33333333319751546</v>
      </c>
      <c r="N32" s="21">
        <f>IF(F32="","",ROUND((L32-K32)*24*60,0))</f>
        <v>20</v>
      </c>
      <c r="O32" s="51" t="s">
        <v>72</v>
      </c>
      <c r="P32" s="51" t="str">
        <f>IF(F32="","",IF(OR(O32="P",O32="RP"),"--","NO"))</f>
        <v>NO</v>
      </c>
      <c r="Q32" s="51" t="s">
        <v>105</v>
      </c>
      <c r="R32" s="51" t="s">
        <v>65</v>
      </c>
      <c r="S32" s="291">
        <f>$I$17*IF(OR(O32="P",O32="RP"),0.1,1)*IF(R32="SI",1,0.1)</f>
        <v>30</v>
      </c>
      <c r="T32" s="296" t="str">
        <f>IF(O32="P",J32*S32*ROUND(N32/60,2),"--")</f>
        <v>--</v>
      </c>
      <c r="U32" s="302" t="str">
        <f>IF(O32="RP",J32*S32*ROUND(N32/60,2)*Q32/100,"--")</f>
        <v>--</v>
      </c>
      <c r="V32" s="315">
        <f>IF(AND(O32="F",P32="NO"),J32*S32,"--")</f>
        <v>258.07500000000005</v>
      </c>
      <c r="W32" s="316">
        <f>IF(O32="F",J32*S32*ROUND(N32/60,2),"--")</f>
        <v>85.16475000000001</v>
      </c>
      <c r="X32" s="323" t="str">
        <f>IF(AND(O32="R",P32="NO"),J32*S32*Q32/100,"--")</f>
        <v>--</v>
      </c>
      <c r="Y32" s="324" t="str">
        <f>IF(O32="R",J32*S32*ROUND(N32/60,2)*Q32/100,"--")</f>
        <v>--</v>
      </c>
      <c r="Z32" s="336" t="str">
        <f>IF(O32="RF",J32*S32*ROUND(N32/60,2),"--")</f>
        <v>--</v>
      </c>
      <c r="AA32" s="332" t="str">
        <f>IF(O32="RR",J32*S32*ROUND(N32/60,2)*Q32/100,"--")</f>
        <v>--</v>
      </c>
      <c r="AB32" s="51" t="s">
        <v>65</v>
      </c>
      <c r="AC32" s="25">
        <f>IF(F32="","",SUM(T32:AA32)*IF(AB32="SI",1,2))</f>
        <v>343.2397500000001</v>
      </c>
      <c r="AD32" s="344"/>
    </row>
    <row r="33" spans="1:30" s="7" customFormat="1" ht="16.5" customHeight="1">
      <c r="A33" s="138"/>
      <c r="B33" s="144"/>
      <c r="C33" s="48">
        <v>56</v>
      </c>
      <c r="D33" s="48">
        <v>286549</v>
      </c>
      <c r="E33" s="48">
        <v>771</v>
      </c>
      <c r="F33" s="39" t="s">
        <v>90</v>
      </c>
      <c r="G33" s="38" t="s">
        <v>81</v>
      </c>
      <c r="H33" s="52">
        <v>30</v>
      </c>
      <c r="I33" s="232" t="s">
        <v>57</v>
      </c>
      <c r="J33" s="230">
        <f t="shared" si="0"/>
        <v>34.410000000000004</v>
      </c>
      <c r="K33" s="50">
        <v>42083.714583333334</v>
      </c>
      <c r="L33" s="50">
        <v>42083.736805555556</v>
      </c>
      <c r="M33" s="20">
        <f t="shared" si="1"/>
        <v>0.5333333333255723</v>
      </c>
      <c r="N33" s="21">
        <f t="shared" si="2"/>
        <v>32</v>
      </c>
      <c r="O33" s="51" t="s">
        <v>85</v>
      </c>
      <c r="P33" s="51" t="str">
        <f t="shared" si="3"/>
        <v>NO</v>
      </c>
      <c r="Q33" s="287">
        <v>40</v>
      </c>
      <c r="R33" s="51" t="s">
        <v>65</v>
      </c>
      <c r="S33" s="291">
        <f t="shared" si="4"/>
        <v>30</v>
      </c>
      <c r="T33" s="296" t="str">
        <f t="shared" si="5"/>
        <v>--</v>
      </c>
      <c r="U33" s="302" t="str">
        <f t="shared" si="6"/>
        <v>--</v>
      </c>
      <c r="V33" s="315" t="str">
        <f t="shared" si="7"/>
        <v>--</v>
      </c>
      <c r="W33" s="316" t="str">
        <f t="shared" si="8"/>
        <v>--</v>
      </c>
      <c r="X33" s="323">
        <f t="shared" si="9"/>
        <v>412.9200000000001</v>
      </c>
      <c r="Y33" s="324">
        <f t="shared" si="10"/>
        <v>218.84760000000006</v>
      </c>
      <c r="Z33" s="336" t="str">
        <f t="shared" si="11"/>
        <v>--</v>
      </c>
      <c r="AA33" s="332" t="str">
        <f t="shared" si="12"/>
        <v>--</v>
      </c>
      <c r="AB33" s="51" t="s">
        <v>65</v>
      </c>
      <c r="AC33" s="25">
        <f t="shared" si="13"/>
        <v>631.7676000000001</v>
      </c>
      <c r="AD33" s="344"/>
    </row>
    <row r="34" spans="1:30" s="7" customFormat="1" ht="16.5" customHeight="1">
      <c r="A34" s="138"/>
      <c r="B34" s="144"/>
      <c r="C34" s="48">
        <v>57</v>
      </c>
      <c r="D34" s="48">
        <v>286550</v>
      </c>
      <c r="E34" s="48">
        <v>772</v>
      </c>
      <c r="F34" s="39" t="s">
        <v>90</v>
      </c>
      <c r="G34" s="38" t="s">
        <v>93</v>
      </c>
      <c r="H34" s="52">
        <v>30</v>
      </c>
      <c r="I34" s="232" t="s">
        <v>100</v>
      </c>
      <c r="J34" s="230">
        <f t="shared" si="0"/>
        <v>34.410000000000004</v>
      </c>
      <c r="K34" s="50">
        <v>42083.714583333334</v>
      </c>
      <c r="L34" s="50">
        <v>42083.736805555556</v>
      </c>
      <c r="M34" s="20">
        <f t="shared" si="1"/>
        <v>0.5333333333255723</v>
      </c>
      <c r="N34" s="21">
        <f t="shared" si="2"/>
        <v>32</v>
      </c>
      <c r="O34" s="51" t="s">
        <v>85</v>
      </c>
      <c r="P34" s="51" t="str">
        <f t="shared" si="3"/>
        <v>NO</v>
      </c>
      <c r="Q34" s="287">
        <v>40</v>
      </c>
      <c r="R34" s="51" t="s">
        <v>65</v>
      </c>
      <c r="S34" s="291">
        <f t="shared" si="4"/>
        <v>30</v>
      </c>
      <c r="T34" s="296" t="str">
        <f t="shared" si="5"/>
        <v>--</v>
      </c>
      <c r="U34" s="302" t="str">
        <f t="shared" si="6"/>
        <v>--</v>
      </c>
      <c r="V34" s="315" t="str">
        <f t="shared" si="7"/>
        <v>--</v>
      </c>
      <c r="W34" s="316" t="str">
        <f t="shared" si="8"/>
        <v>--</v>
      </c>
      <c r="X34" s="323">
        <f t="shared" si="9"/>
        <v>412.9200000000001</v>
      </c>
      <c r="Y34" s="324">
        <f t="shared" si="10"/>
        <v>218.84760000000006</v>
      </c>
      <c r="Z34" s="336" t="str">
        <f t="shared" si="11"/>
        <v>--</v>
      </c>
      <c r="AA34" s="332" t="str">
        <f t="shared" si="12"/>
        <v>--</v>
      </c>
      <c r="AB34" s="51" t="s">
        <v>65</v>
      </c>
      <c r="AC34" s="25">
        <f t="shared" si="13"/>
        <v>631.7676000000001</v>
      </c>
      <c r="AD34" s="344"/>
    </row>
    <row r="35" spans="1:30" s="7" customFormat="1" ht="16.5" customHeight="1">
      <c r="A35" s="138"/>
      <c r="B35" s="144"/>
      <c r="C35" s="48">
        <v>58</v>
      </c>
      <c r="D35" s="48">
        <v>286551</v>
      </c>
      <c r="E35" s="48">
        <v>4072</v>
      </c>
      <c r="F35" s="39" t="s">
        <v>90</v>
      </c>
      <c r="G35" s="38" t="s">
        <v>86</v>
      </c>
      <c r="H35" s="52">
        <v>30</v>
      </c>
      <c r="I35" s="232" t="s">
        <v>97</v>
      </c>
      <c r="J35" s="230">
        <f t="shared" si="0"/>
        <v>34.410000000000004</v>
      </c>
      <c r="K35" s="50">
        <v>42083.714583333334</v>
      </c>
      <c r="L35" s="50">
        <v>42083.736805555556</v>
      </c>
      <c r="M35" s="20">
        <f t="shared" si="1"/>
        <v>0.5333333333255723</v>
      </c>
      <c r="N35" s="21">
        <f t="shared" si="2"/>
        <v>32</v>
      </c>
      <c r="O35" s="51" t="s">
        <v>85</v>
      </c>
      <c r="P35" s="51" t="str">
        <f t="shared" si="3"/>
        <v>NO</v>
      </c>
      <c r="Q35" s="287">
        <v>60</v>
      </c>
      <c r="R35" s="51" t="s">
        <v>65</v>
      </c>
      <c r="S35" s="291">
        <f t="shared" si="4"/>
        <v>30</v>
      </c>
      <c r="T35" s="296" t="str">
        <f t="shared" si="5"/>
        <v>--</v>
      </c>
      <c r="U35" s="302" t="str">
        <f t="shared" si="6"/>
        <v>--</v>
      </c>
      <c r="V35" s="315" t="str">
        <f t="shared" si="7"/>
        <v>--</v>
      </c>
      <c r="W35" s="316" t="str">
        <f t="shared" si="8"/>
        <v>--</v>
      </c>
      <c r="X35" s="323">
        <f t="shared" si="9"/>
        <v>619.3800000000001</v>
      </c>
      <c r="Y35" s="324">
        <f t="shared" si="10"/>
        <v>328.2714000000001</v>
      </c>
      <c r="Z35" s="336" t="str">
        <f t="shared" si="11"/>
        <v>--</v>
      </c>
      <c r="AA35" s="332" t="str">
        <f t="shared" si="12"/>
        <v>--</v>
      </c>
      <c r="AB35" s="51" t="s">
        <v>65</v>
      </c>
      <c r="AC35" s="25">
        <f t="shared" si="13"/>
        <v>947.6514000000002</v>
      </c>
      <c r="AD35" s="344"/>
    </row>
    <row r="36" spans="1:30" s="7" customFormat="1" ht="16.5" customHeight="1">
      <c r="A36" s="138"/>
      <c r="B36" s="144"/>
      <c r="C36" s="48">
        <v>59</v>
      </c>
      <c r="D36" s="48">
        <v>286552</v>
      </c>
      <c r="E36" s="48">
        <v>4719</v>
      </c>
      <c r="F36" s="39" t="s">
        <v>90</v>
      </c>
      <c r="G36" s="38" t="s">
        <v>88</v>
      </c>
      <c r="H36" s="52">
        <v>30</v>
      </c>
      <c r="I36" s="232" t="s">
        <v>57</v>
      </c>
      <c r="J36" s="230">
        <f t="shared" si="0"/>
        <v>34.410000000000004</v>
      </c>
      <c r="K36" s="50">
        <v>42083.714583333334</v>
      </c>
      <c r="L36" s="50">
        <v>42083.736805555556</v>
      </c>
      <c r="M36" s="20">
        <f t="shared" si="1"/>
        <v>0.5333333333255723</v>
      </c>
      <c r="N36" s="21">
        <f t="shared" si="2"/>
        <v>32</v>
      </c>
      <c r="O36" s="51" t="s">
        <v>85</v>
      </c>
      <c r="P36" s="51" t="str">
        <f t="shared" si="3"/>
        <v>NO</v>
      </c>
      <c r="Q36" s="287">
        <v>50</v>
      </c>
      <c r="R36" s="51" t="s">
        <v>65</v>
      </c>
      <c r="S36" s="291">
        <f t="shared" si="4"/>
        <v>30</v>
      </c>
      <c r="T36" s="296" t="str">
        <f t="shared" si="5"/>
        <v>--</v>
      </c>
      <c r="U36" s="302" t="str">
        <f t="shared" si="6"/>
        <v>--</v>
      </c>
      <c r="V36" s="315" t="str">
        <f t="shared" si="7"/>
        <v>--</v>
      </c>
      <c r="W36" s="316" t="str">
        <f t="shared" si="8"/>
        <v>--</v>
      </c>
      <c r="X36" s="323">
        <f t="shared" si="9"/>
        <v>516.1500000000001</v>
      </c>
      <c r="Y36" s="324">
        <f t="shared" si="10"/>
        <v>273.55950000000007</v>
      </c>
      <c r="Z36" s="336" t="str">
        <f t="shared" si="11"/>
        <v>--</v>
      </c>
      <c r="AA36" s="332" t="str">
        <f t="shared" si="12"/>
        <v>--</v>
      </c>
      <c r="AB36" s="51" t="s">
        <v>65</v>
      </c>
      <c r="AC36" s="25">
        <f t="shared" si="13"/>
        <v>789.7095000000002</v>
      </c>
      <c r="AD36" s="344"/>
    </row>
    <row r="37" spans="1:30" s="7" customFormat="1" ht="16.5" customHeight="1">
      <c r="A37" s="138"/>
      <c r="B37" s="144"/>
      <c r="C37" s="48">
        <v>60</v>
      </c>
      <c r="D37" s="48">
        <v>286560</v>
      </c>
      <c r="E37" s="48">
        <v>759</v>
      </c>
      <c r="F37" s="39" t="s">
        <v>83</v>
      </c>
      <c r="G37" s="38" t="s">
        <v>84</v>
      </c>
      <c r="H37" s="52">
        <v>30</v>
      </c>
      <c r="I37" s="232" t="s">
        <v>57</v>
      </c>
      <c r="J37" s="230">
        <f t="shared" si="0"/>
        <v>34.410000000000004</v>
      </c>
      <c r="K37" s="50">
        <v>42084.830555555556</v>
      </c>
      <c r="L37" s="50">
        <v>42084.833333333336</v>
      </c>
      <c r="M37" s="20">
        <f t="shared" si="1"/>
        <v>0.06666666670935228</v>
      </c>
      <c r="N37" s="21">
        <f t="shared" si="2"/>
        <v>4</v>
      </c>
      <c r="O37" s="51" t="s">
        <v>85</v>
      </c>
      <c r="P37" s="51" t="str">
        <f t="shared" si="3"/>
        <v>NO</v>
      </c>
      <c r="Q37" s="287">
        <v>60</v>
      </c>
      <c r="R37" s="51" t="s">
        <v>65</v>
      </c>
      <c r="S37" s="291">
        <f t="shared" si="4"/>
        <v>30</v>
      </c>
      <c r="T37" s="296" t="str">
        <f t="shared" si="5"/>
        <v>--</v>
      </c>
      <c r="U37" s="302" t="str">
        <f t="shared" si="6"/>
        <v>--</v>
      </c>
      <c r="V37" s="315" t="str">
        <f t="shared" si="7"/>
        <v>--</v>
      </c>
      <c r="W37" s="316" t="str">
        <f t="shared" si="8"/>
        <v>--</v>
      </c>
      <c r="X37" s="323">
        <f t="shared" si="9"/>
        <v>619.3800000000001</v>
      </c>
      <c r="Y37" s="324">
        <f t="shared" si="10"/>
        <v>43.356600000000014</v>
      </c>
      <c r="Z37" s="336" t="str">
        <f t="shared" si="11"/>
        <v>--</v>
      </c>
      <c r="AA37" s="332" t="str">
        <f t="shared" si="12"/>
        <v>--</v>
      </c>
      <c r="AB37" s="51" t="s">
        <v>65</v>
      </c>
      <c r="AC37" s="25">
        <f t="shared" si="13"/>
        <v>662.7366000000002</v>
      </c>
      <c r="AD37" s="344"/>
    </row>
    <row r="38" spans="1:30" s="7" customFormat="1" ht="16.5" customHeight="1">
      <c r="A38" s="138"/>
      <c r="B38" s="144"/>
      <c r="C38" s="48">
        <v>61</v>
      </c>
      <c r="D38" s="48">
        <v>286561</v>
      </c>
      <c r="E38" s="48">
        <v>3625</v>
      </c>
      <c r="F38" s="39" t="s">
        <v>83</v>
      </c>
      <c r="G38" s="38" t="s">
        <v>86</v>
      </c>
      <c r="H38" s="52">
        <v>50</v>
      </c>
      <c r="I38" s="232" t="s">
        <v>57</v>
      </c>
      <c r="J38" s="230">
        <f t="shared" si="0"/>
        <v>57.35</v>
      </c>
      <c r="K38" s="50">
        <v>42084.830555555556</v>
      </c>
      <c r="L38" s="50">
        <v>42084.833333333336</v>
      </c>
      <c r="M38" s="20">
        <f t="shared" si="1"/>
        <v>0.06666666670935228</v>
      </c>
      <c r="N38" s="21">
        <f t="shared" si="2"/>
        <v>4</v>
      </c>
      <c r="O38" s="51" t="s">
        <v>85</v>
      </c>
      <c r="P38" s="51" t="str">
        <f t="shared" si="3"/>
        <v>NO</v>
      </c>
      <c r="Q38" s="287">
        <v>60</v>
      </c>
      <c r="R38" s="51" t="s">
        <v>65</v>
      </c>
      <c r="S38" s="291">
        <f t="shared" si="4"/>
        <v>30</v>
      </c>
      <c r="T38" s="296" t="str">
        <f t="shared" si="5"/>
        <v>--</v>
      </c>
      <c r="U38" s="302" t="str">
        <f t="shared" si="6"/>
        <v>--</v>
      </c>
      <c r="V38" s="315" t="str">
        <f t="shared" si="7"/>
        <v>--</v>
      </c>
      <c r="W38" s="316" t="str">
        <f t="shared" si="8"/>
        <v>--</v>
      </c>
      <c r="X38" s="323">
        <f t="shared" si="9"/>
        <v>1032.3</v>
      </c>
      <c r="Y38" s="324">
        <f t="shared" si="10"/>
        <v>72.26100000000001</v>
      </c>
      <c r="Z38" s="336" t="str">
        <f t="shared" si="11"/>
        <v>--</v>
      </c>
      <c r="AA38" s="332" t="str">
        <f t="shared" si="12"/>
        <v>--</v>
      </c>
      <c r="AB38" s="51" t="s">
        <v>65</v>
      </c>
      <c r="AC38" s="25">
        <f t="shared" si="13"/>
        <v>1104.561</v>
      </c>
      <c r="AD38" s="145"/>
    </row>
    <row r="39" spans="1:30" s="7" customFormat="1" ht="16.5" customHeight="1">
      <c r="A39" s="138"/>
      <c r="B39" s="144"/>
      <c r="C39" s="48">
        <v>62</v>
      </c>
      <c r="D39" s="48">
        <v>286739</v>
      </c>
      <c r="E39" s="48">
        <v>5233</v>
      </c>
      <c r="F39" s="39" t="s">
        <v>101</v>
      </c>
      <c r="G39" s="38" t="s">
        <v>81</v>
      </c>
      <c r="H39" s="367">
        <v>30</v>
      </c>
      <c r="I39" s="232" t="s">
        <v>57</v>
      </c>
      <c r="J39" s="230">
        <f t="shared" si="0"/>
        <v>34.410000000000004</v>
      </c>
      <c r="K39" s="50">
        <v>42086.33125</v>
      </c>
      <c r="L39" s="50">
        <v>42086.334027777775</v>
      </c>
      <c r="M39" s="20">
        <f t="shared" si="1"/>
        <v>0.0666666665347293</v>
      </c>
      <c r="N39" s="21">
        <f t="shared" si="2"/>
        <v>4</v>
      </c>
      <c r="O39" s="51" t="s">
        <v>85</v>
      </c>
      <c r="P39" s="51" t="str">
        <f t="shared" si="3"/>
        <v>NO</v>
      </c>
      <c r="Q39" s="287">
        <v>50</v>
      </c>
      <c r="R39" s="51" t="s">
        <v>65</v>
      </c>
      <c r="S39" s="291">
        <f t="shared" si="4"/>
        <v>30</v>
      </c>
      <c r="T39" s="296" t="str">
        <f t="shared" si="5"/>
        <v>--</v>
      </c>
      <c r="U39" s="302" t="str">
        <f t="shared" si="6"/>
        <v>--</v>
      </c>
      <c r="V39" s="315" t="str">
        <f t="shared" si="7"/>
        <v>--</v>
      </c>
      <c r="W39" s="316" t="str">
        <f t="shared" si="8"/>
        <v>--</v>
      </c>
      <c r="X39" s="323">
        <f t="shared" si="9"/>
        <v>516.1500000000001</v>
      </c>
      <c r="Y39" s="324">
        <f t="shared" si="10"/>
        <v>36.13050000000001</v>
      </c>
      <c r="Z39" s="336" t="str">
        <f t="shared" si="11"/>
        <v>--</v>
      </c>
      <c r="AA39" s="332" t="str">
        <f t="shared" si="12"/>
        <v>--</v>
      </c>
      <c r="AB39" s="51" t="s">
        <v>65</v>
      </c>
      <c r="AC39" s="25">
        <f t="shared" si="13"/>
        <v>552.2805000000001</v>
      </c>
      <c r="AD39" s="145"/>
    </row>
    <row r="40" spans="1:30" s="7" customFormat="1" ht="16.5" customHeight="1">
      <c r="A40" s="138"/>
      <c r="B40" s="144"/>
      <c r="C40" s="48">
        <v>63</v>
      </c>
      <c r="D40" s="48">
        <v>286743</v>
      </c>
      <c r="E40" s="48">
        <v>5074</v>
      </c>
      <c r="F40" s="39" t="s">
        <v>80</v>
      </c>
      <c r="G40" s="38" t="s">
        <v>81</v>
      </c>
      <c r="H40" s="52">
        <v>50</v>
      </c>
      <c r="I40" s="232" t="s">
        <v>57</v>
      </c>
      <c r="J40" s="230">
        <f>H40*$I$16</f>
        <v>57.35</v>
      </c>
      <c r="K40" s="50">
        <v>42088.604166666664</v>
      </c>
      <c r="L40" s="50">
        <v>42088.61597222222</v>
      </c>
      <c r="M40" s="20">
        <f>IF(F40="","",(L40-K40)*24)</f>
        <v>0.28333333338378</v>
      </c>
      <c r="N40" s="21">
        <f>IF(F40="","",ROUND((L40-K40)*24*60,0))</f>
        <v>17</v>
      </c>
      <c r="O40" s="51" t="s">
        <v>72</v>
      </c>
      <c r="P40" s="51" t="str">
        <f t="shared" si="3"/>
        <v>NO</v>
      </c>
      <c r="Q40" s="51" t="s">
        <v>82</v>
      </c>
      <c r="R40" s="51" t="s">
        <v>65</v>
      </c>
      <c r="S40" s="291">
        <f>$I$17*IF(OR(O40="P",O40="RP"),0.1,1)*IF(R40="SI",1,0.1)</f>
        <v>30</v>
      </c>
      <c r="T40" s="296" t="str">
        <f>IF(O40="P",J40*S40*ROUND(N40/60,2),"--")</f>
        <v>--</v>
      </c>
      <c r="U40" s="302" t="str">
        <f>IF(O40="RP",J40*S40*ROUND(N40/60,2)*Q40/100,"--")</f>
        <v>--</v>
      </c>
      <c r="V40" s="315">
        <f>IF(AND(O40="F",P40="NO"),J40*S40,"--")</f>
        <v>1720.5</v>
      </c>
      <c r="W40" s="316">
        <f>IF(O40="F",J40*S40*ROUND(N40/60,2),"--")</f>
        <v>481.74000000000007</v>
      </c>
      <c r="X40" s="323" t="str">
        <f>IF(AND(O40="R",P40="NO"),J40*S40*Q40/100,"--")</f>
        <v>--</v>
      </c>
      <c r="Y40" s="324" t="str">
        <f>IF(O40="R",J40*S40*ROUND(N40/60,2)*Q40/100,"--")</f>
        <v>--</v>
      </c>
      <c r="Z40" s="336" t="str">
        <f>IF(O40="RF",J40*S40*ROUND(N40/60,2),"--")</f>
        <v>--</v>
      </c>
      <c r="AA40" s="332" t="str">
        <f>IF(O40="RR",J40*S40*ROUND(N40/60,2)*Q40/100,"--")</f>
        <v>--</v>
      </c>
      <c r="AB40" s="51" t="s">
        <v>65</v>
      </c>
      <c r="AC40" s="25">
        <f t="shared" si="13"/>
        <v>2202.2400000000002</v>
      </c>
      <c r="AD40" s="145"/>
    </row>
    <row r="41" spans="1:30" s="7" customFormat="1" ht="16.5" customHeight="1">
      <c r="A41" s="138"/>
      <c r="B41" s="144"/>
      <c r="C41" s="48">
        <v>64</v>
      </c>
      <c r="D41" s="48">
        <v>286748</v>
      </c>
      <c r="E41" s="48">
        <v>5074</v>
      </c>
      <c r="F41" s="39" t="s">
        <v>80</v>
      </c>
      <c r="G41" s="38" t="s">
        <v>81</v>
      </c>
      <c r="H41" s="52">
        <v>50</v>
      </c>
      <c r="I41" s="232" t="s">
        <v>57</v>
      </c>
      <c r="J41" s="230">
        <f>H41*$I$16</f>
        <v>57.35</v>
      </c>
      <c r="K41" s="50">
        <v>42088.7125</v>
      </c>
      <c r="L41" s="50">
        <v>42088.73611111111</v>
      </c>
      <c r="M41" s="20">
        <f>IF(F41="","",(L41-K41)*24)</f>
        <v>0.566666666592937</v>
      </c>
      <c r="N41" s="21">
        <f>IF(F41="","",ROUND((L41-K41)*24*60,0))</f>
        <v>34</v>
      </c>
      <c r="O41" s="51" t="s">
        <v>72</v>
      </c>
      <c r="P41" s="51" t="str">
        <f t="shared" si="3"/>
        <v>NO</v>
      </c>
      <c r="Q41" s="51" t="s">
        <v>82</v>
      </c>
      <c r="R41" s="51" t="s">
        <v>65</v>
      </c>
      <c r="S41" s="291">
        <f>$I$17*IF(OR(O41="P",O41="RP"),0.1,1)*IF(R41="SI",1,0.1)</f>
        <v>30</v>
      </c>
      <c r="T41" s="296" t="str">
        <f>IF(O41="P",J41*S41*ROUND(N41/60,2),"--")</f>
        <v>--</v>
      </c>
      <c r="U41" s="302" t="str">
        <f>IF(O41="RP",J41*S41*ROUND(N41/60,2)*Q41/100,"--")</f>
        <v>--</v>
      </c>
      <c r="V41" s="315">
        <f>IF(AND(O41="F",P41="NO"),J41*S41,"--")</f>
        <v>1720.5</v>
      </c>
      <c r="W41" s="316">
        <f>IF(O41="F",J41*S41*ROUND(N41/60,2),"--")</f>
        <v>980.685</v>
      </c>
      <c r="X41" s="323" t="str">
        <f>IF(AND(O41="R",P41="NO"),J41*S41*Q41/100,"--")</f>
        <v>--</v>
      </c>
      <c r="Y41" s="324" t="str">
        <f>IF(O41="R",J41*S41*ROUND(N41/60,2)*Q41/100,"--")</f>
        <v>--</v>
      </c>
      <c r="Z41" s="336" t="str">
        <f>IF(O41="RF",J41*S41*ROUND(N41/60,2),"--")</f>
        <v>--</v>
      </c>
      <c r="AA41" s="332" t="str">
        <f>IF(O41="RR",J41*S41*ROUND(N41/60,2)*Q41/100,"--")</f>
        <v>--</v>
      </c>
      <c r="AB41" s="51" t="s">
        <v>65</v>
      </c>
      <c r="AC41" s="25">
        <f t="shared" si="13"/>
        <v>2701.185</v>
      </c>
      <c r="AD41" s="145"/>
    </row>
    <row r="42" spans="1:30" s="7" customFormat="1" ht="16.5" customHeight="1">
      <c r="A42" s="138"/>
      <c r="B42" s="144"/>
      <c r="C42" s="48">
        <v>65</v>
      </c>
      <c r="D42" s="48">
        <v>286753</v>
      </c>
      <c r="E42" s="48">
        <v>5074</v>
      </c>
      <c r="F42" s="39" t="s">
        <v>80</v>
      </c>
      <c r="G42" s="38" t="s">
        <v>81</v>
      </c>
      <c r="H42" s="52">
        <v>50</v>
      </c>
      <c r="I42" s="232" t="s">
        <v>57</v>
      </c>
      <c r="J42" s="230">
        <f>H42*$I$16</f>
        <v>57.35</v>
      </c>
      <c r="K42" s="50">
        <v>42088.736805555556</v>
      </c>
      <c r="L42" s="50">
        <v>42088.84305555555</v>
      </c>
      <c r="M42" s="20">
        <f>IF(F42="","",(L42-K42)*24)</f>
        <v>2.549999999930151</v>
      </c>
      <c r="N42" s="21">
        <f>IF(F42="","",ROUND((L42-K42)*24*60,0))</f>
        <v>153</v>
      </c>
      <c r="O42" s="51" t="s">
        <v>85</v>
      </c>
      <c r="P42" s="51" t="str">
        <f t="shared" si="3"/>
        <v>NO</v>
      </c>
      <c r="Q42" s="287">
        <v>50</v>
      </c>
      <c r="R42" s="51" t="str">
        <f>IF(F42="","","NO")</f>
        <v>NO</v>
      </c>
      <c r="S42" s="291">
        <f>$I$17*IF(OR(O42="P",O42="RP"),0.1,1)*IF(R42="SI",1,0.1)</f>
        <v>3</v>
      </c>
      <c r="T42" s="296" t="str">
        <f>IF(O42="P",J42*S42*ROUND(N42/60,2),"--")</f>
        <v>--</v>
      </c>
      <c r="U42" s="302" t="str">
        <f>IF(O42="RP",J42*S42*ROUND(N42/60,2)*Q42/100,"--")</f>
        <v>--</v>
      </c>
      <c r="V42" s="315" t="str">
        <f>IF(AND(O42="F",P42="NO"),J42*S42,"--")</f>
        <v>--</v>
      </c>
      <c r="W42" s="316" t="str">
        <f>IF(O42="F",J42*S42*ROUND(N42/60,2),"--")</f>
        <v>--</v>
      </c>
      <c r="X42" s="323">
        <f>IF(AND(O42="R",P42="NO"),J42*S42*Q42/100,"--")</f>
        <v>86.025</v>
      </c>
      <c r="Y42" s="324">
        <f>IF(O42="R",J42*S42*ROUND(N42/60,2)*Q42/100,"--")</f>
        <v>219.36375</v>
      </c>
      <c r="Z42" s="336" t="str">
        <f>IF(O42="RF",J42*S42*ROUND(N42/60,2),"--")</f>
        <v>--</v>
      </c>
      <c r="AA42" s="332" t="str">
        <f>IF(O42="RR",J42*S42*ROUND(N42/60,2)*Q42/100,"--")</f>
        <v>--</v>
      </c>
      <c r="AB42" s="51" t="s">
        <v>65</v>
      </c>
      <c r="AC42" s="25">
        <f t="shared" si="13"/>
        <v>305.38875</v>
      </c>
      <c r="AD42" s="145"/>
    </row>
    <row r="43" spans="1:30" s="7" customFormat="1" ht="16.5" customHeight="1" thickBot="1">
      <c r="A43" s="138"/>
      <c r="B43" s="144"/>
      <c r="C43" s="360"/>
      <c r="D43" s="360"/>
      <c r="E43" s="360"/>
      <c r="F43" s="360"/>
      <c r="G43" s="360"/>
      <c r="H43" s="360"/>
      <c r="I43" s="360"/>
      <c r="J43" s="286"/>
      <c r="K43" s="360"/>
      <c r="L43" s="360"/>
      <c r="M43" s="22"/>
      <c r="N43" s="22"/>
      <c r="O43" s="360"/>
      <c r="P43" s="22"/>
      <c r="Q43" s="360"/>
      <c r="R43" s="360"/>
      <c r="S43" s="292"/>
      <c r="T43" s="297"/>
      <c r="U43" s="303"/>
      <c r="V43" s="342"/>
      <c r="W43" s="341"/>
      <c r="X43" s="325"/>
      <c r="Y43" s="326"/>
      <c r="Z43" s="337"/>
      <c r="AA43" s="333"/>
      <c r="AB43" s="22"/>
      <c r="AC43" s="182"/>
      <c r="AD43" s="145"/>
    </row>
    <row r="44" spans="1:30" s="7" customFormat="1" ht="16.5" customHeight="1" thickBot="1" thickTop="1">
      <c r="A44" s="138"/>
      <c r="B44" s="144"/>
      <c r="C44" s="196" t="s">
        <v>39</v>
      </c>
      <c r="D44" s="198"/>
      <c r="E44" s="198"/>
      <c r="F44" s="197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98">
        <f>SUM(T20:T43)</f>
        <v>0</v>
      </c>
      <c r="U44" s="304">
        <f aca="true" t="shared" si="14" ref="U44:AA44">SUM(U20:U43)</f>
        <v>0</v>
      </c>
      <c r="V44" s="317">
        <f t="shared" si="14"/>
        <v>11957.475000000002</v>
      </c>
      <c r="W44" s="317">
        <f t="shared" si="14"/>
        <v>4546.421250000001</v>
      </c>
      <c r="X44" s="327">
        <f t="shared" si="14"/>
        <v>4215.225</v>
      </c>
      <c r="Y44" s="327">
        <f t="shared" si="14"/>
        <v>1410.6379500000003</v>
      </c>
      <c r="Z44" s="339">
        <f t="shared" si="14"/>
        <v>0</v>
      </c>
      <c r="AA44" s="340">
        <f t="shared" si="14"/>
        <v>0</v>
      </c>
      <c r="AB44" s="24"/>
      <c r="AC44" s="226">
        <f>ROUND(SUM(AC20:AC43),2)</f>
        <v>51962.46</v>
      </c>
      <c r="AD44" s="145"/>
    </row>
    <row r="45" spans="1:30" s="211" customFormat="1" ht="9.75" thickTop="1">
      <c r="A45" s="212"/>
      <c r="B45" s="213"/>
      <c r="C45" s="198"/>
      <c r="D45" s="198"/>
      <c r="E45" s="198"/>
      <c r="F45" s="199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5"/>
      <c r="U45" s="215"/>
      <c r="V45" s="215"/>
      <c r="W45" s="215"/>
      <c r="X45" s="215"/>
      <c r="Y45" s="215"/>
      <c r="Z45" s="215"/>
      <c r="AA45" s="215"/>
      <c r="AB45" s="214"/>
      <c r="AC45" s="216"/>
      <c r="AD45" s="217"/>
    </row>
    <row r="46" spans="1:30" s="7" customFormat="1" ht="16.5" customHeight="1" thickBot="1">
      <c r="A46" s="138"/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5"/>
    </row>
    <row r="47" spans="2:30" ht="16.5" customHeight="1" thickTop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C1">
      <selection activeCell="G16" sqref="G16:H18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7" width="25.7109375" style="0" customWidth="1"/>
    <col min="8" max="8" width="8.7109375" style="0" customWidth="1"/>
    <col min="9" max="9" width="12.7109375" style="0" customWidth="1"/>
    <col min="10" max="10" width="14.28125" style="0" hidden="1" customWidth="1"/>
    <col min="11" max="12" width="15.7109375" style="0" customWidth="1"/>
    <col min="13" max="15" width="9.7109375" style="0" customWidth="1"/>
    <col min="16" max="18" width="7.7109375" style="0" customWidth="1"/>
    <col min="19" max="19" width="12.57421875" style="0" hidden="1" customWidth="1"/>
    <col min="20" max="21" width="14.421875" style="0" hidden="1" customWidth="1"/>
    <col min="22" max="22" width="16.8515625" style="0" hidden="1" customWidth="1"/>
    <col min="23" max="27" width="16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6:30" s="59" customFormat="1" ht="30" customHeight="1"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349"/>
    </row>
    <row r="2" spans="2:30" s="59" customFormat="1" ht="26.25">
      <c r="B2" s="356" t="str">
        <f>+'TOT-0315'!B2</f>
        <v>ANEXO III al Memorándum  D.T.E.E.  N° 821/2015.-</v>
      </c>
      <c r="C2" s="60"/>
      <c r="D2" s="60"/>
      <c r="E2" s="60"/>
      <c r="F2" s="140"/>
      <c r="G2" s="72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6:30" s="7" customFormat="1" ht="12.75"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0" s="57" customFormat="1" ht="11.25">
      <c r="A4" s="364" t="s">
        <v>60</v>
      </c>
      <c r="B4" s="124"/>
      <c r="C4" s="364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:30" s="57" customFormat="1" ht="11.25">
      <c r="A5" s="364" t="s">
        <v>61</v>
      </c>
      <c r="B5" s="124"/>
      <c r="C5" s="124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:30" s="7" customFormat="1" ht="16.5" customHeight="1" thickBo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</row>
    <row r="7" spans="1:30" s="7" customFormat="1" ht="16.5" customHeight="1" thickTop="1">
      <c r="A7" s="138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3"/>
    </row>
    <row r="8" spans="1:30" s="61" customFormat="1" ht="21.75" customHeight="1">
      <c r="A8" s="157"/>
      <c r="B8" s="158"/>
      <c r="C8" s="146"/>
      <c r="D8" s="146"/>
      <c r="E8" s="146"/>
      <c r="F8" s="17" t="s">
        <v>14</v>
      </c>
      <c r="H8" s="146"/>
      <c r="I8" s="157"/>
      <c r="J8" s="157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59"/>
      <c r="AD8" s="160"/>
    </row>
    <row r="9" spans="1:30" s="7" customFormat="1" ht="16.5" customHeight="1">
      <c r="A9" s="138"/>
      <c r="B9" s="144"/>
      <c r="C9" s="23"/>
      <c r="D9" s="23"/>
      <c r="E9" s="23"/>
      <c r="F9" s="23"/>
      <c r="G9" s="23"/>
      <c r="H9" s="23"/>
      <c r="I9" s="13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54"/>
      <c r="AD9" s="145"/>
    </row>
    <row r="10" spans="1:30" s="61" customFormat="1" ht="24" customHeight="1">
      <c r="A10" s="157"/>
      <c r="B10" s="158"/>
      <c r="C10" s="146"/>
      <c r="D10" s="146"/>
      <c r="E10" s="146"/>
      <c r="F10" s="17" t="s">
        <v>40</v>
      </c>
      <c r="G10" s="146"/>
      <c r="H10" s="146"/>
      <c r="I10" s="15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59"/>
      <c r="AD10" s="160"/>
    </row>
    <row r="11" spans="1:30" s="7" customFormat="1" ht="16.5" customHeight="1">
      <c r="A11" s="138"/>
      <c r="B11" s="144"/>
      <c r="C11" s="23"/>
      <c r="D11" s="23"/>
      <c r="E11" s="23"/>
      <c r="F11" s="53"/>
      <c r="G11" s="23"/>
      <c r="H11" s="23"/>
      <c r="I11" s="138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54"/>
      <c r="AD11" s="145"/>
    </row>
    <row r="12" spans="1:30" s="61" customFormat="1" ht="24" customHeight="1">
      <c r="A12" s="157"/>
      <c r="B12" s="158"/>
      <c r="C12" s="146"/>
      <c r="D12" s="146"/>
      <c r="E12" s="146"/>
      <c r="F12" s="168" t="s">
        <v>41</v>
      </c>
      <c r="G12" s="17"/>
      <c r="H12" s="157"/>
      <c r="I12" s="157"/>
      <c r="J12" s="161"/>
      <c r="K12" s="146"/>
      <c r="L12" s="157"/>
      <c r="M12" s="157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59"/>
      <c r="AD12" s="160"/>
    </row>
    <row r="13" spans="1:30" s="7" customFormat="1" ht="16.5" customHeight="1">
      <c r="A13" s="138"/>
      <c r="B13" s="144"/>
      <c r="C13" s="23"/>
      <c r="D13" s="23"/>
      <c r="E13" s="23"/>
      <c r="F13" s="148"/>
      <c r="G13" s="148"/>
      <c r="H13" s="148"/>
      <c r="I13" s="149"/>
      <c r="J13" s="147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54"/>
      <c r="AD13" s="145"/>
    </row>
    <row r="14" spans="1:30" s="65" customFormat="1" ht="16.5" customHeight="1">
      <c r="A14" s="162"/>
      <c r="B14" s="164" t="str">
        <f>+'TOT-0315'!B14</f>
        <v>Desde el 01 al 31 de marzo de 2015</v>
      </c>
      <c r="C14" s="137"/>
      <c r="D14" s="137"/>
      <c r="E14" s="137"/>
      <c r="F14" s="137"/>
      <c r="G14" s="137"/>
      <c r="H14" s="137"/>
      <c r="I14" s="137"/>
      <c r="J14" s="137"/>
      <c r="K14" s="163"/>
      <c r="L14" s="165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66"/>
      <c r="AD14" s="167"/>
    </row>
    <row r="15" spans="1:30" s="7" customFormat="1" ht="16.5" customHeight="1" thickBot="1">
      <c r="A15" s="138"/>
      <c r="B15" s="144"/>
      <c r="C15" s="23"/>
      <c r="D15" s="23"/>
      <c r="E15" s="23"/>
      <c r="F15" s="23"/>
      <c r="G15" s="23"/>
      <c r="H15" s="23"/>
      <c r="I15" s="150"/>
      <c r="J15" s="23"/>
      <c r="K15" s="136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54"/>
      <c r="AD15" s="145"/>
    </row>
    <row r="16" spans="1:30" s="7" customFormat="1" ht="16.5" customHeight="1" thickBot="1" thickTop="1">
      <c r="A16" s="138"/>
      <c r="B16" s="144"/>
      <c r="C16" s="23"/>
      <c r="D16" s="23"/>
      <c r="E16" s="23"/>
      <c r="F16" s="169" t="s">
        <v>55</v>
      </c>
      <c r="G16" s="170"/>
      <c r="H16" s="171"/>
      <c r="I16" s="368">
        <v>1.147</v>
      </c>
      <c r="J16" s="138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54"/>
      <c r="AD16" s="145"/>
    </row>
    <row r="17" spans="1:30" s="7" customFormat="1" ht="16.5" customHeight="1" thickBot="1" thickTop="1">
      <c r="A17" s="138"/>
      <c r="B17" s="144"/>
      <c r="C17" s="23"/>
      <c r="D17" s="23"/>
      <c r="E17" s="23"/>
      <c r="F17" s="172" t="s">
        <v>42</v>
      </c>
      <c r="G17" s="173"/>
      <c r="H17" s="173"/>
      <c r="I17" s="174">
        <f>30*'TOT-0315'!B13</f>
        <v>30</v>
      </c>
      <c r="J17" s="23"/>
      <c r="K17" s="183" t="str">
        <f>IF(I17=30," ",IF(I17=60,"  Coeficiente duplicado por tasa de falla &gt;4 Sal. x año/100 km.","  REVISAR COEFICIENTE"))</f>
        <v> 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51"/>
      <c r="X17" s="151"/>
      <c r="Y17" s="151"/>
      <c r="Z17" s="151"/>
      <c r="AA17" s="151"/>
      <c r="AB17" s="151"/>
      <c r="AC17" s="54"/>
      <c r="AD17" s="145"/>
    </row>
    <row r="18" spans="1:30" s="7" customFormat="1" ht="16.5" customHeight="1" thickBot="1" thickTop="1">
      <c r="A18" s="138"/>
      <c r="B18" s="144"/>
      <c r="C18" s="365">
        <v>3</v>
      </c>
      <c r="D18" s="365">
        <v>4</v>
      </c>
      <c r="E18" s="365">
        <v>5</v>
      </c>
      <c r="F18" s="365">
        <v>6</v>
      </c>
      <c r="G18" s="365">
        <v>7</v>
      </c>
      <c r="H18" s="365">
        <v>8</v>
      </c>
      <c r="I18" s="365">
        <v>9</v>
      </c>
      <c r="J18" s="365">
        <v>10</v>
      </c>
      <c r="K18" s="365">
        <v>11</v>
      </c>
      <c r="L18" s="365">
        <v>12</v>
      </c>
      <c r="M18" s="365">
        <v>13</v>
      </c>
      <c r="N18" s="365">
        <v>14</v>
      </c>
      <c r="O18" s="365">
        <v>15</v>
      </c>
      <c r="P18" s="365">
        <v>16</v>
      </c>
      <c r="Q18" s="365">
        <v>17</v>
      </c>
      <c r="R18" s="365">
        <v>18</v>
      </c>
      <c r="S18" s="365">
        <v>19</v>
      </c>
      <c r="T18" s="365">
        <v>20</v>
      </c>
      <c r="U18" s="365">
        <v>21</v>
      </c>
      <c r="V18" s="365">
        <v>22</v>
      </c>
      <c r="W18" s="365">
        <v>23</v>
      </c>
      <c r="X18" s="365">
        <v>24</v>
      </c>
      <c r="Y18" s="365">
        <v>25</v>
      </c>
      <c r="Z18" s="365">
        <v>26</v>
      </c>
      <c r="AA18" s="365">
        <v>27</v>
      </c>
      <c r="AB18" s="365">
        <v>28</v>
      </c>
      <c r="AC18" s="365">
        <v>29</v>
      </c>
      <c r="AD18" s="145"/>
    </row>
    <row r="19" spans="1:30" s="308" customFormat="1" ht="33.75" customHeight="1" thickBot="1" thickTop="1">
      <c r="A19" s="305"/>
      <c r="B19" s="306"/>
      <c r="C19" s="131" t="s">
        <v>21</v>
      </c>
      <c r="D19" s="131" t="s">
        <v>58</v>
      </c>
      <c r="E19" s="131" t="s">
        <v>59</v>
      </c>
      <c r="F19" s="179" t="s">
        <v>43</v>
      </c>
      <c r="G19" s="175" t="s">
        <v>44</v>
      </c>
      <c r="H19" s="177" t="s">
        <v>45</v>
      </c>
      <c r="I19" s="178" t="s">
        <v>22</v>
      </c>
      <c r="J19" s="220" t="s">
        <v>24</v>
      </c>
      <c r="K19" s="175" t="s">
        <v>25</v>
      </c>
      <c r="L19" s="175" t="s">
        <v>26</v>
      </c>
      <c r="M19" s="179" t="s">
        <v>46</v>
      </c>
      <c r="N19" s="179" t="s">
        <v>47</v>
      </c>
      <c r="O19" s="134" t="s">
        <v>48</v>
      </c>
      <c r="P19" s="176" t="s">
        <v>49</v>
      </c>
      <c r="Q19" s="179" t="s">
        <v>30</v>
      </c>
      <c r="R19" s="175" t="s">
        <v>50</v>
      </c>
      <c r="S19" s="288" t="s">
        <v>51</v>
      </c>
      <c r="T19" s="293" t="s">
        <v>52</v>
      </c>
      <c r="U19" s="299" t="s">
        <v>32</v>
      </c>
      <c r="V19" s="309" t="s">
        <v>53</v>
      </c>
      <c r="W19" s="310"/>
      <c r="X19" s="318" t="s">
        <v>54</v>
      </c>
      <c r="Y19" s="338"/>
      <c r="Z19" s="328" t="s">
        <v>35</v>
      </c>
      <c r="AA19" s="329" t="s">
        <v>36</v>
      </c>
      <c r="AB19" s="218" t="s">
        <v>37</v>
      </c>
      <c r="AC19" s="180" t="s">
        <v>38</v>
      </c>
      <c r="AD19" s="307"/>
    </row>
    <row r="20" spans="1:30" s="7" customFormat="1" ht="16.5" customHeight="1" thickTop="1">
      <c r="A20" s="138"/>
      <c r="B20" s="144"/>
      <c r="C20" s="48"/>
      <c r="D20" s="48"/>
      <c r="E20" s="48"/>
      <c r="F20" s="357"/>
      <c r="G20" s="358"/>
      <c r="H20" s="358"/>
      <c r="I20" s="358"/>
      <c r="J20" s="228"/>
      <c r="K20" s="357"/>
      <c r="L20" s="358"/>
      <c r="M20" s="19"/>
      <c r="N20" s="19"/>
      <c r="O20" s="358"/>
      <c r="P20" s="18"/>
      <c r="Q20" s="358"/>
      <c r="R20" s="358"/>
      <c r="S20" s="289"/>
      <c r="T20" s="294"/>
      <c r="U20" s="300"/>
      <c r="V20" s="311"/>
      <c r="W20" s="312"/>
      <c r="X20" s="319"/>
      <c r="Y20" s="320"/>
      <c r="Z20" s="334"/>
      <c r="AA20" s="330"/>
      <c r="AB20" s="18"/>
      <c r="AC20" s="346">
        <f>'T-03 (2)'!AC44</f>
        <v>51962.46</v>
      </c>
      <c r="AD20" s="145"/>
    </row>
    <row r="21" spans="1:30" s="7" customFormat="1" ht="16.5" customHeight="1">
      <c r="A21" s="138"/>
      <c r="B21" s="144"/>
      <c r="C21" s="48"/>
      <c r="D21" s="48"/>
      <c r="E21" s="48"/>
      <c r="F21" s="359"/>
      <c r="G21" s="359"/>
      <c r="H21" s="359"/>
      <c r="I21" s="359"/>
      <c r="J21" s="229"/>
      <c r="K21" s="361"/>
      <c r="L21" s="359"/>
      <c r="M21" s="15"/>
      <c r="N21" s="15"/>
      <c r="O21" s="359"/>
      <c r="P21" s="14"/>
      <c r="Q21" s="359"/>
      <c r="R21" s="359"/>
      <c r="S21" s="290"/>
      <c r="T21" s="295"/>
      <c r="U21" s="301"/>
      <c r="V21" s="313"/>
      <c r="W21" s="314"/>
      <c r="X21" s="321"/>
      <c r="Y21" s="322"/>
      <c r="Z21" s="335"/>
      <c r="AA21" s="331"/>
      <c r="AB21" s="14"/>
      <c r="AC21" s="181"/>
      <c r="AD21" s="145"/>
    </row>
    <row r="22" spans="1:30" s="7" customFormat="1" ht="16.5" customHeight="1">
      <c r="A22" s="138"/>
      <c r="B22" s="152"/>
      <c r="C22" s="48">
        <v>66</v>
      </c>
      <c r="D22" s="48">
        <v>286754</v>
      </c>
      <c r="E22" s="48">
        <v>4263</v>
      </c>
      <c r="F22" s="39" t="s">
        <v>96</v>
      </c>
      <c r="G22" s="38" t="s">
        <v>84</v>
      </c>
      <c r="H22" s="52">
        <v>15</v>
      </c>
      <c r="I22" s="232" t="s">
        <v>97</v>
      </c>
      <c r="J22" s="230">
        <f>H22*$I$16</f>
        <v>17.205000000000002</v>
      </c>
      <c r="K22" s="50">
        <v>42089.51666666667</v>
      </c>
      <c r="L22" s="50">
        <v>42089.51875</v>
      </c>
      <c r="M22" s="20">
        <f>IF(F22="","",(L22-K22)*24)</f>
        <v>0.04999999998835847</v>
      </c>
      <c r="N22" s="21">
        <f>IF(F22="","",ROUND((L22-K22)*24*60,0))</f>
        <v>3</v>
      </c>
      <c r="O22" s="51" t="s">
        <v>85</v>
      </c>
      <c r="P22" s="51" t="str">
        <f>IF(F22="","",IF(OR(O22="P",O22="RP"),"--","NO"))</f>
        <v>NO</v>
      </c>
      <c r="Q22" s="287">
        <v>60</v>
      </c>
      <c r="R22" s="51" t="s">
        <v>65</v>
      </c>
      <c r="S22" s="291">
        <f>$I$17*IF(OR(O22="P",O22="RP"),0.1,1)*IF(R22="SI",1,0.1)</f>
        <v>30</v>
      </c>
      <c r="T22" s="296" t="str">
        <f>IF(O22="P",J22*S22*ROUND(N22/60,2),"--")</f>
        <v>--</v>
      </c>
      <c r="U22" s="302" t="str">
        <f>IF(O22="RP",J22*S22*ROUND(N22/60,2)*Q22/100,"--")</f>
        <v>--</v>
      </c>
      <c r="V22" s="315" t="str">
        <f>IF(AND(O22="F",P22="NO"),J22*S22,"--")</f>
        <v>--</v>
      </c>
      <c r="W22" s="316" t="str">
        <f>IF(O22="F",J22*S22*ROUND(N22/60,2),"--")</f>
        <v>--</v>
      </c>
      <c r="X22" s="323">
        <f>IF(AND(O22="R",P22="NO"),J22*S22*Q22/100,"--")</f>
        <v>309.69000000000005</v>
      </c>
      <c r="Y22" s="324">
        <f>IF(O22="R",J22*S22*ROUND(N22/60,2)*Q22/100,"--")</f>
        <v>15.484500000000002</v>
      </c>
      <c r="Z22" s="336" t="str">
        <f>IF(O22="RF",J22*S22*ROUND(N22/60,2),"--")</f>
        <v>--</v>
      </c>
      <c r="AA22" s="332" t="str">
        <f>IF(O22="RR",J22*S22*ROUND(N22/60,2)*Q22/100,"--")</f>
        <v>--</v>
      </c>
      <c r="AB22" s="51" t="s">
        <v>65</v>
      </c>
      <c r="AC22" s="25">
        <f>IF(F22="","",SUM(T22:AA22)*IF(AB22="SI",1,2))</f>
        <v>325.1745000000001</v>
      </c>
      <c r="AD22" s="344"/>
    </row>
    <row r="23" spans="1:30" s="7" customFormat="1" ht="16.5" customHeight="1">
      <c r="A23" s="138"/>
      <c r="B23" s="152"/>
      <c r="C23" s="48">
        <v>67</v>
      </c>
      <c r="D23" s="48">
        <v>286757</v>
      </c>
      <c r="E23" s="48">
        <v>2640</v>
      </c>
      <c r="F23" s="39" t="s">
        <v>101</v>
      </c>
      <c r="G23" s="38" t="s">
        <v>93</v>
      </c>
      <c r="H23" s="52">
        <v>15</v>
      </c>
      <c r="I23" s="232" t="s">
        <v>57</v>
      </c>
      <c r="J23" s="230">
        <f aca="true" t="shared" si="0" ref="J23:J38">H23*$I$16</f>
        <v>17.205000000000002</v>
      </c>
      <c r="K23" s="50">
        <v>42091.00555555556</v>
      </c>
      <c r="L23" s="50">
        <v>42091.00833333333</v>
      </c>
      <c r="M23" s="20">
        <f aca="true" t="shared" si="1" ref="M23:M38">IF(F23="","",(L23-K23)*24)</f>
        <v>0.0666666665347293</v>
      </c>
      <c r="N23" s="21">
        <f aca="true" t="shared" si="2" ref="N23:N38">IF(F23="","",ROUND((L23-K23)*24*60,0))</f>
        <v>4</v>
      </c>
      <c r="O23" s="51" t="s">
        <v>85</v>
      </c>
      <c r="P23" s="51" t="str">
        <f aca="true" t="shared" si="3" ref="P23:P41">IF(F23="","",IF(OR(O23="P",O23="RP"),"--","NO"))</f>
        <v>NO</v>
      </c>
      <c r="Q23" s="287">
        <v>40</v>
      </c>
      <c r="R23" s="51" t="s">
        <v>65</v>
      </c>
      <c r="S23" s="291">
        <f aca="true" t="shared" si="4" ref="S23:S38">$I$17*IF(OR(O23="P",O23="RP"),0.1,1)*IF(R23="SI",1,0.1)</f>
        <v>30</v>
      </c>
      <c r="T23" s="296" t="str">
        <f aca="true" t="shared" si="5" ref="T23:T38">IF(O23="P",J23*S23*ROUND(N23/60,2),"--")</f>
        <v>--</v>
      </c>
      <c r="U23" s="302" t="str">
        <f aca="true" t="shared" si="6" ref="U23:U38">IF(O23="RP",J23*S23*ROUND(N23/60,2)*Q23/100,"--")</f>
        <v>--</v>
      </c>
      <c r="V23" s="315" t="str">
        <f aca="true" t="shared" si="7" ref="V23:V38">IF(AND(O23="F",P23="NO"),J23*S23,"--")</f>
        <v>--</v>
      </c>
      <c r="W23" s="316" t="str">
        <f aca="true" t="shared" si="8" ref="W23:W38">IF(O23="F",J23*S23*ROUND(N23/60,2),"--")</f>
        <v>--</v>
      </c>
      <c r="X23" s="323">
        <f aca="true" t="shared" si="9" ref="X23:X38">IF(AND(O23="R",P23="NO"),J23*S23*Q23/100,"--")</f>
        <v>206.46000000000004</v>
      </c>
      <c r="Y23" s="324">
        <f aca="true" t="shared" si="10" ref="Y23:Y38">IF(O23="R",J23*S23*ROUND(N23/60,2)*Q23/100,"--")</f>
        <v>14.452200000000005</v>
      </c>
      <c r="Z23" s="336" t="str">
        <f aca="true" t="shared" si="11" ref="Z23:Z38">IF(O23="RF",J23*S23*ROUND(N23/60,2),"--")</f>
        <v>--</v>
      </c>
      <c r="AA23" s="332" t="str">
        <f aca="true" t="shared" si="12" ref="AA23:AA38">IF(O23="RR",J23*S23*ROUND(N23/60,2)*Q23/100,"--")</f>
        <v>--</v>
      </c>
      <c r="AB23" s="51" t="s">
        <v>65</v>
      </c>
      <c r="AC23" s="25">
        <f aca="true" t="shared" si="13" ref="AC23:AC41">IF(F23="","",SUM(T23:AA23)*IF(AB23="SI",1,2))</f>
        <v>220.91220000000004</v>
      </c>
      <c r="AD23" s="344"/>
    </row>
    <row r="24" spans="1:30" s="7" customFormat="1" ht="16.5" customHeight="1">
      <c r="A24" s="138"/>
      <c r="B24" s="152"/>
      <c r="C24" s="48">
        <v>68</v>
      </c>
      <c r="D24" s="48">
        <v>286763</v>
      </c>
      <c r="E24" s="48">
        <v>5425</v>
      </c>
      <c r="F24" s="39" t="s">
        <v>104</v>
      </c>
      <c r="G24" s="38" t="s">
        <v>81</v>
      </c>
      <c r="H24" s="367">
        <v>30</v>
      </c>
      <c r="I24" s="232" t="s">
        <v>97</v>
      </c>
      <c r="J24" s="230">
        <f t="shared" si="0"/>
        <v>34.410000000000004</v>
      </c>
      <c r="K24" s="50">
        <v>42091.00833333333</v>
      </c>
      <c r="L24" s="50">
        <v>42091.03055555555</v>
      </c>
      <c r="M24" s="20">
        <f t="shared" si="1"/>
        <v>0.5333333333255723</v>
      </c>
      <c r="N24" s="21">
        <f t="shared" si="2"/>
        <v>32</v>
      </c>
      <c r="O24" s="51" t="s">
        <v>72</v>
      </c>
      <c r="P24" s="51" t="str">
        <f t="shared" si="3"/>
        <v>NO</v>
      </c>
      <c r="Q24" s="51" t="s">
        <v>82</v>
      </c>
      <c r="R24" s="51" t="s">
        <v>65</v>
      </c>
      <c r="S24" s="291">
        <f t="shared" si="4"/>
        <v>30</v>
      </c>
      <c r="T24" s="296" t="str">
        <f t="shared" si="5"/>
        <v>--</v>
      </c>
      <c r="U24" s="302" t="str">
        <f t="shared" si="6"/>
        <v>--</v>
      </c>
      <c r="V24" s="315">
        <f t="shared" si="7"/>
        <v>1032.3000000000002</v>
      </c>
      <c r="W24" s="316">
        <f t="shared" si="8"/>
        <v>547.1190000000001</v>
      </c>
      <c r="X24" s="323" t="str">
        <f t="shared" si="9"/>
        <v>--</v>
      </c>
      <c r="Y24" s="324" t="str">
        <f t="shared" si="10"/>
        <v>--</v>
      </c>
      <c r="Z24" s="336" t="str">
        <f t="shared" si="11"/>
        <v>--</v>
      </c>
      <c r="AA24" s="332" t="str">
        <f t="shared" si="12"/>
        <v>--</v>
      </c>
      <c r="AB24" s="51" t="s">
        <v>65</v>
      </c>
      <c r="AC24" s="25">
        <f t="shared" si="13"/>
        <v>1579.4190000000003</v>
      </c>
      <c r="AD24" s="344"/>
    </row>
    <row r="25" spans="1:30" s="7" customFormat="1" ht="16.5" customHeight="1">
      <c r="A25" s="138"/>
      <c r="B25" s="144"/>
      <c r="C25" s="48">
        <v>69</v>
      </c>
      <c r="D25" s="48">
        <v>286785</v>
      </c>
      <c r="E25" s="48">
        <v>5074</v>
      </c>
      <c r="F25" s="39" t="s">
        <v>80</v>
      </c>
      <c r="G25" s="38" t="s">
        <v>81</v>
      </c>
      <c r="H25" s="52">
        <v>50</v>
      </c>
      <c r="I25" s="232" t="s">
        <v>97</v>
      </c>
      <c r="J25" s="230">
        <f t="shared" si="0"/>
        <v>57.35</v>
      </c>
      <c r="K25" s="50">
        <v>42091.73472222222</v>
      </c>
      <c r="L25" s="50">
        <v>42091.75833333333</v>
      </c>
      <c r="M25" s="20">
        <f t="shared" si="1"/>
        <v>0.566666666592937</v>
      </c>
      <c r="N25" s="21">
        <f t="shared" si="2"/>
        <v>34</v>
      </c>
      <c r="O25" s="51" t="s">
        <v>72</v>
      </c>
      <c r="P25" s="51" t="str">
        <f t="shared" si="3"/>
        <v>NO</v>
      </c>
      <c r="Q25" s="51" t="s">
        <v>82</v>
      </c>
      <c r="R25" s="51" t="s">
        <v>65</v>
      </c>
      <c r="S25" s="291">
        <f t="shared" si="4"/>
        <v>30</v>
      </c>
      <c r="T25" s="296" t="str">
        <f t="shared" si="5"/>
        <v>--</v>
      </c>
      <c r="U25" s="302" t="str">
        <f t="shared" si="6"/>
        <v>--</v>
      </c>
      <c r="V25" s="315">
        <f t="shared" si="7"/>
        <v>1720.5</v>
      </c>
      <c r="W25" s="316">
        <f t="shared" si="8"/>
        <v>980.685</v>
      </c>
      <c r="X25" s="323" t="str">
        <f t="shared" si="9"/>
        <v>--</v>
      </c>
      <c r="Y25" s="324" t="str">
        <f t="shared" si="10"/>
        <v>--</v>
      </c>
      <c r="Z25" s="336" t="str">
        <f t="shared" si="11"/>
        <v>--</v>
      </c>
      <c r="AA25" s="332" t="str">
        <f t="shared" si="12"/>
        <v>--</v>
      </c>
      <c r="AB25" s="51" t="s">
        <v>65</v>
      </c>
      <c r="AC25" s="25">
        <f t="shared" si="13"/>
        <v>2701.185</v>
      </c>
      <c r="AD25" s="344"/>
    </row>
    <row r="26" spans="1:30" s="7" customFormat="1" ht="16.5" customHeight="1">
      <c r="A26" s="138"/>
      <c r="B26" s="144"/>
      <c r="C26" s="48">
        <v>70</v>
      </c>
      <c r="D26" s="48">
        <v>286790</v>
      </c>
      <c r="E26" s="48">
        <v>5074</v>
      </c>
      <c r="F26" s="39" t="s">
        <v>80</v>
      </c>
      <c r="G26" s="38" t="s">
        <v>81</v>
      </c>
      <c r="H26" s="52">
        <v>50</v>
      </c>
      <c r="I26" s="232" t="s">
        <v>97</v>
      </c>
      <c r="J26" s="230">
        <f t="shared" si="0"/>
        <v>57.35</v>
      </c>
      <c r="K26" s="50">
        <v>42091.75902777778</v>
      </c>
      <c r="L26" s="50">
        <v>42091.777083333334</v>
      </c>
      <c r="M26" s="20">
        <f t="shared" si="1"/>
        <v>0.4333333333488554</v>
      </c>
      <c r="N26" s="21">
        <f t="shared" si="2"/>
        <v>26</v>
      </c>
      <c r="O26" s="51" t="s">
        <v>85</v>
      </c>
      <c r="P26" s="51" t="str">
        <f t="shared" si="3"/>
        <v>NO</v>
      </c>
      <c r="Q26" s="287">
        <v>50</v>
      </c>
      <c r="R26" s="51" t="s">
        <v>65</v>
      </c>
      <c r="S26" s="291">
        <f t="shared" si="4"/>
        <v>30</v>
      </c>
      <c r="T26" s="296" t="str">
        <f t="shared" si="5"/>
        <v>--</v>
      </c>
      <c r="U26" s="302" t="str">
        <f t="shared" si="6"/>
        <v>--</v>
      </c>
      <c r="V26" s="315" t="str">
        <f t="shared" si="7"/>
        <v>--</v>
      </c>
      <c r="W26" s="316" t="str">
        <f t="shared" si="8"/>
        <v>--</v>
      </c>
      <c r="X26" s="323">
        <f t="shared" si="9"/>
        <v>860.25</v>
      </c>
      <c r="Y26" s="324">
        <f t="shared" si="10"/>
        <v>369.9075</v>
      </c>
      <c r="Z26" s="336" t="str">
        <f t="shared" si="11"/>
        <v>--</v>
      </c>
      <c r="AA26" s="332" t="str">
        <f t="shared" si="12"/>
        <v>--</v>
      </c>
      <c r="AB26" s="51" t="s">
        <v>65</v>
      </c>
      <c r="AC26" s="25">
        <f t="shared" si="13"/>
        <v>1230.1575</v>
      </c>
      <c r="AD26" s="344"/>
    </row>
    <row r="27" spans="1:30" s="7" customFormat="1" ht="16.5" customHeight="1">
      <c r="A27" s="138"/>
      <c r="B27" s="144"/>
      <c r="C27" s="48"/>
      <c r="D27" s="48"/>
      <c r="E27" s="48"/>
      <c r="F27" s="39"/>
      <c r="G27" s="38"/>
      <c r="H27" s="52"/>
      <c r="I27" s="49"/>
      <c r="J27" s="230">
        <f t="shared" si="0"/>
        <v>0</v>
      </c>
      <c r="K27" s="50"/>
      <c r="L27" s="50"/>
      <c r="M27" s="20">
        <f t="shared" si="1"/>
      </c>
      <c r="N27" s="21">
        <f t="shared" si="2"/>
      </c>
      <c r="O27" s="51"/>
      <c r="P27" s="51">
        <f t="shared" si="3"/>
      </c>
      <c r="Q27" s="287">
        <f aca="true" t="shared" si="14" ref="Q27:Q38">IF(F27="","","--")</f>
      </c>
      <c r="R27" s="51">
        <f aca="true" t="shared" si="15" ref="R27:R38">IF(F27="","","NO")</f>
      </c>
      <c r="S27" s="291">
        <f t="shared" si="4"/>
        <v>3</v>
      </c>
      <c r="T27" s="296" t="str">
        <f t="shared" si="5"/>
        <v>--</v>
      </c>
      <c r="U27" s="302" t="str">
        <f t="shared" si="6"/>
        <v>--</v>
      </c>
      <c r="V27" s="315" t="str">
        <f t="shared" si="7"/>
        <v>--</v>
      </c>
      <c r="W27" s="316" t="str">
        <f t="shared" si="8"/>
        <v>--</v>
      </c>
      <c r="X27" s="323" t="str">
        <f t="shared" si="9"/>
        <v>--</v>
      </c>
      <c r="Y27" s="324" t="str">
        <f t="shared" si="10"/>
        <v>--</v>
      </c>
      <c r="Z27" s="336" t="str">
        <f t="shared" si="11"/>
        <v>--</v>
      </c>
      <c r="AA27" s="332" t="str">
        <f t="shared" si="12"/>
        <v>--</v>
      </c>
      <c r="AB27" s="51">
        <f aca="true" t="shared" si="16" ref="AB27:AB38">IF(F27="","","SI")</f>
      </c>
      <c r="AC27" s="25">
        <f t="shared" si="13"/>
      </c>
      <c r="AD27" s="344"/>
    </row>
    <row r="28" spans="1:30" s="7" customFormat="1" ht="16.5" customHeight="1">
      <c r="A28" s="138"/>
      <c r="B28" s="144"/>
      <c r="C28" s="48"/>
      <c r="D28" s="48"/>
      <c r="E28" s="48"/>
      <c r="F28" s="39"/>
      <c r="G28" s="38"/>
      <c r="H28" s="52"/>
      <c r="I28" s="49"/>
      <c r="J28" s="230">
        <f t="shared" si="0"/>
        <v>0</v>
      </c>
      <c r="K28" s="50"/>
      <c r="L28" s="50"/>
      <c r="M28" s="20">
        <f t="shared" si="1"/>
      </c>
      <c r="N28" s="21">
        <f t="shared" si="2"/>
      </c>
      <c r="O28" s="51"/>
      <c r="P28" s="51">
        <f t="shared" si="3"/>
      </c>
      <c r="Q28" s="287">
        <f t="shared" si="14"/>
      </c>
      <c r="R28" s="51">
        <f t="shared" si="15"/>
      </c>
      <c r="S28" s="291">
        <f t="shared" si="4"/>
        <v>3</v>
      </c>
      <c r="T28" s="296" t="str">
        <f t="shared" si="5"/>
        <v>--</v>
      </c>
      <c r="U28" s="302" t="str">
        <f t="shared" si="6"/>
        <v>--</v>
      </c>
      <c r="V28" s="315" t="str">
        <f t="shared" si="7"/>
        <v>--</v>
      </c>
      <c r="W28" s="316" t="str">
        <f t="shared" si="8"/>
        <v>--</v>
      </c>
      <c r="X28" s="323" t="str">
        <f t="shared" si="9"/>
        <v>--</v>
      </c>
      <c r="Y28" s="324" t="str">
        <f t="shared" si="10"/>
        <v>--</v>
      </c>
      <c r="Z28" s="336" t="str">
        <f t="shared" si="11"/>
        <v>--</v>
      </c>
      <c r="AA28" s="332" t="str">
        <f t="shared" si="12"/>
        <v>--</v>
      </c>
      <c r="AB28" s="51">
        <f t="shared" si="16"/>
      </c>
      <c r="AC28" s="25">
        <f t="shared" si="13"/>
      </c>
      <c r="AD28" s="344"/>
    </row>
    <row r="29" spans="1:30" s="7" customFormat="1" ht="16.5" customHeight="1">
      <c r="A29" s="138"/>
      <c r="B29" s="144"/>
      <c r="C29" s="48"/>
      <c r="D29" s="48"/>
      <c r="E29" s="48"/>
      <c r="F29" s="39"/>
      <c r="G29" s="38"/>
      <c r="H29" s="52"/>
      <c r="I29" s="49"/>
      <c r="J29" s="230">
        <f t="shared" si="0"/>
        <v>0</v>
      </c>
      <c r="K29" s="50"/>
      <c r="L29" s="50"/>
      <c r="M29" s="20">
        <f t="shared" si="1"/>
      </c>
      <c r="N29" s="21">
        <f t="shared" si="2"/>
      </c>
      <c r="O29" s="51"/>
      <c r="P29" s="51">
        <f t="shared" si="3"/>
      </c>
      <c r="Q29" s="287">
        <f t="shared" si="14"/>
      </c>
      <c r="R29" s="51">
        <f t="shared" si="15"/>
      </c>
      <c r="S29" s="291">
        <f t="shared" si="4"/>
        <v>3</v>
      </c>
      <c r="T29" s="296" t="str">
        <f t="shared" si="5"/>
        <v>--</v>
      </c>
      <c r="U29" s="302" t="str">
        <f t="shared" si="6"/>
        <v>--</v>
      </c>
      <c r="V29" s="315" t="str">
        <f t="shared" si="7"/>
        <v>--</v>
      </c>
      <c r="W29" s="316" t="str">
        <f t="shared" si="8"/>
        <v>--</v>
      </c>
      <c r="X29" s="323" t="str">
        <f t="shared" si="9"/>
        <v>--</v>
      </c>
      <c r="Y29" s="324" t="str">
        <f t="shared" si="10"/>
        <v>--</v>
      </c>
      <c r="Z29" s="336" t="str">
        <f t="shared" si="11"/>
        <v>--</v>
      </c>
      <c r="AA29" s="332" t="str">
        <f t="shared" si="12"/>
        <v>--</v>
      </c>
      <c r="AB29" s="51">
        <f t="shared" si="16"/>
      </c>
      <c r="AC29" s="25">
        <f t="shared" si="13"/>
      </c>
      <c r="AD29" s="344"/>
    </row>
    <row r="30" spans="1:30" s="7" customFormat="1" ht="16.5" customHeight="1">
      <c r="A30" s="138"/>
      <c r="B30" s="144"/>
      <c r="C30" s="48"/>
      <c r="D30" s="48"/>
      <c r="E30" s="48"/>
      <c r="F30" s="39"/>
      <c r="G30" s="38"/>
      <c r="H30" s="52"/>
      <c r="I30" s="49"/>
      <c r="J30" s="230">
        <f t="shared" si="0"/>
        <v>0</v>
      </c>
      <c r="K30" s="50"/>
      <c r="L30" s="50"/>
      <c r="M30" s="20">
        <f t="shared" si="1"/>
      </c>
      <c r="N30" s="21">
        <f t="shared" si="2"/>
      </c>
      <c r="O30" s="51"/>
      <c r="P30" s="51">
        <f t="shared" si="3"/>
      </c>
      <c r="Q30" s="287">
        <f t="shared" si="14"/>
      </c>
      <c r="R30" s="51">
        <f t="shared" si="15"/>
      </c>
      <c r="S30" s="291">
        <f t="shared" si="4"/>
        <v>3</v>
      </c>
      <c r="T30" s="296" t="str">
        <f t="shared" si="5"/>
        <v>--</v>
      </c>
      <c r="U30" s="302" t="str">
        <f t="shared" si="6"/>
        <v>--</v>
      </c>
      <c r="V30" s="315" t="str">
        <f t="shared" si="7"/>
        <v>--</v>
      </c>
      <c r="W30" s="316" t="str">
        <f t="shared" si="8"/>
        <v>--</v>
      </c>
      <c r="X30" s="323" t="str">
        <f t="shared" si="9"/>
        <v>--</v>
      </c>
      <c r="Y30" s="324" t="str">
        <f t="shared" si="10"/>
        <v>--</v>
      </c>
      <c r="Z30" s="336" t="str">
        <f t="shared" si="11"/>
        <v>--</v>
      </c>
      <c r="AA30" s="332" t="str">
        <f t="shared" si="12"/>
        <v>--</v>
      </c>
      <c r="AB30" s="51">
        <f t="shared" si="16"/>
      </c>
      <c r="AC30" s="25">
        <f t="shared" si="13"/>
      </c>
      <c r="AD30" s="344"/>
    </row>
    <row r="31" spans="1:30" s="7" customFormat="1" ht="16.5" customHeight="1">
      <c r="A31" s="138"/>
      <c r="B31" s="144"/>
      <c r="C31" s="48"/>
      <c r="D31" s="48"/>
      <c r="E31" s="48"/>
      <c r="F31" s="39"/>
      <c r="G31" s="38"/>
      <c r="H31" s="52"/>
      <c r="I31" s="49"/>
      <c r="J31" s="230">
        <f t="shared" si="0"/>
        <v>0</v>
      </c>
      <c r="K31" s="50"/>
      <c r="L31" s="50"/>
      <c r="M31" s="20">
        <f t="shared" si="1"/>
      </c>
      <c r="N31" s="21">
        <f t="shared" si="2"/>
      </c>
      <c r="O31" s="51"/>
      <c r="P31" s="51">
        <f t="shared" si="3"/>
      </c>
      <c r="Q31" s="287">
        <f t="shared" si="14"/>
      </c>
      <c r="R31" s="51">
        <f t="shared" si="15"/>
      </c>
      <c r="S31" s="291">
        <f t="shared" si="4"/>
        <v>3</v>
      </c>
      <c r="T31" s="296" t="str">
        <f t="shared" si="5"/>
        <v>--</v>
      </c>
      <c r="U31" s="302" t="str">
        <f t="shared" si="6"/>
        <v>--</v>
      </c>
      <c r="V31" s="315" t="str">
        <f t="shared" si="7"/>
        <v>--</v>
      </c>
      <c r="W31" s="316" t="str">
        <f t="shared" si="8"/>
        <v>--</v>
      </c>
      <c r="X31" s="323" t="str">
        <f t="shared" si="9"/>
        <v>--</v>
      </c>
      <c r="Y31" s="324" t="str">
        <f t="shared" si="10"/>
        <v>--</v>
      </c>
      <c r="Z31" s="336" t="str">
        <f t="shared" si="11"/>
        <v>--</v>
      </c>
      <c r="AA31" s="332" t="str">
        <f t="shared" si="12"/>
        <v>--</v>
      </c>
      <c r="AB31" s="51">
        <f t="shared" si="16"/>
      </c>
      <c r="AC31" s="25">
        <f t="shared" si="13"/>
      </c>
      <c r="AD31" s="344"/>
    </row>
    <row r="32" spans="1:30" s="7" customFormat="1" ht="16.5" customHeight="1">
      <c r="A32" s="138"/>
      <c r="B32" s="144"/>
      <c r="C32" s="48"/>
      <c r="D32" s="48"/>
      <c r="E32" s="48"/>
      <c r="F32" s="39"/>
      <c r="G32" s="38"/>
      <c r="H32" s="52"/>
      <c r="I32" s="49"/>
      <c r="J32" s="230">
        <f t="shared" si="0"/>
        <v>0</v>
      </c>
      <c r="K32" s="50"/>
      <c r="L32" s="50"/>
      <c r="M32" s="20">
        <f t="shared" si="1"/>
      </c>
      <c r="N32" s="21">
        <f t="shared" si="2"/>
      </c>
      <c r="O32" s="51"/>
      <c r="P32" s="51">
        <f t="shared" si="3"/>
      </c>
      <c r="Q32" s="287">
        <f t="shared" si="14"/>
      </c>
      <c r="R32" s="51">
        <f t="shared" si="15"/>
      </c>
      <c r="S32" s="291">
        <f t="shared" si="4"/>
        <v>3</v>
      </c>
      <c r="T32" s="296" t="str">
        <f t="shared" si="5"/>
        <v>--</v>
      </c>
      <c r="U32" s="302" t="str">
        <f t="shared" si="6"/>
        <v>--</v>
      </c>
      <c r="V32" s="315" t="str">
        <f t="shared" si="7"/>
        <v>--</v>
      </c>
      <c r="W32" s="316" t="str">
        <f t="shared" si="8"/>
        <v>--</v>
      </c>
      <c r="X32" s="323" t="str">
        <f t="shared" si="9"/>
        <v>--</v>
      </c>
      <c r="Y32" s="324" t="str">
        <f t="shared" si="10"/>
        <v>--</v>
      </c>
      <c r="Z32" s="336" t="str">
        <f t="shared" si="11"/>
        <v>--</v>
      </c>
      <c r="AA32" s="332" t="str">
        <f t="shared" si="12"/>
        <v>--</v>
      </c>
      <c r="AB32" s="51">
        <f t="shared" si="16"/>
      </c>
      <c r="AC32" s="25">
        <f t="shared" si="13"/>
      </c>
      <c r="AD32" s="344"/>
    </row>
    <row r="33" spans="1:30" s="7" customFormat="1" ht="16.5" customHeight="1">
      <c r="A33" s="138"/>
      <c r="B33" s="144"/>
      <c r="C33" s="48"/>
      <c r="D33" s="48"/>
      <c r="E33" s="48"/>
      <c r="F33" s="39"/>
      <c r="G33" s="38"/>
      <c r="H33" s="52"/>
      <c r="I33" s="49"/>
      <c r="J33" s="230">
        <f t="shared" si="0"/>
        <v>0</v>
      </c>
      <c r="K33" s="50"/>
      <c r="L33" s="50"/>
      <c r="M33" s="20">
        <f t="shared" si="1"/>
      </c>
      <c r="N33" s="21">
        <f t="shared" si="2"/>
      </c>
      <c r="O33" s="51"/>
      <c r="P33" s="51">
        <f t="shared" si="3"/>
      </c>
      <c r="Q33" s="287">
        <f t="shared" si="14"/>
      </c>
      <c r="R33" s="51">
        <f t="shared" si="15"/>
      </c>
      <c r="S33" s="291">
        <f t="shared" si="4"/>
        <v>3</v>
      </c>
      <c r="T33" s="296" t="str">
        <f t="shared" si="5"/>
        <v>--</v>
      </c>
      <c r="U33" s="302" t="str">
        <f t="shared" si="6"/>
        <v>--</v>
      </c>
      <c r="V33" s="315" t="str">
        <f t="shared" si="7"/>
        <v>--</v>
      </c>
      <c r="W33" s="316" t="str">
        <f t="shared" si="8"/>
        <v>--</v>
      </c>
      <c r="X33" s="323" t="str">
        <f t="shared" si="9"/>
        <v>--</v>
      </c>
      <c r="Y33" s="324" t="str">
        <f t="shared" si="10"/>
        <v>--</v>
      </c>
      <c r="Z33" s="336" t="str">
        <f t="shared" si="11"/>
        <v>--</v>
      </c>
      <c r="AA33" s="332" t="str">
        <f t="shared" si="12"/>
        <v>--</v>
      </c>
      <c r="AB33" s="51">
        <f t="shared" si="16"/>
      </c>
      <c r="AC33" s="25">
        <f t="shared" si="13"/>
      </c>
      <c r="AD33" s="344"/>
    </row>
    <row r="34" spans="1:30" s="7" customFormat="1" ht="16.5" customHeight="1">
      <c r="A34" s="138"/>
      <c r="B34" s="144"/>
      <c r="C34" s="48"/>
      <c r="D34" s="48"/>
      <c r="E34" s="48"/>
      <c r="F34" s="39"/>
      <c r="G34" s="38"/>
      <c r="H34" s="52"/>
      <c r="I34" s="49"/>
      <c r="J34" s="230">
        <f t="shared" si="0"/>
        <v>0</v>
      </c>
      <c r="K34" s="50"/>
      <c r="L34" s="50"/>
      <c r="M34" s="20">
        <f t="shared" si="1"/>
      </c>
      <c r="N34" s="21">
        <f t="shared" si="2"/>
      </c>
      <c r="O34" s="51"/>
      <c r="P34" s="51">
        <f t="shared" si="3"/>
      </c>
      <c r="Q34" s="287">
        <f t="shared" si="14"/>
      </c>
      <c r="R34" s="51">
        <f t="shared" si="15"/>
      </c>
      <c r="S34" s="291">
        <f t="shared" si="4"/>
        <v>3</v>
      </c>
      <c r="T34" s="296" t="str">
        <f t="shared" si="5"/>
        <v>--</v>
      </c>
      <c r="U34" s="302" t="str">
        <f t="shared" si="6"/>
        <v>--</v>
      </c>
      <c r="V34" s="315" t="str">
        <f t="shared" si="7"/>
        <v>--</v>
      </c>
      <c r="W34" s="316" t="str">
        <f t="shared" si="8"/>
        <v>--</v>
      </c>
      <c r="X34" s="323" t="str">
        <f t="shared" si="9"/>
        <v>--</v>
      </c>
      <c r="Y34" s="324" t="str">
        <f t="shared" si="10"/>
        <v>--</v>
      </c>
      <c r="Z34" s="336" t="str">
        <f t="shared" si="11"/>
        <v>--</v>
      </c>
      <c r="AA34" s="332" t="str">
        <f t="shared" si="12"/>
        <v>--</v>
      </c>
      <c r="AB34" s="51">
        <f t="shared" si="16"/>
      </c>
      <c r="AC34" s="25">
        <f t="shared" si="13"/>
      </c>
      <c r="AD34" s="344"/>
    </row>
    <row r="35" spans="1:30" s="7" customFormat="1" ht="16.5" customHeight="1">
      <c r="A35" s="138"/>
      <c r="B35" s="144"/>
      <c r="C35" s="48"/>
      <c r="D35" s="48"/>
      <c r="E35" s="48"/>
      <c r="F35" s="39"/>
      <c r="G35" s="38"/>
      <c r="H35" s="52"/>
      <c r="I35" s="49"/>
      <c r="J35" s="230">
        <f t="shared" si="0"/>
        <v>0</v>
      </c>
      <c r="K35" s="50"/>
      <c r="L35" s="50"/>
      <c r="M35" s="20">
        <f t="shared" si="1"/>
      </c>
      <c r="N35" s="21">
        <f t="shared" si="2"/>
      </c>
      <c r="O35" s="51"/>
      <c r="P35" s="51">
        <f t="shared" si="3"/>
      </c>
      <c r="Q35" s="287">
        <f t="shared" si="14"/>
      </c>
      <c r="R35" s="51">
        <f t="shared" si="15"/>
      </c>
      <c r="S35" s="291">
        <f t="shared" si="4"/>
        <v>3</v>
      </c>
      <c r="T35" s="296" t="str">
        <f t="shared" si="5"/>
        <v>--</v>
      </c>
      <c r="U35" s="302" t="str">
        <f t="shared" si="6"/>
        <v>--</v>
      </c>
      <c r="V35" s="315" t="str">
        <f t="shared" si="7"/>
        <v>--</v>
      </c>
      <c r="W35" s="316" t="str">
        <f t="shared" si="8"/>
        <v>--</v>
      </c>
      <c r="X35" s="323" t="str">
        <f t="shared" si="9"/>
        <v>--</v>
      </c>
      <c r="Y35" s="324" t="str">
        <f t="shared" si="10"/>
        <v>--</v>
      </c>
      <c r="Z35" s="336" t="str">
        <f t="shared" si="11"/>
        <v>--</v>
      </c>
      <c r="AA35" s="332" t="str">
        <f t="shared" si="12"/>
        <v>--</v>
      </c>
      <c r="AB35" s="51">
        <f t="shared" si="16"/>
      </c>
      <c r="AC35" s="25">
        <f t="shared" si="13"/>
      </c>
      <c r="AD35" s="344"/>
    </row>
    <row r="36" spans="1:30" s="7" customFormat="1" ht="16.5" customHeight="1">
      <c r="A36" s="138"/>
      <c r="B36" s="144"/>
      <c r="C36" s="48"/>
      <c r="D36" s="48"/>
      <c r="E36" s="48"/>
      <c r="F36" s="39"/>
      <c r="G36" s="38"/>
      <c r="H36" s="52"/>
      <c r="I36" s="49"/>
      <c r="J36" s="230">
        <f t="shared" si="0"/>
        <v>0</v>
      </c>
      <c r="K36" s="50"/>
      <c r="L36" s="50"/>
      <c r="M36" s="20">
        <f t="shared" si="1"/>
      </c>
      <c r="N36" s="21">
        <f t="shared" si="2"/>
      </c>
      <c r="O36" s="51"/>
      <c r="P36" s="51">
        <f t="shared" si="3"/>
      </c>
      <c r="Q36" s="287">
        <f t="shared" si="14"/>
      </c>
      <c r="R36" s="51">
        <f t="shared" si="15"/>
      </c>
      <c r="S36" s="291">
        <f t="shared" si="4"/>
        <v>3</v>
      </c>
      <c r="T36" s="296" t="str">
        <f t="shared" si="5"/>
        <v>--</v>
      </c>
      <c r="U36" s="302" t="str">
        <f t="shared" si="6"/>
        <v>--</v>
      </c>
      <c r="V36" s="315" t="str">
        <f t="shared" si="7"/>
        <v>--</v>
      </c>
      <c r="W36" s="316" t="str">
        <f t="shared" si="8"/>
        <v>--</v>
      </c>
      <c r="X36" s="323" t="str">
        <f t="shared" si="9"/>
        <v>--</v>
      </c>
      <c r="Y36" s="324" t="str">
        <f t="shared" si="10"/>
        <v>--</v>
      </c>
      <c r="Z36" s="336" t="str">
        <f t="shared" si="11"/>
        <v>--</v>
      </c>
      <c r="AA36" s="332" t="str">
        <f t="shared" si="12"/>
        <v>--</v>
      </c>
      <c r="AB36" s="51">
        <f t="shared" si="16"/>
      </c>
      <c r="AC36" s="25">
        <f t="shared" si="13"/>
      </c>
      <c r="AD36" s="344"/>
    </row>
    <row r="37" spans="1:30" s="7" customFormat="1" ht="16.5" customHeight="1">
      <c r="A37" s="138"/>
      <c r="B37" s="144"/>
      <c r="C37" s="48"/>
      <c r="D37" s="48"/>
      <c r="E37" s="48"/>
      <c r="F37" s="39"/>
      <c r="G37" s="38"/>
      <c r="H37" s="52"/>
      <c r="I37" s="49"/>
      <c r="J37" s="230">
        <f t="shared" si="0"/>
        <v>0</v>
      </c>
      <c r="K37" s="50"/>
      <c r="L37" s="50"/>
      <c r="M37" s="20">
        <f t="shared" si="1"/>
      </c>
      <c r="N37" s="21">
        <f t="shared" si="2"/>
      </c>
      <c r="O37" s="51"/>
      <c r="P37" s="51">
        <f t="shared" si="3"/>
      </c>
      <c r="Q37" s="287">
        <f t="shared" si="14"/>
      </c>
      <c r="R37" s="51">
        <f t="shared" si="15"/>
      </c>
      <c r="S37" s="291">
        <f t="shared" si="4"/>
        <v>3</v>
      </c>
      <c r="T37" s="296" t="str">
        <f t="shared" si="5"/>
        <v>--</v>
      </c>
      <c r="U37" s="302" t="str">
        <f t="shared" si="6"/>
        <v>--</v>
      </c>
      <c r="V37" s="315" t="str">
        <f t="shared" si="7"/>
        <v>--</v>
      </c>
      <c r="W37" s="316" t="str">
        <f t="shared" si="8"/>
        <v>--</v>
      </c>
      <c r="X37" s="323" t="str">
        <f t="shared" si="9"/>
        <v>--</v>
      </c>
      <c r="Y37" s="324" t="str">
        <f t="shared" si="10"/>
        <v>--</v>
      </c>
      <c r="Z37" s="336" t="str">
        <f t="shared" si="11"/>
        <v>--</v>
      </c>
      <c r="AA37" s="332" t="str">
        <f t="shared" si="12"/>
        <v>--</v>
      </c>
      <c r="AB37" s="51">
        <f t="shared" si="16"/>
      </c>
      <c r="AC37" s="25">
        <f t="shared" si="13"/>
      </c>
      <c r="AD37" s="145"/>
    </row>
    <row r="38" spans="1:30" s="7" customFormat="1" ht="16.5" customHeight="1">
      <c r="A38" s="138"/>
      <c r="B38" s="144"/>
      <c r="C38" s="48"/>
      <c r="D38" s="48"/>
      <c r="E38" s="48"/>
      <c r="F38" s="39"/>
      <c r="G38" s="38"/>
      <c r="H38" s="52"/>
      <c r="I38" s="49"/>
      <c r="J38" s="230">
        <f t="shared" si="0"/>
        <v>0</v>
      </c>
      <c r="K38" s="50"/>
      <c r="L38" s="50"/>
      <c r="M38" s="20">
        <f t="shared" si="1"/>
      </c>
      <c r="N38" s="21">
        <f t="shared" si="2"/>
      </c>
      <c r="O38" s="51"/>
      <c r="P38" s="51">
        <f t="shared" si="3"/>
      </c>
      <c r="Q38" s="287">
        <f t="shared" si="14"/>
      </c>
      <c r="R38" s="51">
        <f t="shared" si="15"/>
      </c>
      <c r="S38" s="291">
        <f t="shared" si="4"/>
        <v>3</v>
      </c>
      <c r="T38" s="296" t="str">
        <f t="shared" si="5"/>
        <v>--</v>
      </c>
      <c r="U38" s="302" t="str">
        <f t="shared" si="6"/>
        <v>--</v>
      </c>
      <c r="V38" s="315" t="str">
        <f t="shared" si="7"/>
        <v>--</v>
      </c>
      <c r="W38" s="316" t="str">
        <f t="shared" si="8"/>
        <v>--</v>
      </c>
      <c r="X38" s="323" t="str">
        <f t="shared" si="9"/>
        <v>--</v>
      </c>
      <c r="Y38" s="324" t="str">
        <f t="shared" si="10"/>
        <v>--</v>
      </c>
      <c r="Z38" s="336" t="str">
        <f t="shared" si="11"/>
        <v>--</v>
      </c>
      <c r="AA38" s="332" t="str">
        <f t="shared" si="12"/>
        <v>--</v>
      </c>
      <c r="AB38" s="51">
        <f t="shared" si="16"/>
      </c>
      <c r="AC38" s="25">
        <f t="shared" si="13"/>
      </c>
      <c r="AD38" s="145"/>
    </row>
    <row r="39" spans="1:30" s="7" customFormat="1" ht="16.5" customHeight="1">
      <c r="A39" s="138"/>
      <c r="B39" s="144"/>
      <c r="C39" s="48"/>
      <c r="D39" s="48"/>
      <c r="E39" s="48"/>
      <c r="F39" s="39"/>
      <c r="G39" s="38"/>
      <c r="H39" s="52"/>
      <c r="I39" s="49"/>
      <c r="J39" s="230">
        <f>H39*$I$16</f>
        <v>0</v>
      </c>
      <c r="K39" s="50"/>
      <c r="L39" s="50"/>
      <c r="M39" s="20">
        <f>IF(F39="","",(L39-K39)*24)</f>
      </c>
      <c r="N39" s="21">
        <f>IF(F39="","",ROUND((L39-K39)*24*60,0))</f>
      </c>
      <c r="O39" s="51"/>
      <c r="P39" s="51">
        <f t="shared" si="3"/>
      </c>
      <c r="Q39" s="287">
        <f>IF(F39="","","--")</f>
      </c>
      <c r="R39" s="51">
        <f>IF(F39="","","NO")</f>
      </c>
      <c r="S39" s="291">
        <f>$I$17*IF(OR(O39="P",O39="RP"),0.1,1)*IF(R39="SI",1,0.1)</f>
        <v>3</v>
      </c>
      <c r="T39" s="296" t="str">
        <f>IF(O39="P",J39*S39*ROUND(N39/60,2),"--")</f>
        <v>--</v>
      </c>
      <c r="U39" s="302" t="str">
        <f>IF(O39="RP",J39*S39*ROUND(N39/60,2)*Q39/100,"--")</f>
        <v>--</v>
      </c>
      <c r="V39" s="315" t="str">
        <f>IF(AND(O39="F",P39="NO"),J39*S39,"--")</f>
        <v>--</v>
      </c>
      <c r="W39" s="316" t="str">
        <f>IF(O39="F",J39*S39*ROUND(N39/60,2),"--")</f>
        <v>--</v>
      </c>
      <c r="X39" s="323" t="str">
        <f>IF(AND(O39="R",P39="NO"),J39*S39*Q39/100,"--")</f>
        <v>--</v>
      </c>
      <c r="Y39" s="324" t="str">
        <f>IF(O39="R",J39*S39*ROUND(N39/60,2)*Q39/100,"--")</f>
        <v>--</v>
      </c>
      <c r="Z39" s="336" t="str">
        <f>IF(O39="RF",J39*S39*ROUND(N39/60,2),"--")</f>
        <v>--</v>
      </c>
      <c r="AA39" s="332" t="str">
        <f>IF(O39="RR",J39*S39*ROUND(N39/60,2)*Q39/100,"--")</f>
        <v>--</v>
      </c>
      <c r="AB39" s="51">
        <f>IF(F39="","","SI")</f>
      </c>
      <c r="AC39" s="25">
        <f t="shared" si="13"/>
      </c>
      <c r="AD39" s="145"/>
    </row>
    <row r="40" spans="1:30" s="7" customFormat="1" ht="16.5" customHeight="1">
      <c r="A40" s="138"/>
      <c r="B40" s="144"/>
      <c r="C40" s="48"/>
      <c r="D40" s="48"/>
      <c r="E40" s="48"/>
      <c r="F40" s="39"/>
      <c r="G40" s="38"/>
      <c r="H40" s="52"/>
      <c r="I40" s="49"/>
      <c r="J40" s="230">
        <f>H40*$I$16</f>
        <v>0</v>
      </c>
      <c r="K40" s="50"/>
      <c r="L40" s="50"/>
      <c r="M40" s="20">
        <f>IF(F40="","",(L40-K40)*24)</f>
      </c>
      <c r="N40" s="21">
        <f>IF(F40="","",ROUND((L40-K40)*24*60,0))</f>
      </c>
      <c r="O40" s="51"/>
      <c r="P40" s="51">
        <f t="shared" si="3"/>
      </c>
      <c r="Q40" s="287">
        <f>IF(F40="","","--")</f>
      </c>
      <c r="R40" s="51">
        <f>IF(F40="","","NO")</f>
      </c>
      <c r="S40" s="291">
        <f>$I$17*IF(OR(O40="P",O40="RP"),0.1,1)*IF(R40="SI",1,0.1)</f>
        <v>3</v>
      </c>
      <c r="T40" s="296" t="str">
        <f>IF(O40="P",J40*S40*ROUND(N40/60,2),"--")</f>
        <v>--</v>
      </c>
      <c r="U40" s="302" t="str">
        <f>IF(O40="RP",J40*S40*ROUND(N40/60,2)*Q40/100,"--")</f>
        <v>--</v>
      </c>
      <c r="V40" s="315" t="str">
        <f>IF(AND(O40="F",P40="NO"),J40*S40,"--")</f>
        <v>--</v>
      </c>
      <c r="W40" s="316" t="str">
        <f>IF(O40="F",J40*S40*ROUND(N40/60,2),"--")</f>
        <v>--</v>
      </c>
      <c r="X40" s="323" t="str">
        <f>IF(AND(O40="R",P40="NO"),J40*S40*Q40/100,"--")</f>
        <v>--</v>
      </c>
      <c r="Y40" s="324" t="str">
        <f>IF(O40="R",J40*S40*ROUND(N40/60,2)*Q40/100,"--")</f>
        <v>--</v>
      </c>
      <c r="Z40" s="336" t="str">
        <f>IF(O40="RF",J40*S40*ROUND(N40/60,2),"--")</f>
        <v>--</v>
      </c>
      <c r="AA40" s="332" t="str">
        <f>IF(O40="RR",J40*S40*ROUND(N40/60,2)*Q40/100,"--")</f>
        <v>--</v>
      </c>
      <c r="AB40" s="51">
        <f>IF(F40="","","SI")</f>
      </c>
      <c r="AC40" s="25">
        <f t="shared" si="13"/>
      </c>
      <c r="AD40" s="145"/>
    </row>
    <row r="41" spans="1:30" s="7" customFormat="1" ht="16.5" customHeight="1">
      <c r="A41" s="138"/>
      <c r="B41" s="144"/>
      <c r="C41" s="48"/>
      <c r="D41" s="48"/>
      <c r="E41" s="48"/>
      <c r="F41" s="39"/>
      <c r="G41" s="38"/>
      <c r="H41" s="52"/>
      <c r="I41" s="49"/>
      <c r="J41" s="230">
        <f>H41*$I$16</f>
        <v>0</v>
      </c>
      <c r="K41" s="50"/>
      <c r="L41" s="50"/>
      <c r="M41" s="20">
        <f>IF(F41="","",(L41-K41)*24)</f>
      </c>
      <c r="N41" s="21">
        <f>IF(F41="","",ROUND((L41-K41)*24*60,0))</f>
      </c>
      <c r="O41" s="51"/>
      <c r="P41" s="51">
        <f t="shared" si="3"/>
      </c>
      <c r="Q41" s="287">
        <f>IF(F41="","","--")</f>
      </c>
      <c r="R41" s="51">
        <f>IF(F41="","","NO")</f>
      </c>
      <c r="S41" s="291">
        <f>$I$17*IF(OR(O41="P",O41="RP"),0.1,1)*IF(R41="SI",1,0.1)</f>
        <v>3</v>
      </c>
      <c r="T41" s="296" t="str">
        <f>IF(O41="P",J41*S41*ROUND(N41/60,2),"--")</f>
        <v>--</v>
      </c>
      <c r="U41" s="302" t="str">
        <f>IF(O41="RP",J41*S41*ROUND(N41/60,2)*Q41/100,"--")</f>
        <v>--</v>
      </c>
      <c r="V41" s="315" t="str">
        <f>IF(AND(O41="F",P41="NO"),J41*S41,"--")</f>
        <v>--</v>
      </c>
      <c r="W41" s="316" t="str">
        <f>IF(O41="F",J41*S41*ROUND(N41/60,2),"--")</f>
        <v>--</v>
      </c>
      <c r="X41" s="323" t="str">
        <f>IF(AND(O41="R",P41="NO"),J41*S41*Q41/100,"--")</f>
        <v>--</v>
      </c>
      <c r="Y41" s="324" t="str">
        <f>IF(O41="R",J41*S41*ROUND(N41/60,2)*Q41/100,"--")</f>
        <v>--</v>
      </c>
      <c r="Z41" s="336" t="str">
        <f>IF(O41="RF",J41*S41*ROUND(N41/60,2),"--")</f>
        <v>--</v>
      </c>
      <c r="AA41" s="332" t="str">
        <f>IF(O41="RR",J41*S41*ROUND(N41/60,2)*Q41/100,"--")</f>
        <v>--</v>
      </c>
      <c r="AB41" s="51">
        <f>IF(F41="","","SI")</f>
      </c>
      <c r="AC41" s="25">
        <f t="shared" si="13"/>
      </c>
      <c r="AD41" s="145"/>
    </row>
    <row r="42" spans="1:30" s="7" customFormat="1" ht="16.5" customHeight="1" thickBot="1">
      <c r="A42" s="138"/>
      <c r="B42" s="144"/>
      <c r="C42" s="360"/>
      <c r="D42" s="360"/>
      <c r="E42" s="360"/>
      <c r="F42" s="360"/>
      <c r="G42" s="360"/>
      <c r="H42" s="360"/>
      <c r="I42" s="360"/>
      <c r="J42" s="286"/>
      <c r="K42" s="360"/>
      <c r="L42" s="360"/>
      <c r="M42" s="22"/>
      <c r="N42" s="22"/>
      <c r="O42" s="360"/>
      <c r="P42" s="22"/>
      <c r="Q42" s="360"/>
      <c r="R42" s="360"/>
      <c r="S42" s="292"/>
      <c r="T42" s="297"/>
      <c r="U42" s="303"/>
      <c r="V42" s="342"/>
      <c r="W42" s="341"/>
      <c r="X42" s="325"/>
      <c r="Y42" s="326"/>
      <c r="Z42" s="337"/>
      <c r="AA42" s="333"/>
      <c r="AB42" s="22"/>
      <c r="AC42" s="182"/>
      <c r="AD42" s="145"/>
    </row>
    <row r="43" spans="1:30" s="7" customFormat="1" ht="16.5" customHeight="1" thickBot="1" thickTop="1">
      <c r="A43" s="138"/>
      <c r="B43" s="144"/>
      <c r="C43" s="196" t="s">
        <v>39</v>
      </c>
      <c r="D43" s="198"/>
      <c r="E43" s="198"/>
      <c r="F43" s="197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98">
        <f>SUM(T20:T42)</f>
        <v>0</v>
      </c>
      <c r="U43" s="304">
        <f aca="true" t="shared" si="17" ref="U43:AA43">SUM(U20:U42)</f>
        <v>0</v>
      </c>
      <c r="V43" s="317">
        <f t="shared" si="17"/>
        <v>2752.8</v>
      </c>
      <c r="W43" s="317">
        <f t="shared" si="17"/>
        <v>1527.804</v>
      </c>
      <c r="X43" s="327">
        <f t="shared" si="17"/>
        <v>1376.4</v>
      </c>
      <c r="Y43" s="327">
        <f t="shared" si="17"/>
        <v>399.84420000000006</v>
      </c>
      <c r="Z43" s="339">
        <f t="shared" si="17"/>
        <v>0</v>
      </c>
      <c r="AA43" s="340">
        <f t="shared" si="17"/>
        <v>0</v>
      </c>
      <c r="AB43" s="24"/>
      <c r="AC43" s="226">
        <f>ROUND(SUM(AC20:AC42),2)</f>
        <v>58019.31</v>
      </c>
      <c r="AD43" s="145"/>
    </row>
    <row r="44" spans="1:30" s="211" customFormat="1" ht="9.75" thickTop="1">
      <c r="A44" s="212"/>
      <c r="B44" s="213"/>
      <c r="C44" s="198"/>
      <c r="D44" s="198"/>
      <c r="E44" s="198"/>
      <c r="F44" s="199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5"/>
      <c r="U44" s="215"/>
      <c r="V44" s="215"/>
      <c r="W44" s="215"/>
      <c r="X44" s="215"/>
      <c r="Y44" s="215"/>
      <c r="Z44" s="215"/>
      <c r="AA44" s="215"/>
      <c r="AB44" s="214"/>
      <c r="AC44" s="216"/>
      <c r="AD44" s="217"/>
    </row>
    <row r="45" spans="1:30" s="7" customFormat="1" ht="16.5" customHeight="1" thickBot="1">
      <c r="A45" s="138"/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5"/>
    </row>
    <row r="46" spans="2:30" ht="16.5" customHeight="1" thickTop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Jaworski</cp:lastModifiedBy>
  <cp:lastPrinted>2015-12-30T13:35:29Z</cp:lastPrinted>
  <dcterms:created xsi:type="dcterms:W3CDTF">2000-10-04T19:31:04Z</dcterms:created>
  <dcterms:modified xsi:type="dcterms:W3CDTF">2015-12-30T13:36:41Z</dcterms:modified>
  <cp:category/>
  <cp:version/>
  <cp:contentType/>
  <cp:contentStatus/>
</cp:coreProperties>
</file>