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21" activeTab="0"/>
  </bookViews>
  <sheets>
    <sheet name="TOT-0614" sheetId="1" r:id="rId1"/>
    <sheet name="LI-06 (1)" sheetId="2" r:id="rId2"/>
    <sheet name="LI-SPSE-06 (1)" sheetId="3" r:id="rId3"/>
    <sheet name="TR-06 (1)" sheetId="4" r:id="rId4"/>
    <sheet name="S-EDERSA-06 (1)" sheetId="5" r:id="rId5"/>
    <sheet name="S-TRANSACUE-06 (1)" sheetId="6" r:id="rId6"/>
    <sheet name="SUP-EDERSA" sheetId="7" r:id="rId7"/>
    <sheet name="SUP-SPSE" sheetId="8" r:id="rId8"/>
    <sheet name="SUP-TRANSACUE" sheetId="9" r:id="rId9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comments5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<sst xmlns="http://schemas.openxmlformats.org/spreadsheetml/2006/main" count="408" uniqueCount="186">
  <si>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</si>
  <si>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</si>
  <si>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</si>
  <si>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</si>
  <si>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</si>
  <si>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</si>
  <si>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</si>
  <si>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</si>
  <si>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</si>
  <si>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</si>
  <si>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</si>
  <si>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</si>
  <si>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</si>
  <si>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</si>
  <si>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</si>
  <si>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</si>
  <si>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</si>
  <si>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</si>
  <si>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</si>
  <si>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</si>
  <si>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</si>
  <si>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</si>
  <si>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</si>
  <si>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</si>
  <si>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</si>
  <si>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</si>
  <si>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</si>
  <si>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</si>
  <si>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</si>
  <si>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Transportista Independiente S.P.S.E.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</si>
  <si>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</si>
  <si>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</si>
  <si>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</si>
  <si>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</si>
  <si>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</si>
  <si>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</si>
  <si>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</si>
  <si>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</si>
  <si>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>2.2.2.-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</si>
  <si>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</si>
  <si>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</si>
  <si>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</si>
  <si>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</si>
  <si>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</si>
  <si>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</si>
  <si>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</si>
  <si>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</si>
  <si>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</si>
  <si>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</si>
  <si>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</si>
  <si>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</si>
  <si>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</si>
  <si>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</si>
  <si>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</si>
  <si>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</si>
  <si>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</si>
  <si>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</si>
  <si>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</si>
  <si>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</si>
  <si>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</si>
  <si>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</si>
  <si>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</si>
  <si>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</si>
  <si>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</si>
  <si>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</si>
  <si>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</si>
  <si>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</si>
  <si>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</si>
  <si>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</si>
  <si>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</si>
  <si>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</si>
  <si>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</si>
  <si>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</si>
  <si>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</si>
  <si>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</si>
  <si>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</si>
  <si>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</si>
  <si>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</si>
  <si>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</si>
  <si>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</si>
  <si>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</si>
  <si>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</si>
  <si>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</si>
  <si>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</si>
  <si>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</si>
  <si>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</si>
  <si>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</si>
  <si>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</si>
  <si>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</si>
  <si>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</si>
  <si>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</si>
  <si>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</si>
  <si>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</si>
  <si>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</si>
  <si>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</si>
  <si>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</si>
  <si>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</si>
  <si>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</si>
  <si>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</si>
  <si>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</si>
  <si>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</si>
  <si>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</si>
  <si>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</si>
  <si>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</si>
  <si>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</si>
  <si>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</si>
  <si>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</si>
  <si>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</si>
  <si>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</si>
  <si>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</si>
  <si>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</si>
  <si>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</si>
  <si>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</si>
  <si>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</si>
  <si>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</si>
  <si>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</si>
  <si>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</si>
  <si>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</si>
  <si>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</si>
  <si>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</si>
  <si>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</si>
  <si>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</si>
  <si>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</si>
  <si>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</si>
  <si>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</si>
  <si>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</si>
  <si>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</si>
  <si>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</si>
  <si>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</si>
  <si>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</si>
  <si>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</si>
  <si>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</si>
  <si>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</si>
  <si>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</si>
  <si>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</si>
  <si>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</si>
  <si>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</si>
  <si>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</si>
  <si>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</si>
  <si>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</si>
  <si>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4.1.- SUPERVISIÓN - Transportista Independiente E.D.E.R.S.A.</t>
  </si>
  <si>
    <t>4.2.- SUPERVISIÓN - Transportista Independiente S.P.S.E.</t>
  </si>
  <si>
    <t>4.3.- SUPERVISIÓN - Transportista Independiente TRANSACUE S.A.</t>
  </si>
  <si>
    <t>SALIDA ALIM Coop. C. RIVADAVIA</t>
  </si>
  <si>
    <t>SALIDA LIN PAMPA CASTILLO - EL TORDILLO</t>
  </si>
  <si>
    <t>ID EQUIPO</t>
  </si>
  <si>
    <t>INDISP</t>
  </si>
  <si>
    <t xml:space="preserve">        DE LA ELECTRICIDAD</t>
  </si>
  <si>
    <t xml:space="preserve">           ENTE NACIONAL REGULADOR </t>
  </si>
  <si>
    <t>(DTE 0609)</t>
  </si>
  <si>
    <t>Desde el 01 al 30 de junio de 2014</t>
  </si>
  <si>
    <t>P</t>
  </si>
  <si>
    <t>SI</t>
  </si>
  <si>
    <t>0,000</t>
  </si>
  <si>
    <t>LAS HERAS - MINAS SAN JOSE</t>
  </si>
  <si>
    <t>F</t>
  </si>
  <si>
    <t>PICO TRUNCADO I - CDORO. RIVADAVIA</t>
  </si>
  <si>
    <t>132/33/13,2</t>
  </si>
  <si>
    <t>TRAFO 3</t>
  </si>
  <si>
    <t>COMODORO RIVADAVIA A1</t>
  </si>
  <si>
    <t>3.1.-</t>
  </si>
  <si>
    <t>3.2.-</t>
  </si>
  <si>
    <t>3.3.-</t>
  </si>
  <si>
    <t>PTQ. C. RIVADAVIA   -   P. DESEADO</t>
  </si>
  <si>
    <t>S. GRANDE</t>
  </si>
  <si>
    <t>SALIDA PTO. MADRYN</t>
  </si>
  <si>
    <t>EL COIHUE</t>
  </si>
  <si>
    <t>ALIM. A LAGO PUELO</t>
  </si>
  <si>
    <t>132/10,4</t>
  </si>
  <si>
    <t>TRELEW</t>
  </si>
  <si>
    <t>1.2.- Transportista Independiente S.P.S.E.</t>
  </si>
  <si>
    <t>2.2.1.- Transportista Independiente E.D.E.R.S.A.</t>
  </si>
  <si>
    <t>2.2.2.- Transportista Independiente TRANSACUE S.A.</t>
  </si>
  <si>
    <t>F- FORZADA</t>
  </si>
  <si>
    <t>P - PROGRAMADA  ; F - FORZADA</t>
  </si>
  <si>
    <t>F - FORZADA</t>
  </si>
  <si>
    <t xml:space="preserve"> - </t>
  </si>
  <si>
    <t xml:space="preserve">                 DE LA ELECTRICIDAD</t>
  </si>
  <si>
    <t>TOTAL DE PENALIZACIONES A APLICAR</t>
  </si>
  <si>
    <t>Valores remuneratorios  de acuerdo al Acuerdo Instrumental del Acta Acuerdo -  Res. ENRE N° 645/08 - Nota ENRE Nº 112183</t>
  </si>
  <si>
    <t>Recurso</t>
  </si>
  <si>
    <t>Res. 93/15</t>
  </si>
  <si>
    <t>Diferencia</t>
  </si>
  <si>
    <t>TOTAL A PENALIZAR A TRANSPA S.A. POR SUPERVISIÓN A TRANSACUE</t>
  </si>
  <si>
    <t>RM* =</t>
  </si>
  <si>
    <t>ANEXO VI al Memorándum  D.T.E.E.  N°  223 /2016         .-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</si>
</sst>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#,##0.00000"/>
    <numFmt numFmtId="169" formatCode="&quot;$&quot;\ #,##0.000;&quot;$&quot;\ \-#,##0.000"/>
    <numFmt numFmtId="170" formatCode="#,##0.0"/>
    <numFmt numFmtId="171" formatCode="0.000"/>
    <numFmt numFmtId="172" formatCode="0.000_)"/>
    <numFmt numFmtId="173" formatCode="&quot;$&quot;\ #,##0.000;[Red]&quot;$&quot;\ \-#,##0.000"/>
  </numFmts>
  <fonts count="10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7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104" fillId="0" borderId="8" applyNumberFormat="0" applyFill="0" applyAlignment="0" applyProtection="0"/>
    <xf numFmtId="0" fontId="96" fillId="0" borderId="9" applyNumberFormat="0" applyFill="0" applyAlignment="0" applyProtection="0"/>
    <xf numFmtId="0" fontId="105" fillId="0" borderId="10" applyNumberFormat="0" applyFill="0" applyAlignment="0" applyProtection="0"/>
  </cellStyleXfs>
  <cellXfs count="6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0" fontId="9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67" fontId="7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7" fontId="7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67" fontId="7" fillId="0" borderId="16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/>
    </xf>
    <xf numFmtId="22" fontId="7" fillId="0" borderId="17" xfId="0" applyNumberFormat="1" applyFont="1" applyFill="1" applyBorder="1" applyAlignment="1">
      <alignment horizontal="center"/>
    </xf>
    <xf numFmtId="22" fontId="7" fillId="0" borderId="18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7" fillId="0" borderId="13" xfId="0" applyNumberFormat="1" applyFont="1" applyFill="1" applyBorder="1" applyAlignment="1" applyProtection="1" quotePrefix="1">
      <alignment horizontal="center"/>
      <protection/>
    </xf>
    <xf numFmtId="167" fontId="10" fillId="0" borderId="1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22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169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69" fontId="25" fillId="0" borderId="3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7" fontId="10" fillId="0" borderId="13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7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1" xfId="0" applyFont="1" applyBorder="1" applyAlignment="1" applyProtection="1">
      <alignment horizontal="centerContinuous"/>
      <protection/>
    </xf>
    <xf numFmtId="0" fontId="39" fillId="0" borderId="32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7" fontId="39" fillId="0" borderId="0" xfId="0" applyNumberFormat="1" applyFont="1" applyBorder="1" applyAlignment="1" applyProtection="1">
      <alignment horizontal="center"/>
      <protection/>
    </xf>
    <xf numFmtId="167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7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67" fontId="48" fillId="33" borderId="13" xfId="0" applyNumberFormat="1" applyFont="1" applyFill="1" applyBorder="1" applyAlignment="1" applyProtection="1">
      <alignment horizontal="center"/>
      <protection/>
    </xf>
    <xf numFmtId="167" fontId="48" fillId="33" borderId="14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>
      <alignment/>
    </xf>
    <xf numFmtId="169" fontId="48" fillId="33" borderId="1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1" xfId="0" applyFon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3" fillId="34" borderId="28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3" fillId="35" borderId="28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6" fillId="36" borderId="34" xfId="0" applyFont="1" applyFill="1" applyBorder="1" applyAlignment="1">
      <alignment horizontal="center"/>
    </xf>
    <xf numFmtId="0" fontId="56" fillId="36" borderId="35" xfId="0" applyFont="1" applyFill="1" applyBorder="1" applyAlignment="1">
      <alignment/>
    </xf>
    <xf numFmtId="0" fontId="56" fillId="36" borderId="36" xfId="0" applyFont="1" applyFill="1" applyBorder="1" applyAlignment="1">
      <alignment/>
    </xf>
    <xf numFmtId="0" fontId="56" fillId="36" borderId="37" xfId="0" applyFont="1" applyFill="1" applyBorder="1" applyAlignment="1">
      <alignment horizontal="center"/>
    </xf>
    <xf numFmtId="0" fontId="56" fillId="36" borderId="38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6" fillId="37" borderId="34" xfId="0" applyFont="1" applyFill="1" applyBorder="1" applyAlignment="1">
      <alignment horizontal="center"/>
    </xf>
    <xf numFmtId="0" fontId="56" fillId="37" borderId="35" xfId="0" applyFont="1" applyFill="1" applyBorder="1" applyAlignment="1">
      <alignment/>
    </xf>
    <xf numFmtId="0" fontId="56" fillId="37" borderId="36" xfId="0" applyFont="1" applyFill="1" applyBorder="1" applyAlignment="1">
      <alignment/>
    </xf>
    <xf numFmtId="0" fontId="56" fillId="37" borderId="37" xfId="0" applyFont="1" applyFill="1" applyBorder="1" applyAlignment="1">
      <alignment horizontal="center"/>
    </xf>
    <xf numFmtId="0" fontId="56" fillId="37" borderId="38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6" fillId="38" borderId="26" xfId="0" applyFont="1" applyFill="1" applyBorder="1" applyAlignment="1">
      <alignment/>
    </xf>
    <xf numFmtId="0" fontId="56" fillId="38" borderId="13" xfId="0" applyFont="1" applyFill="1" applyBorder="1" applyAlignment="1">
      <alignment/>
    </xf>
    <xf numFmtId="0" fontId="53" fillId="39" borderId="28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/>
    </xf>
    <xf numFmtId="0" fontId="54" fillId="39" borderId="13" xfId="0" applyFont="1" applyFill="1" applyBorder="1" applyAlignment="1">
      <alignment/>
    </xf>
    <xf numFmtId="2" fontId="52" fillId="34" borderId="28" xfId="0" applyNumberFormat="1" applyFont="1" applyFill="1" applyBorder="1" applyAlignment="1">
      <alignment horizontal="center"/>
    </xf>
    <xf numFmtId="2" fontId="52" fillId="35" borderId="28" xfId="0" applyNumberFormat="1" applyFont="1" applyFill="1" applyBorder="1" applyAlignment="1">
      <alignment horizontal="center"/>
    </xf>
    <xf numFmtId="167" fontId="57" fillId="36" borderId="28" xfId="0" applyNumberFormat="1" applyFont="1" applyFill="1" applyBorder="1" applyAlignment="1" applyProtection="1" quotePrefix="1">
      <alignment horizontal="center"/>
      <protection/>
    </xf>
    <xf numFmtId="4" fontId="57" fillId="36" borderId="28" xfId="0" applyNumberFormat="1" applyFont="1" applyFill="1" applyBorder="1" applyAlignment="1">
      <alignment horizontal="center"/>
    </xf>
    <xf numFmtId="167" fontId="57" fillId="37" borderId="28" xfId="0" applyNumberFormat="1" applyFont="1" applyFill="1" applyBorder="1" applyAlignment="1" applyProtection="1" quotePrefix="1">
      <alignment horizontal="center"/>
      <protection/>
    </xf>
    <xf numFmtId="4" fontId="57" fillId="37" borderId="28" xfId="0" applyNumberFormat="1" applyFont="1" applyFill="1" applyBorder="1" applyAlignment="1">
      <alignment horizontal="center"/>
    </xf>
    <xf numFmtId="167" fontId="57" fillId="38" borderId="28" xfId="0" applyNumberFormat="1" applyFont="1" applyFill="1" applyBorder="1" applyAlignment="1" applyProtection="1" quotePrefix="1">
      <alignment horizontal="center"/>
      <protection/>
    </xf>
    <xf numFmtId="4" fontId="52" fillId="39" borderId="28" xfId="0" applyNumberFormat="1" applyFont="1" applyFill="1" applyBorder="1" applyAlignment="1">
      <alignment horizontal="center"/>
    </xf>
    <xf numFmtId="0" fontId="53" fillId="39" borderId="28" xfId="0" applyFont="1" applyFill="1" applyBorder="1" applyAlignment="1" applyProtection="1">
      <alignment horizontal="center" vertical="center"/>
      <protection/>
    </xf>
    <xf numFmtId="4" fontId="52" fillId="39" borderId="13" xfId="0" applyNumberFormat="1" applyFont="1" applyFill="1" applyBorder="1" applyAlignment="1" applyProtection="1">
      <alignment horizontal="center"/>
      <protection/>
    </xf>
    <xf numFmtId="0" fontId="53" fillId="40" borderId="30" xfId="0" applyFont="1" applyFill="1" applyBorder="1" applyAlignment="1" applyProtection="1">
      <alignment horizontal="centerContinuous" vertical="center" wrapText="1"/>
      <protection/>
    </xf>
    <xf numFmtId="167" fontId="52" fillId="40" borderId="37" xfId="0" applyNumberFormat="1" applyFont="1" applyFill="1" applyBorder="1" applyAlignment="1" applyProtection="1" quotePrefix="1">
      <alignment horizontal="center"/>
      <protection/>
    </xf>
    <xf numFmtId="167" fontId="52" fillId="40" borderId="18" xfId="0" applyNumberFormat="1" applyFont="1" applyFill="1" applyBorder="1" applyAlignment="1" applyProtection="1" quotePrefix="1">
      <alignment horizontal="center"/>
      <protection/>
    </xf>
    <xf numFmtId="0" fontId="53" fillId="34" borderId="30" xfId="0" applyFont="1" applyFill="1" applyBorder="1" applyAlignment="1" applyProtection="1">
      <alignment horizontal="centerContinuous" vertical="center" wrapText="1"/>
      <protection/>
    </xf>
    <xf numFmtId="0" fontId="53" fillId="34" borderId="31" xfId="0" applyFont="1" applyFill="1" applyBorder="1" applyAlignment="1">
      <alignment horizontal="centerContinuous" vertical="center"/>
    </xf>
    <xf numFmtId="167" fontId="52" fillId="34" borderId="37" xfId="0" applyNumberFormat="1" applyFont="1" applyFill="1" applyBorder="1" applyAlignment="1" applyProtection="1" quotePrefix="1">
      <alignment horizontal="center"/>
      <protection/>
    </xf>
    <xf numFmtId="167" fontId="52" fillId="34" borderId="18" xfId="0" applyNumberFormat="1" applyFont="1" applyFill="1" applyBorder="1" applyAlignment="1" applyProtection="1" quotePrefix="1">
      <alignment horizontal="center"/>
      <protection/>
    </xf>
    <xf numFmtId="167" fontId="50" fillId="36" borderId="13" xfId="0" applyNumberFormat="1" applyFont="1" applyFill="1" applyBorder="1" applyAlignment="1" applyProtection="1" quotePrefix="1">
      <alignment horizontal="center"/>
      <protection/>
    </xf>
    <xf numFmtId="167" fontId="57" fillId="37" borderId="13" xfId="0" applyNumberFormat="1" applyFont="1" applyFill="1" applyBorder="1" applyAlignment="1" applyProtection="1" quotePrefix="1">
      <alignment horizontal="center"/>
      <protection/>
    </xf>
    <xf numFmtId="0" fontId="58" fillId="0" borderId="19" xfId="0" applyFont="1" applyBorder="1" applyAlignment="1">
      <alignment/>
    </xf>
    <xf numFmtId="0" fontId="53" fillId="37" borderId="28" xfId="0" applyFont="1" applyFill="1" applyBorder="1" applyAlignment="1" applyProtection="1">
      <alignment horizontal="center" vertical="center"/>
      <protection/>
    </xf>
    <xf numFmtId="164" fontId="52" fillId="37" borderId="13" xfId="0" applyNumberFormat="1" applyFont="1" applyFill="1" applyBorder="1" applyAlignment="1" applyProtection="1">
      <alignment horizontal="center"/>
      <protection/>
    </xf>
    <xf numFmtId="167" fontId="7" fillId="0" borderId="36" xfId="0" applyNumberFormat="1" applyFont="1" applyFill="1" applyBorder="1" applyAlignment="1" applyProtection="1">
      <alignment horizontal="center"/>
      <protection/>
    </xf>
    <xf numFmtId="164" fontId="52" fillId="37" borderId="26" xfId="0" applyNumberFormat="1" applyFont="1" applyFill="1" applyBorder="1" applyAlignment="1" applyProtection="1">
      <alignment horizontal="center"/>
      <protection/>
    </xf>
    <xf numFmtId="167" fontId="10" fillId="0" borderId="26" xfId="0" applyNumberFormat="1" applyFont="1" applyFill="1" applyBorder="1" applyAlignment="1">
      <alignment horizontal="center"/>
    </xf>
    <xf numFmtId="2" fontId="57" fillId="36" borderId="26" xfId="0" applyNumberFormat="1" applyFont="1" applyFill="1" applyBorder="1" applyAlignment="1">
      <alignment horizontal="center"/>
    </xf>
    <xf numFmtId="2" fontId="57" fillId="36" borderId="13" xfId="0" applyNumberFormat="1" applyFont="1" applyFill="1" applyBorder="1" applyAlignment="1">
      <alignment horizontal="center"/>
    </xf>
    <xf numFmtId="167" fontId="52" fillId="34" borderId="34" xfId="0" applyNumberFormat="1" applyFont="1" applyFill="1" applyBorder="1" applyAlignment="1" applyProtection="1" quotePrefix="1">
      <alignment horizontal="center"/>
      <protection/>
    </xf>
    <xf numFmtId="167" fontId="52" fillId="34" borderId="39" xfId="0" applyNumberFormat="1" applyFont="1" applyFill="1" applyBorder="1" applyAlignment="1" applyProtection="1" quotePrefix="1">
      <alignment horizontal="center"/>
      <protection/>
    </xf>
    <xf numFmtId="167" fontId="7" fillId="0" borderId="26" xfId="0" applyNumberFormat="1" applyFont="1" applyFill="1" applyBorder="1" applyAlignment="1" applyProtection="1">
      <alignment horizontal="center"/>
      <protection/>
    </xf>
    <xf numFmtId="0" fontId="53" fillId="39" borderId="28" xfId="0" applyFont="1" applyFill="1" applyBorder="1" applyAlignment="1" applyProtection="1">
      <alignment horizontal="centerContinuous" vertical="center" wrapText="1"/>
      <protection/>
    </xf>
    <xf numFmtId="167" fontId="52" fillId="39" borderId="26" xfId="0" applyNumberFormat="1" applyFont="1" applyFill="1" applyBorder="1" applyAlignment="1" applyProtection="1" quotePrefix="1">
      <alignment horizontal="center"/>
      <protection/>
    </xf>
    <xf numFmtId="167" fontId="52" fillId="39" borderId="13" xfId="0" applyNumberFormat="1" applyFont="1" applyFill="1" applyBorder="1" applyAlignment="1" applyProtection="1" quotePrefix="1">
      <alignment horizontal="center"/>
      <protection/>
    </xf>
    <xf numFmtId="2" fontId="57" fillId="36" borderId="28" xfId="0" applyNumberFormat="1" applyFont="1" applyFill="1" applyBorder="1" applyAlignment="1">
      <alignment horizontal="center"/>
    </xf>
    <xf numFmtId="2" fontId="52" fillId="39" borderId="28" xfId="0" applyNumberFormat="1" applyFont="1" applyFill="1" applyBorder="1" applyAlignment="1">
      <alignment horizontal="center"/>
    </xf>
    <xf numFmtId="0" fontId="59" fillId="33" borderId="26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67" fontId="60" fillId="33" borderId="13" xfId="0" applyNumberFormat="1" applyFont="1" applyFill="1" applyBorder="1" applyAlignment="1" applyProtection="1">
      <alignment horizontal="center"/>
      <protection/>
    </xf>
    <xf numFmtId="167" fontId="60" fillId="33" borderId="14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7" fontId="0" fillId="0" borderId="26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0" xfId="0" applyFont="1" applyBorder="1" applyAlignment="1" applyProtection="1">
      <alignment horizontal="left"/>
      <protection/>
    </xf>
    <xf numFmtId="0" fontId="10" fillId="0" borderId="41" xfId="0" applyFont="1" applyFill="1" applyBorder="1" applyAlignment="1">
      <alignment/>
    </xf>
    <xf numFmtId="0" fontId="10" fillId="0" borderId="42" xfId="0" applyFont="1" applyBorder="1" applyAlignment="1" applyProtection="1">
      <alignment horizontal="right"/>
      <protection/>
    </xf>
    <xf numFmtId="0" fontId="0" fillId="0" borderId="43" xfId="0" applyFont="1" applyBorder="1" applyAlignment="1">
      <alignment/>
    </xf>
    <xf numFmtId="0" fontId="10" fillId="0" borderId="44" xfId="0" applyFont="1" applyFill="1" applyBorder="1" applyAlignment="1">
      <alignment/>
    </xf>
    <xf numFmtId="167" fontId="10" fillId="0" borderId="45" xfId="0" applyNumberFormat="1" applyFont="1" applyBorder="1" applyAlignment="1" applyProtection="1">
      <alignment horizontal="right"/>
      <protection/>
    </xf>
    <xf numFmtId="169" fontId="10" fillId="0" borderId="46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8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7" fontId="10" fillId="0" borderId="50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 horizontal="centerContinuous"/>
    </xf>
    <xf numFmtId="0" fontId="0" fillId="0" borderId="50" xfId="0" applyBorder="1" applyAlignment="1">
      <alignment/>
    </xf>
    <xf numFmtId="7" fontId="19" fillId="0" borderId="51" xfId="0" applyNumberFormat="1" applyFont="1" applyBorder="1" applyAlignment="1">
      <alignment horizontal="center"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16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0" fontId="0" fillId="0" borderId="49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7" fontId="10" fillId="0" borderId="49" xfId="0" applyNumberFormat="1" applyFont="1" applyBorder="1" applyAlignment="1" applyProtection="1">
      <alignment horizontal="centerContinuous"/>
      <protection/>
    </xf>
    <xf numFmtId="2" fontId="22" fillId="0" borderId="57" xfId="0" applyNumberFormat="1" applyFont="1" applyBorder="1" applyAlignment="1">
      <alignment horizontal="centerContinuous"/>
    </xf>
    <xf numFmtId="7" fontId="10" fillId="0" borderId="52" xfId="0" applyNumberFormat="1" applyFont="1" applyBorder="1" applyAlignment="1">
      <alignment horizontal="centerContinuous"/>
    </xf>
    <xf numFmtId="167" fontId="10" fillId="0" borderId="53" xfId="0" applyNumberFormat="1" applyFont="1" applyBorder="1" applyAlignment="1" applyProtection="1" quotePrefix="1">
      <alignment horizontal="center"/>
      <protection/>
    </xf>
    <xf numFmtId="7" fontId="10" fillId="0" borderId="52" xfId="0" applyNumberFormat="1" applyFont="1" applyBorder="1" applyAlignment="1" applyProtection="1">
      <alignment horizontal="centerContinuous"/>
      <protection/>
    </xf>
    <xf numFmtId="2" fontId="22" fillId="0" borderId="58" xfId="0" applyNumberFormat="1" applyFont="1" applyBorder="1" applyAlignment="1">
      <alignment horizontal="centerContinuous"/>
    </xf>
    <xf numFmtId="0" fontId="10" fillId="0" borderId="59" xfId="0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1" xfId="0" applyNumberFormat="1" applyFont="1" applyBorder="1" applyAlignment="1">
      <alignment horizontal="centerContinuous"/>
    </xf>
    <xf numFmtId="7" fontId="10" fillId="0" borderId="55" xfId="0" applyNumberFormat="1" applyFont="1" applyBorder="1" applyAlignment="1">
      <alignment horizontal="centerContinuous"/>
    </xf>
    <xf numFmtId="167" fontId="10" fillId="0" borderId="48" xfId="0" applyNumberFormat="1" applyFont="1" applyBorder="1" applyAlignment="1" applyProtection="1" quotePrefix="1">
      <alignment horizontal="center"/>
      <protection/>
    </xf>
    <xf numFmtId="7" fontId="10" fillId="0" borderId="55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49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58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48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0" fillId="0" borderId="30" xfId="0" applyFont="1" applyBorder="1" applyAlignment="1" applyProtection="1">
      <alignment horizontal="center" vertical="center"/>
      <protection/>
    </xf>
    <xf numFmtId="171" fontId="0" fillId="0" borderId="30" xfId="0" applyNumberFormat="1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/>
      <protection locked="0"/>
    </xf>
    <xf numFmtId="0" fontId="7" fillId="0" borderId="65" xfId="0" applyFont="1" applyBorder="1" applyAlignment="1" applyProtection="1">
      <alignment horizontal="center"/>
      <protection locked="0"/>
    </xf>
    <xf numFmtId="2" fontId="7" fillId="0" borderId="65" xfId="0" applyNumberFormat="1" applyFont="1" applyBorder="1" applyAlignment="1" applyProtection="1">
      <alignment horizontal="center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7" fontId="52" fillId="34" borderId="14" xfId="0" applyNumberFormat="1" applyFont="1" applyFill="1" applyBorder="1" applyAlignment="1" applyProtection="1" quotePrefix="1">
      <alignment horizontal="center"/>
      <protection locked="0"/>
    </xf>
    <xf numFmtId="167" fontId="52" fillId="35" borderId="14" xfId="0" applyNumberFormat="1" applyFont="1" applyFill="1" applyBorder="1" applyAlignment="1" applyProtection="1" quotePrefix="1">
      <alignment horizontal="center"/>
      <protection locked="0"/>
    </xf>
    <xf numFmtId="167" fontId="57" fillId="36" borderId="66" xfId="0" applyNumberFormat="1" applyFont="1" applyFill="1" applyBorder="1" applyAlignment="1" applyProtection="1" quotePrefix="1">
      <alignment horizontal="center"/>
      <protection locked="0"/>
    </xf>
    <xf numFmtId="4" fontId="57" fillId="36" borderId="67" xfId="0" applyNumberFormat="1" applyFont="1" applyFill="1" applyBorder="1" applyAlignment="1" applyProtection="1">
      <alignment horizontal="center"/>
      <protection locked="0"/>
    </xf>
    <xf numFmtId="4" fontId="57" fillId="36" borderId="68" xfId="0" applyNumberFormat="1" applyFont="1" applyFill="1" applyBorder="1" applyAlignment="1" applyProtection="1">
      <alignment horizontal="center"/>
      <protection locked="0"/>
    </xf>
    <xf numFmtId="167" fontId="57" fillId="37" borderId="66" xfId="0" applyNumberFormat="1" applyFont="1" applyFill="1" applyBorder="1" applyAlignment="1" applyProtection="1" quotePrefix="1">
      <alignment horizontal="center"/>
      <protection locked="0"/>
    </xf>
    <xf numFmtId="4" fontId="57" fillId="37" borderId="67" xfId="0" applyNumberFormat="1" applyFont="1" applyFill="1" applyBorder="1" applyAlignment="1" applyProtection="1">
      <alignment horizontal="center"/>
      <protection locked="0"/>
    </xf>
    <xf numFmtId="4" fontId="57" fillId="37" borderId="68" xfId="0" applyNumberFormat="1" applyFont="1" applyFill="1" applyBorder="1" applyAlignment="1" applyProtection="1">
      <alignment horizontal="center"/>
      <protection locked="0"/>
    </xf>
    <xf numFmtId="4" fontId="57" fillId="38" borderId="14" xfId="0" applyNumberFormat="1" applyFont="1" applyFill="1" applyBorder="1" applyAlignment="1" applyProtection="1">
      <alignment horizontal="center"/>
      <protection locked="0"/>
    </xf>
    <xf numFmtId="4" fontId="52" fillId="39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54" fillId="34" borderId="13" xfId="0" applyFont="1" applyFill="1" applyBorder="1" applyAlignment="1" applyProtection="1">
      <alignment/>
      <protection locked="0"/>
    </xf>
    <xf numFmtId="0" fontId="54" fillId="35" borderId="13" xfId="0" applyFont="1" applyFill="1" applyBorder="1" applyAlignment="1" applyProtection="1">
      <alignment/>
      <protection locked="0"/>
    </xf>
    <xf numFmtId="0" fontId="56" fillId="36" borderId="37" xfId="0" applyFont="1" applyFill="1" applyBorder="1" applyAlignment="1" applyProtection="1">
      <alignment horizontal="center"/>
      <protection locked="0"/>
    </xf>
    <xf numFmtId="0" fontId="56" fillId="36" borderId="38" xfId="0" applyFont="1" applyFill="1" applyBorder="1" applyAlignment="1" applyProtection="1">
      <alignment/>
      <protection locked="0"/>
    </xf>
    <xf numFmtId="0" fontId="56" fillId="36" borderId="16" xfId="0" applyFont="1" applyFill="1" applyBorder="1" applyAlignment="1" applyProtection="1">
      <alignment/>
      <protection locked="0"/>
    </xf>
    <xf numFmtId="0" fontId="56" fillId="37" borderId="37" xfId="0" applyFont="1" applyFill="1" applyBorder="1" applyAlignment="1" applyProtection="1">
      <alignment horizontal="center"/>
      <protection locked="0"/>
    </xf>
    <xf numFmtId="0" fontId="56" fillId="37" borderId="38" xfId="0" applyFont="1" applyFill="1" applyBorder="1" applyAlignment="1" applyProtection="1">
      <alignment/>
      <protection locked="0"/>
    </xf>
    <xf numFmtId="0" fontId="56" fillId="37" borderId="16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4" fillId="39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7" fillId="38" borderId="28" xfId="0" applyFont="1" applyFill="1" applyBorder="1" applyAlignment="1" applyProtection="1">
      <alignment horizontal="center" vertical="center" wrapText="1"/>
      <protection/>
    </xf>
    <xf numFmtId="0" fontId="27" fillId="41" borderId="28" xfId="0" applyFont="1" applyFill="1" applyBorder="1" applyAlignment="1" applyProtection="1">
      <alignment horizontal="center" vertical="center" wrapText="1"/>
      <protection/>
    </xf>
    <xf numFmtId="0" fontId="53" fillId="40" borderId="31" xfId="0" applyFont="1" applyFill="1" applyBorder="1" applyAlignment="1" applyProtection="1">
      <alignment horizontal="centerContinuous" vertical="center"/>
      <protection/>
    </xf>
    <xf numFmtId="0" fontId="53" fillId="34" borderId="31" xfId="0" applyFont="1" applyFill="1" applyBorder="1" applyAlignment="1" applyProtection="1">
      <alignment horizontal="centerContinuous" vertical="center"/>
      <protection/>
    </xf>
    <xf numFmtId="0" fontId="49" fillId="36" borderId="28" xfId="0" applyFont="1" applyFill="1" applyBorder="1" applyAlignment="1" applyProtection="1">
      <alignment horizontal="center" vertical="center" wrapText="1"/>
      <protection/>
    </xf>
    <xf numFmtId="0" fontId="27" fillId="37" borderId="28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/>
      <protection/>
    </xf>
    <xf numFmtId="0" fontId="48" fillId="33" borderId="26" xfId="0" applyFont="1" applyFill="1" applyBorder="1" applyAlignment="1" applyProtection="1">
      <alignment/>
      <protection/>
    </xf>
    <xf numFmtId="0" fontId="52" fillId="39" borderId="26" xfId="0" applyFont="1" applyFill="1" applyBorder="1" applyAlignment="1" applyProtection="1">
      <alignment/>
      <protection/>
    </xf>
    <xf numFmtId="0" fontId="57" fillId="38" borderId="26" xfId="0" applyFont="1" applyFill="1" applyBorder="1" applyAlignment="1" applyProtection="1">
      <alignment/>
      <protection/>
    </xf>
    <xf numFmtId="0" fontId="57" fillId="41" borderId="26" xfId="0" applyFont="1" applyFill="1" applyBorder="1" applyAlignment="1" applyProtection="1">
      <alignment/>
      <protection/>
    </xf>
    <xf numFmtId="0" fontId="52" fillId="40" borderId="34" xfId="0" applyFont="1" applyFill="1" applyBorder="1" applyAlignment="1" applyProtection="1">
      <alignment horizontal="center"/>
      <protection/>
    </xf>
    <xf numFmtId="0" fontId="52" fillId="40" borderId="36" xfId="0" applyFont="1" applyFill="1" applyBorder="1" applyAlignment="1" applyProtection="1">
      <alignment/>
      <protection/>
    </xf>
    <xf numFmtId="0" fontId="52" fillId="34" borderId="34" xfId="0" applyFont="1" applyFill="1" applyBorder="1" applyAlignment="1" applyProtection="1">
      <alignment horizontal="center"/>
      <protection/>
    </xf>
    <xf numFmtId="0" fontId="52" fillId="34" borderId="36" xfId="0" applyFont="1" applyFill="1" applyBorder="1" applyAlignment="1" applyProtection="1">
      <alignment/>
      <protection/>
    </xf>
    <xf numFmtId="0" fontId="50" fillId="36" borderId="26" xfId="0" applyFont="1" applyFill="1" applyBorder="1" applyAlignment="1" applyProtection="1">
      <alignment/>
      <protection/>
    </xf>
    <xf numFmtId="0" fontId="57" fillId="37" borderId="26" xfId="0" applyFont="1" applyFill="1" applyBorder="1" applyAlignment="1" applyProtection="1">
      <alignment/>
      <protection/>
    </xf>
    <xf numFmtId="7" fontId="10" fillId="0" borderId="26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2" fillId="39" borderId="13" xfId="0" applyFont="1" applyFill="1" applyBorder="1" applyAlignment="1" applyProtection="1">
      <alignment/>
      <protection/>
    </xf>
    <xf numFmtId="0" fontId="57" fillId="38" borderId="13" xfId="0" applyFont="1" applyFill="1" applyBorder="1" applyAlignment="1" applyProtection="1">
      <alignment/>
      <protection/>
    </xf>
    <xf numFmtId="0" fontId="57" fillId="41" borderId="13" xfId="0" applyFont="1" applyFill="1" applyBorder="1" applyAlignment="1" applyProtection="1">
      <alignment/>
      <protection/>
    </xf>
    <xf numFmtId="0" fontId="52" fillId="40" borderId="37" xfId="0" applyFont="1" applyFill="1" applyBorder="1" applyAlignment="1" applyProtection="1">
      <alignment horizontal="center"/>
      <protection/>
    </xf>
    <xf numFmtId="0" fontId="52" fillId="40" borderId="16" xfId="0" applyFont="1" applyFill="1" applyBorder="1" applyAlignment="1" applyProtection="1">
      <alignment/>
      <protection/>
    </xf>
    <xf numFmtId="0" fontId="52" fillId="34" borderId="37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/>
      <protection/>
    </xf>
    <xf numFmtId="0" fontId="50" fillId="36" borderId="13" xfId="0" applyFont="1" applyFill="1" applyBorder="1" applyAlignment="1" applyProtection="1">
      <alignment/>
      <protection/>
    </xf>
    <xf numFmtId="0" fontId="57" fillId="37" borderId="13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7" fontId="10" fillId="0" borderId="16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2" xfId="0" applyFont="1" applyBorder="1" applyAlignment="1" applyProtection="1">
      <alignment horizontal="center"/>
      <protection/>
    </xf>
    <xf numFmtId="7" fontId="57" fillId="38" borderId="28" xfId="0" applyNumberFormat="1" applyFont="1" applyFill="1" applyBorder="1" applyAlignment="1" applyProtection="1">
      <alignment horizontal="center"/>
      <protection/>
    </xf>
    <xf numFmtId="7" fontId="57" fillId="41" borderId="28" xfId="0" applyNumberFormat="1" applyFont="1" applyFill="1" applyBorder="1" applyAlignment="1" applyProtection="1">
      <alignment horizontal="center"/>
      <protection/>
    </xf>
    <xf numFmtId="7" fontId="52" fillId="40" borderId="28" xfId="0" applyNumberFormat="1" applyFont="1" applyFill="1" applyBorder="1" applyAlignment="1" applyProtection="1">
      <alignment horizontal="center"/>
      <protection/>
    </xf>
    <xf numFmtId="7" fontId="52" fillId="34" borderId="28" xfId="0" applyNumberFormat="1" applyFont="1" applyFill="1" applyBorder="1" applyAlignment="1" applyProtection="1">
      <alignment horizontal="center"/>
      <protection/>
    </xf>
    <xf numFmtId="7" fontId="50" fillId="36" borderId="28" xfId="0" applyNumberFormat="1" applyFont="1" applyFill="1" applyBorder="1" applyAlignment="1" applyProtection="1">
      <alignment horizontal="center"/>
      <protection/>
    </xf>
    <xf numFmtId="7" fontId="57" fillId="37" borderId="28" xfId="0" applyNumberFormat="1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/>
      <protection/>
    </xf>
    <xf numFmtId="7" fontId="11" fillId="0" borderId="28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165" fontId="7" fillId="0" borderId="17" xfId="0" applyNumberFormat="1" applyFont="1" applyBorder="1" applyAlignment="1" applyProtection="1" quotePrefix="1">
      <alignment horizontal="center"/>
      <protection locked="0"/>
    </xf>
    <xf numFmtId="2" fontId="7" fillId="0" borderId="17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Fill="1" applyBorder="1" applyAlignment="1" applyProtection="1">
      <alignment horizontal="center"/>
      <protection locked="0"/>
    </xf>
    <xf numFmtId="0" fontId="52" fillId="39" borderId="14" xfId="0" applyFont="1" applyFill="1" applyBorder="1" applyAlignment="1" applyProtection="1">
      <alignment/>
      <protection locked="0"/>
    </xf>
    <xf numFmtId="0" fontId="57" fillId="38" borderId="14" xfId="0" applyFont="1" applyFill="1" applyBorder="1" applyAlignment="1" applyProtection="1">
      <alignment/>
      <protection locked="0"/>
    </xf>
    <xf numFmtId="0" fontId="57" fillId="41" borderId="14" xfId="0" applyFont="1" applyFill="1" applyBorder="1" applyAlignment="1" applyProtection="1">
      <alignment/>
      <protection locked="0"/>
    </xf>
    <xf numFmtId="0" fontId="52" fillId="40" borderId="66" xfId="0" applyFont="1" applyFill="1" applyBorder="1" applyAlignment="1" applyProtection="1">
      <alignment/>
      <protection locked="0"/>
    </xf>
    <xf numFmtId="0" fontId="52" fillId="40" borderId="70" xfId="0" applyFont="1" applyFill="1" applyBorder="1" applyAlignment="1" applyProtection="1">
      <alignment/>
      <protection locked="0"/>
    </xf>
    <xf numFmtId="0" fontId="52" fillId="34" borderId="66" xfId="0" applyFont="1" applyFill="1" applyBorder="1" applyAlignment="1" applyProtection="1">
      <alignment/>
      <protection locked="0"/>
    </xf>
    <xf numFmtId="0" fontId="52" fillId="34" borderId="70" xfId="0" applyFont="1" applyFill="1" applyBorder="1" applyAlignment="1" applyProtection="1">
      <alignment/>
      <protection locked="0"/>
    </xf>
    <xf numFmtId="0" fontId="50" fillId="36" borderId="14" xfId="0" applyFont="1" applyFill="1" applyBorder="1" applyAlignment="1" applyProtection="1">
      <alignment/>
      <protection locked="0"/>
    </xf>
    <xf numFmtId="0" fontId="57" fillId="37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22" fontId="7" fillId="0" borderId="17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Fill="1" applyBorder="1" applyAlignment="1" applyProtection="1">
      <alignment horizontal="center"/>
      <protection locked="0"/>
    </xf>
    <xf numFmtId="0" fontId="52" fillId="37" borderId="14" xfId="0" applyFont="1" applyFill="1" applyBorder="1" applyAlignment="1" applyProtection="1">
      <alignment/>
      <protection locked="0"/>
    </xf>
    <xf numFmtId="0" fontId="57" fillId="36" borderId="14" xfId="0" applyFont="1" applyFill="1" applyBorder="1" applyAlignment="1" applyProtection="1">
      <alignment/>
      <protection locked="0"/>
    </xf>
    <xf numFmtId="170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7" fontId="11" fillId="0" borderId="50" xfId="0" applyNumberFormat="1" applyFont="1" applyBorder="1" applyAlignment="1" applyProtection="1">
      <alignment horizontal="center"/>
      <protection/>
    </xf>
    <xf numFmtId="167" fontId="64" fillId="0" borderId="0" xfId="0" applyNumberFormat="1" applyFont="1" applyBorder="1" applyAlignment="1" applyProtection="1" quotePrefix="1">
      <alignment horizontal="left"/>
      <protection/>
    </xf>
    <xf numFmtId="167" fontId="64" fillId="0" borderId="53" xfId="0" applyNumberFormat="1" applyFont="1" applyBorder="1" applyAlignment="1" applyProtection="1" quotePrefix="1">
      <alignment horizontal="left"/>
      <protection/>
    </xf>
    <xf numFmtId="167" fontId="64" fillId="0" borderId="48" xfId="0" applyNumberFormat="1" applyFont="1" applyBorder="1" applyAlignment="1" applyProtection="1" quotePrefix="1">
      <alignment horizontal="left"/>
      <protection/>
    </xf>
    <xf numFmtId="167" fontId="11" fillId="0" borderId="50" xfId="0" applyNumberFormat="1" applyFont="1" applyBorder="1" applyAlignment="1" applyProtection="1">
      <alignment horizontal="left"/>
      <protection/>
    </xf>
    <xf numFmtId="172" fontId="11" fillId="0" borderId="50" xfId="0" applyNumberFormat="1" applyFont="1" applyBorder="1" applyAlignment="1" applyProtection="1">
      <alignment horizontal="right"/>
      <protection/>
    </xf>
    <xf numFmtId="172" fontId="11" fillId="0" borderId="51" xfId="0" applyNumberFormat="1" applyFont="1" applyBorder="1" applyAlignment="1" applyProtection="1">
      <alignment horizontal="right"/>
      <protection/>
    </xf>
    <xf numFmtId="7" fontId="30" fillId="0" borderId="52" xfId="0" applyNumberFormat="1" applyFont="1" applyBorder="1" applyAlignment="1">
      <alignment horizontal="left"/>
    </xf>
    <xf numFmtId="0" fontId="30" fillId="0" borderId="53" xfId="0" applyFont="1" applyBorder="1" applyAlignment="1" applyProtection="1">
      <alignment horizontal="centerContinuous"/>
      <protection/>
    </xf>
    <xf numFmtId="167" fontId="30" fillId="0" borderId="53" xfId="0" applyNumberFormat="1" applyFont="1" applyBorder="1" applyAlignment="1" applyProtection="1">
      <alignment horizontal="left"/>
      <protection/>
    </xf>
    <xf numFmtId="7" fontId="30" fillId="0" borderId="59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7" fontId="30" fillId="0" borderId="0" xfId="0" applyNumberFormat="1" applyFont="1" applyBorder="1" applyAlignment="1" applyProtection="1">
      <alignment horizontal="left"/>
      <protection/>
    </xf>
    <xf numFmtId="7" fontId="30" fillId="0" borderId="55" xfId="0" applyNumberFormat="1" applyFont="1" applyBorder="1" applyAlignment="1">
      <alignment horizontal="left"/>
    </xf>
    <xf numFmtId="0" fontId="30" fillId="0" borderId="48" xfId="0" applyFont="1" applyBorder="1" applyAlignment="1" applyProtection="1">
      <alignment horizontal="centerContinuous"/>
      <protection/>
    </xf>
    <xf numFmtId="167" fontId="30" fillId="0" borderId="48" xfId="0" applyNumberFormat="1" applyFont="1" applyBorder="1" applyAlignment="1" applyProtection="1">
      <alignment horizontal="left"/>
      <protection/>
    </xf>
    <xf numFmtId="0" fontId="71" fillId="0" borderId="53" xfId="0" applyFont="1" applyBorder="1" applyAlignment="1" applyProtection="1">
      <alignment horizontal="centerContinuous"/>
      <protection/>
    </xf>
    <xf numFmtId="167" fontId="71" fillId="0" borderId="53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Continuous"/>
      <protection/>
    </xf>
    <xf numFmtId="167" fontId="71" fillId="0" borderId="0" xfId="0" applyNumberFormat="1" applyFont="1" applyBorder="1" applyAlignment="1" applyProtection="1">
      <alignment horizontal="center"/>
      <protection/>
    </xf>
    <xf numFmtId="7" fontId="71" fillId="0" borderId="52" xfId="0" applyNumberFormat="1" applyFont="1" applyBorder="1" applyAlignment="1">
      <alignment horizontal="left"/>
    </xf>
    <xf numFmtId="7" fontId="71" fillId="0" borderId="59" xfId="0" applyNumberFormat="1" applyFont="1" applyBorder="1" applyAlignment="1">
      <alignment horizontal="left"/>
    </xf>
    <xf numFmtId="167" fontId="10" fillId="0" borderId="57" xfId="0" applyNumberFormat="1" applyFont="1" applyBorder="1" applyAlignment="1" applyProtection="1">
      <alignment horizontal="center"/>
      <protection/>
    </xf>
    <xf numFmtId="167" fontId="10" fillId="0" borderId="52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167" fontId="10" fillId="0" borderId="55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7" fontId="0" fillId="0" borderId="57" xfId="0" applyNumberFormat="1" applyBorder="1" applyAlignment="1">
      <alignment horizontal="center"/>
    </xf>
    <xf numFmtId="172" fontId="11" fillId="0" borderId="5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1" fontId="0" fillId="0" borderId="0" xfId="0" applyNumberFormat="1" applyFont="1" applyBorder="1" applyAlignment="1">
      <alignment horizontal="centerContinuous" vertical="center"/>
    </xf>
    <xf numFmtId="166" fontId="0" fillId="0" borderId="0" xfId="0" applyNumberFormat="1" applyFont="1" applyBorder="1" applyAlignment="1">
      <alignment horizontal="centerContinuous"/>
    </xf>
    <xf numFmtId="169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1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8" xfId="51" applyNumberFormat="1" applyFont="1" applyBorder="1" applyAlignment="1">
      <alignment horizontal="right"/>
    </xf>
    <xf numFmtId="167" fontId="7" fillId="0" borderId="13" xfId="0" applyNumberFormat="1" applyFont="1" applyBorder="1" applyAlignment="1" applyProtection="1" quotePrefix="1">
      <alignment horizontal="center"/>
      <protection/>
    </xf>
    <xf numFmtId="2" fontId="52" fillId="34" borderId="13" xfId="0" applyNumberFormat="1" applyFont="1" applyFill="1" applyBorder="1" applyAlignment="1" applyProtection="1">
      <alignment horizontal="center"/>
      <protection/>
    </xf>
    <xf numFmtId="2" fontId="52" fillId="35" borderId="13" xfId="0" applyNumberFormat="1" applyFont="1" applyFill="1" applyBorder="1" applyAlignment="1" applyProtection="1">
      <alignment horizontal="center"/>
      <protection/>
    </xf>
    <xf numFmtId="167" fontId="57" fillId="36" borderId="37" xfId="0" applyNumberFormat="1" applyFont="1" applyFill="1" applyBorder="1" applyAlignment="1" applyProtection="1" quotePrefix="1">
      <alignment horizontal="center"/>
      <protection/>
    </xf>
    <xf numFmtId="167" fontId="57" fillId="36" borderId="38" xfId="0" applyNumberFormat="1" applyFont="1" applyFill="1" applyBorder="1" applyAlignment="1" applyProtection="1" quotePrefix="1">
      <alignment horizontal="center"/>
      <protection/>
    </xf>
    <xf numFmtId="4" fontId="57" fillId="36" borderId="16" xfId="0" applyNumberFormat="1" applyFont="1" applyFill="1" applyBorder="1" applyAlignment="1" applyProtection="1">
      <alignment horizontal="center"/>
      <protection/>
    </xf>
    <xf numFmtId="167" fontId="57" fillId="37" borderId="37" xfId="0" applyNumberFormat="1" applyFont="1" applyFill="1" applyBorder="1" applyAlignment="1" applyProtection="1" quotePrefix="1">
      <alignment horizontal="center"/>
      <protection/>
    </xf>
    <xf numFmtId="167" fontId="57" fillId="37" borderId="38" xfId="0" applyNumberFormat="1" applyFont="1" applyFill="1" applyBorder="1" applyAlignment="1" applyProtection="1" quotePrefix="1">
      <alignment horizontal="center"/>
      <protection/>
    </xf>
    <xf numFmtId="4" fontId="57" fillId="37" borderId="16" xfId="0" applyNumberFormat="1" applyFont="1" applyFill="1" applyBorder="1" applyAlignment="1" applyProtection="1">
      <alignment horizontal="center"/>
      <protection/>
    </xf>
    <xf numFmtId="4" fontId="57" fillId="38" borderId="13" xfId="0" applyNumberFormat="1" applyFont="1" applyFill="1" applyBorder="1" applyAlignment="1" applyProtection="1">
      <alignment horizontal="center"/>
      <protection/>
    </xf>
    <xf numFmtId="4" fontId="52" fillId="39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7" fontId="7" fillId="0" borderId="13" xfId="0" applyNumberFormat="1" applyFont="1" applyFill="1" applyBorder="1" applyAlignment="1" applyProtection="1" quotePrefix="1">
      <alignment horizontal="center"/>
      <protection/>
    </xf>
    <xf numFmtId="2" fontId="57" fillId="38" borderId="13" xfId="0" applyNumberFormat="1" applyFont="1" applyFill="1" applyBorder="1" applyAlignment="1" applyProtection="1">
      <alignment horizontal="center"/>
      <protection/>
    </xf>
    <xf numFmtId="2" fontId="57" fillId="41" borderId="13" xfId="0" applyNumberFormat="1" applyFont="1" applyFill="1" applyBorder="1" applyAlignment="1" applyProtection="1">
      <alignment horizontal="center"/>
      <protection/>
    </xf>
    <xf numFmtId="2" fontId="57" fillId="36" borderId="13" xfId="0" applyNumberFormat="1" applyFont="1" applyFill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7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71" xfId="0" applyFont="1" applyFill="1" applyBorder="1" applyAlignment="1" applyProtection="1">
      <alignment/>
      <protection/>
    </xf>
    <xf numFmtId="0" fontId="55" fillId="0" borderId="1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7" fontId="8" fillId="0" borderId="72" xfId="0" applyNumberFormat="1" applyFont="1" applyBorder="1" applyAlignment="1">
      <alignment horizontal="right"/>
    </xf>
    <xf numFmtId="7" fontId="8" fillId="0" borderId="33" xfId="0" applyNumberFormat="1" applyFont="1" applyBorder="1" applyAlignment="1">
      <alignment horizontal="right"/>
    </xf>
    <xf numFmtId="173" fontId="10" fillId="0" borderId="73" xfId="51" applyNumberFormat="1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71" fontId="0" fillId="0" borderId="30" xfId="0" applyNumberFormat="1" applyFont="1" applyBorder="1" applyAlignment="1">
      <alignment horizontal="center" vertical="center"/>
    </xf>
    <xf numFmtId="171" fontId="0" fillId="0" borderId="31" xfId="0" applyNumberFormat="1" applyFont="1" applyBorder="1" applyAlignment="1">
      <alignment horizontal="center" vertical="center"/>
    </xf>
    <xf numFmtId="169" fontId="0" fillId="0" borderId="75" xfId="0" applyNumberFormat="1" applyFont="1" applyBorder="1" applyAlignment="1" applyProtection="1">
      <alignment horizontal="center"/>
      <protection/>
    </xf>
    <xf numFmtId="169" fontId="0" fillId="0" borderId="76" xfId="0" applyNumberFormat="1" applyFont="1" applyBorder="1" applyAlignment="1" applyProtection="1">
      <alignment horizontal="center"/>
      <protection/>
    </xf>
    <xf numFmtId="169" fontId="25" fillId="0" borderId="49" xfId="0" applyNumberFormat="1" applyFont="1" applyBorder="1" applyAlignment="1">
      <alignment horizontal="center"/>
    </xf>
    <xf numFmtId="169" fontId="25" fillId="0" borderId="77" xfId="0" applyNumberFormat="1" applyFont="1" applyBorder="1" applyAlignment="1">
      <alignment horizontal="center"/>
    </xf>
    <xf numFmtId="169" fontId="25" fillId="0" borderId="78" xfId="0" applyNumberFormat="1" applyFont="1" applyBorder="1" applyAlignment="1">
      <alignment horizontal="center"/>
    </xf>
    <xf numFmtId="169" fontId="25" fillId="0" borderId="79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0</xdr:col>
      <xdr:colOff>895350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52387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1</xdr:col>
      <xdr:colOff>419100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79082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781050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8" zoomScaleNormal="78" zoomScalePageLayoutView="0" workbookViewId="0" topLeftCell="A1">
      <selection activeCell="B3" sqref="B3"/>
    </sheetView>
  </sheetViews>
  <sheetFormatPr defaultColWidth="11.421875" defaultRowHeight="12.75"/>
  <cols>
    <col min="1" max="1" width="18.00390625" style="9" customWidth="1"/>
    <col min="2" max="2" width="5.7109375" style="9" customWidth="1"/>
    <col min="3" max="3" width="8.57421875" style="9" customWidth="1"/>
    <col min="4" max="4" width="10.7109375" style="9" customWidth="1"/>
    <col min="5" max="5" width="10.57421875" style="9" customWidth="1"/>
    <col min="6" max="6" width="15.7109375" style="9" customWidth="1"/>
    <col min="7" max="7" width="24.28125" style="9" customWidth="1"/>
    <col min="8" max="8" width="11.00390625" style="9" customWidth="1"/>
    <col min="9" max="11" width="15.7109375" style="9" customWidth="1"/>
    <col min="12" max="12" width="10.8515625" style="9" customWidth="1"/>
    <col min="13" max="13" width="15.7109375" style="9" customWidth="1"/>
    <col min="14" max="15" width="11.421875" style="9" customWidth="1"/>
    <col min="16" max="16" width="14.140625" style="9" customWidth="1"/>
    <col min="17" max="17" width="11.421875" style="9" customWidth="1"/>
    <col min="18" max="18" width="14.7109375" style="9" customWidth="1"/>
    <col min="19" max="19" width="11.421875" style="9" customWidth="1"/>
    <col min="20" max="20" width="12.00390625" style="9" customWidth="1"/>
    <col min="21" max="16384" width="11.421875" style="9" customWidth="1"/>
  </cols>
  <sheetData>
    <row r="1" spans="2:13" s="101" customFormat="1" ht="26.25">
      <c r="B1" s="102"/>
      <c r="M1" s="336"/>
    </row>
    <row r="2" spans="2:12" s="101" customFormat="1" ht="26.25">
      <c r="B2" s="102" t="s">
        <v>185</v>
      </c>
      <c r="C2" s="119"/>
      <c r="D2" s="103"/>
      <c r="E2" s="103"/>
      <c r="F2" s="103"/>
      <c r="G2" s="103"/>
      <c r="H2" s="103"/>
      <c r="I2" s="103"/>
      <c r="J2" s="103"/>
      <c r="K2" s="103"/>
      <c r="L2" s="103"/>
    </row>
    <row r="3" spans="3:21" ht="12.75">
      <c r="C3"/>
      <c r="D3" s="34"/>
      <c r="E3" s="34"/>
      <c r="F3" s="34"/>
      <c r="G3" s="34"/>
      <c r="H3" s="34"/>
      <c r="I3" s="34"/>
      <c r="J3" s="34"/>
      <c r="K3" s="34"/>
      <c r="L3" s="34"/>
      <c r="R3" s="7"/>
      <c r="S3" s="7"/>
      <c r="T3" s="7"/>
      <c r="U3" s="7"/>
    </row>
    <row r="4" spans="1:21" s="104" customFormat="1" ht="11.25">
      <c r="A4" s="120" t="s">
        <v>21</v>
      </c>
      <c r="B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s="104" customFormat="1" ht="11.25">
      <c r="A5" s="120" t="s">
        <v>22</v>
      </c>
      <c r="B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2:21" s="101" customFormat="1" ht="26.25">
      <c r="B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2:21" s="106" customFormat="1" ht="21">
      <c r="B7" s="160" t="s">
        <v>0</v>
      </c>
      <c r="C7" s="125"/>
      <c r="D7" s="126"/>
      <c r="E7" s="126"/>
      <c r="F7" s="127"/>
      <c r="G7" s="127"/>
      <c r="H7" s="127"/>
      <c r="I7" s="127"/>
      <c r="J7" s="127"/>
      <c r="K7" s="127"/>
      <c r="L7" s="127"/>
      <c r="M7" s="40"/>
      <c r="N7" s="40"/>
      <c r="O7" s="40"/>
      <c r="P7" s="40"/>
      <c r="Q7" s="40"/>
      <c r="R7" s="40"/>
      <c r="S7" s="40"/>
      <c r="T7" s="40"/>
      <c r="U7" s="40"/>
    </row>
    <row r="8" spans="9:21" ht="12.75"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106" customFormat="1" ht="21">
      <c r="B9" s="160" t="s">
        <v>1</v>
      </c>
      <c r="C9" s="125"/>
      <c r="D9" s="126"/>
      <c r="E9" s="126"/>
      <c r="F9" s="126"/>
      <c r="G9" s="126"/>
      <c r="H9" s="126"/>
      <c r="I9" s="127"/>
      <c r="J9" s="127"/>
      <c r="K9" s="127"/>
      <c r="L9" s="127"/>
      <c r="M9" s="40"/>
      <c r="N9" s="40"/>
      <c r="O9" s="40"/>
      <c r="P9" s="40"/>
      <c r="Q9" s="40"/>
      <c r="R9" s="40"/>
      <c r="S9" s="40"/>
      <c r="T9" s="40"/>
      <c r="U9" s="40"/>
    </row>
    <row r="10" spans="4:21" ht="12.75">
      <c r="D10" s="128"/>
      <c r="E10" s="12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106" customFormat="1" ht="20.25">
      <c r="B11" s="160" t="s">
        <v>178</v>
      </c>
      <c r="C11" s="77"/>
      <c r="D11" s="35"/>
      <c r="E11" s="35"/>
      <c r="F11" s="126"/>
      <c r="G11" s="126"/>
      <c r="H11" s="126"/>
      <c r="I11" s="127"/>
      <c r="J11" s="127"/>
      <c r="K11" s="127"/>
      <c r="L11" s="127"/>
      <c r="M11" s="40"/>
      <c r="N11" s="40"/>
      <c r="O11" s="40"/>
      <c r="P11" s="40"/>
      <c r="Q11" s="40"/>
      <c r="R11" s="40"/>
      <c r="S11" s="40"/>
      <c r="T11" s="40"/>
      <c r="U11" s="40"/>
    </row>
    <row r="12" spans="4:21" s="129" customFormat="1" ht="16.5" thickBot="1">
      <c r="D12" s="6"/>
      <c r="E12" s="6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2:21" s="129" customFormat="1" ht="16.5" thickTop="1">
      <c r="B13" s="312">
        <v>1</v>
      </c>
      <c r="C13" s="333"/>
      <c r="D13" s="131"/>
      <c r="E13" s="131"/>
      <c r="F13" s="131"/>
      <c r="G13" s="131"/>
      <c r="H13" s="131"/>
      <c r="I13" s="131"/>
      <c r="J13" s="131"/>
      <c r="K13" s="131"/>
      <c r="L13" s="132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2:21" s="113" customFormat="1" ht="19.5">
      <c r="B14" s="205" t="s">
        <v>150</v>
      </c>
      <c r="C14" s="133"/>
      <c r="D14" s="134"/>
      <c r="E14" s="135"/>
      <c r="F14" s="135"/>
      <c r="G14" s="135"/>
      <c r="H14" s="135"/>
      <c r="I14" s="109"/>
      <c r="J14" s="109"/>
      <c r="K14" s="109"/>
      <c r="L14" s="112"/>
      <c r="M14" s="42"/>
      <c r="N14" s="42"/>
      <c r="O14" s="42"/>
      <c r="P14" s="42"/>
      <c r="Q14" s="42"/>
      <c r="R14" s="42"/>
      <c r="S14" s="42"/>
      <c r="T14" s="42"/>
      <c r="U14" s="42"/>
    </row>
    <row r="15" spans="2:21" s="113" customFormat="1" ht="9" customHeight="1">
      <c r="B15" s="136"/>
      <c r="C15" s="137"/>
      <c r="D15" s="137"/>
      <c r="E15" s="42"/>
      <c r="F15" s="138"/>
      <c r="G15" s="138"/>
      <c r="H15" s="138"/>
      <c r="I15" s="42"/>
      <c r="J15" s="42"/>
      <c r="K15" s="42"/>
      <c r="L15" s="139"/>
      <c r="M15" s="42"/>
      <c r="N15" s="42"/>
      <c r="O15" s="42"/>
      <c r="P15" s="42"/>
      <c r="Q15" s="42"/>
      <c r="R15" s="42"/>
      <c r="S15" s="42"/>
      <c r="T15" s="42"/>
      <c r="U15" s="42"/>
    </row>
    <row r="16" spans="2:20" s="113" customFormat="1" ht="9" customHeight="1">
      <c r="B16" s="205">
        <f>IF(B13=2,"Sanciones duplicadas por tasa de falla &gt; 4 Sal. x año/100km.","")</f>
      </c>
      <c r="C16" s="208"/>
      <c r="D16" s="208"/>
      <c r="E16" s="109"/>
      <c r="F16" s="135"/>
      <c r="G16" s="135"/>
      <c r="H16" s="109"/>
      <c r="I16" s="77"/>
      <c r="J16" s="77"/>
      <c r="K16" s="77"/>
      <c r="L16" s="112"/>
      <c r="M16" s="42"/>
      <c r="N16" s="42"/>
      <c r="O16" s="42"/>
      <c r="P16" s="42"/>
      <c r="Q16" s="42"/>
      <c r="R16" s="42"/>
      <c r="S16" s="42"/>
      <c r="T16" s="42"/>
    </row>
    <row r="17" spans="2:20" s="113" customFormat="1" ht="19.5" customHeight="1">
      <c r="B17" s="136"/>
      <c r="C17" s="137"/>
      <c r="D17" s="137"/>
      <c r="E17" s="42"/>
      <c r="F17" s="138"/>
      <c r="G17" s="138"/>
      <c r="H17" s="42"/>
      <c r="I17" s="41" t="s">
        <v>180</v>
      </c>
      <c r="J17" s="41" t="s">
        <v>181</v>
      </c>
      <c r="K17" s="41" t="s">
        <v>182</v>
      </c>
      <c r="L17" s="139"/>
      <c r="M17" s="42"/>
      <c r="N17" s="42"/>
      <c r="O17" s="42"/>
      <c r="P17" s="42"/>
      <c r="Q17" s="42"/>
      <c r="R17" s="42"/>
      <c r="S17" s="42"/>
      <c r="T17" s="42"/>
    </row>
    <row r="18" spans="2:21" s="113" customFormat="1" ht="19.5">
      <c r="B18" s="136"/>
      <c r="C18" s="140" t="s">
        <v>23</v>
      </c>
      <c r="D18" s="141" t="s">
        <v>24</v>
      </c>
      <c r="E18" s="42"/>
      <c r="F18" s="138"/>
      <c r="G18" s="138"/>
      <c r="H18" s="138"/>
      <c r="I18" s="41"/>
      <c r="J18" s="41"/>
      <c r="K18" s="41"/>
      <c r="L18" s="139"/>
      <c r="M18" s="42"/>
      <c r="N18" s="42"/>
      <c r="O18" s="42"/>
      <c r="P18" s="42"/>
      <c r="Q18" s="42"/>
      <c r="R18" s="42"/>
      <c r="S18" s="42"/>
      <c r="T18" s="42"/>
      <c r="U18" s="42"/>
    </row>
    <row r="19" spans="2:21" s="113" customFormat="1" ht="19.5">
      <c r="B19" s="136"/>
      <c r="C19"/>
      <c r="D19" s="140" t="s">
        <v>25</v>
      </c>
      <c r="E19" s="141" t="s">
        <v>26</v>
      </c>
      <c r="F19" s="138"/>
      <c r="G19" s="138"/>
      <c r="H19" s="138"/>
      <c r="I19" s="41">
        <f>'LI-06 (1)'!AA43</f>
        <v>212280.42</v>
      </c>
      <c r="J19" s="41">
        <v>311280.91</v>
      </c>
      <c r="K19" s="41">
        <f>+I19-J19</f>
        <v>-99000.48999999996</v>
      </c>
      <c r="L19" s="139"/>
      <c r="M19" s="42"/>
      <c r="N19" s="42"/>
      <c r="O19" s="42"/>
      <c r="P19" s="42"/>
      <c r="Q19" s="42"/>
      <c r="R19" s="42"/>
      <c r="S19" s="42"/>
      <c r="T19" s="42"/>
      <c r="U19" s="42"/>
    </row>
    <row r="20" spans="2:21" s="113" customFormat="1" ht="19.5">
      <c r="B20" s="136"/>
      <c r="C20" s="140"/>
      <c r="D20" s="140" t="s">
        <v>27</v>
      </c>
      <c r="E20" s="141" t="s">
        <v>29</v>
      </c>
      <c r="F20" s="138"/>
      <c r="G20" s="138"/>
      <c r="H20" s="138"/>
      <c r="I20" s="41">
        <f>'LI-SPSE-06 (1)'!AA43</f>
        <v>10936.98</v>
      </c>
      <c r="J20" s="41">
        <v>43590.25</v>
      </c>
      <c r="K20" s="41">
        <f>+I20-J20</f>
        <v>-32653.27</v>
      </c>
      <c r="L20" s="139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3.5">
      <c r="B21" s="39"/>
      <c r="C21" s="142"/>
      <c r="D21" s="143"/>
      <c r="E21" s="7"/>
      <c r="F21" s="144"/>
      <c r="G21" s="144"/>
      <c r="H21" s="144"/>
      <c r="I21" s="145"/>
      <c r="J21" s="145"/>
      <c r="K21" s="145"/>
      <c r="L21" s="10"/>
      <c r="M21" s="7"/>
      <c r="N21" s="7"/>
      <c r="O21" s="7"/>
      <c r="P21" s="7"/>
      <c r="Q21" s="7"/>
      <c r="R21" s="7"/>
      <c r="S21" s="7"/>
      <c r="T21" s="7"/>
      <c r="U21" s="7"/>
    </row>
    <row r="22" spans="2:21" s="113" customFormat="1" ht="19.5">
      <c r="B22" s="136"/>
      <c r="C22" s="140" t="s">
        <v>30</v>
      </c>
      <c r="D22" s="141" t="s">
        <v>31</v>
      </c>
      <c r="E22" s="42"/>
      <c r="F22" s="138"/>
      <c r="G22" s="138"/>
      <c r="H22" s="138"/>
      <c r="I22" s="41"/>
      <c r="J22" s="41"/>
      <c r="K22" s="41"/>
      <c r="L22" s="139"/>
      <c r="M22" s="42"/>
      <c r="N22" s="42"/>
      <c r="O22" s="42"/>
      <c r="P22" s="42"/>
      <c r="Q22" s="42"/>
      <c r="R22" s="42"/>
      <c r="S22" s="42"/>
      <c r="T22" s="42"/>
      <c r="U22" s="42"/>
    </row>
    <row r="23" spans="2:21" ht="8.25" customHeight="1">
      <c r="B23" s="39"/>
      <c r="C23" s="142"/>
      <c r="D23" s="142"/>
      <c r="E23" s="7"/>
      <c r="F23" s="144"/>
      <c r="G23" s="144"/>
      <c r="H23" s="144"/>
      <c r="I23" s="146"/>
      <c r="J23" s="146"/>
      <c r="K23" s="146"/>
      <c r="L23" s="10"/>
      <c r="M23" s="7"/>
      <c r="N23" s="7"/>
      <c r="O23" s="7"/>
      <c r="P23" s="7"/>
      <c r="Q23" s="7"/>
      <c r="R23" s="7"/>
      <c r="S23" s="7"/>
      <c r="T23" s="7"/>
      <c r="U23" s="7"/>
    </row>
    <row r="24" spans="2:21" s="113" customFormat="1" ht="19.5">
      <c r="B24" s="136"/>
      <c r="C24" s="140"/>
      <c r="D24" s="140" t="s">
        <v>32</v>
      </c>
      <c r="E24" s="8" t="s">
        <v>33</v>
      </c>
      <c r="F24" s="138"/>
      <c r="G24" s="138"/>
      <c r="H24" s="138"/>
      <c r="I24" s="41"/>
      <c r="J24" s="41"/>
      <c r="K24" s="41"/>
      <c r="L24" s="139"/>
      <c r="M24" s="42"/>
      <c r="N24" s="42"/>
      <c r="O24" s="42"/>
      <c r="P24" s="42"/>
      <c r="Q24" s="42"/>
      <c r="R24" s="42"/>
      <c r="S24" s="42"/>
      <c r="T24" s="42"/>
      <c r="U24" s="42"/>
    </row>
    <row r="25" spans="2:21" s="113" customFormat="1" ht="19.5">
      <c r="B25" s="136"/>
      <c r="C25" s="140"/>
      <c r="D25" s="140"/>
      <c r="E25" s="140" t="s">
        <v>34</v>
      </c>
      <c r="F25" s="141" t="s">
        <v>26</v>
      </c>
      <c r="G25" s="138"/>
      <c r="H25" s="138"/>
      <c r="I25" s="41">
        <f>'TR-06 (1)'!AC45</f>
        <v>62.85</v>
      </c>
      <c r="J25" s="41">
        <v>92.84</v>
      </c>
      <c r="K25" s="41">
        <f>+I25-J25</f>
        <v>-29.990000000000002</v>
      </c>
      <c r="L25" s="139"/>
      <c r="M25" s="42"/>
      <c r="N25" s="42"/>
      <c r="O25" s="42"/>
      <c r="P25" s="42"/>
      <c r="Q25" s="42"/>
      <c r="R25" s="42"/>
      <c r="S25" s="42"/>
      <c r="T25" s="42"/>
      <c r="U25" s="42"/>
    </row>
    <row r="26" spans="2:21" ht="18.75">
      <c r="B26" s="39"/>
      <c r="C26" s="142"/>
      <c r="D26" s="142"/>
      <c r="E26" s="7"/>
      <c r="F26" s="144"/>
      <c r="G26" s="144"/>
      <c r="H26" s="144"/>
      <c r="I26" s="146"/>
      <c r="J26" s="146"/>
      <c r="K26" s="41"/>
      <c r="L26" s="10"/>
      <c r="M26" s="7"/>
      <c r="N26" s="7"/>
      <c r="O26" s="7"/>
      <c r="P26" s="7"/>
      <c r="Q26" s="7"/>
      <c r="R26" s="7"/>
      <c r="S26" s="7"/>
      <c r="T26" s="7"/>
      <c r="U26" s="7"/>
    </row>
    <row r="27" spans="2:21" s="113" customFormat="1" ht="19.5">
      <c r="B27" s="136"/>
      <c r="C27" s="140"/>
      <c r="D27" s="140" t="s">
        <v>35</v>
      </c>
      <c r="E27" s="8" t="s">
        <v>36</v>
      </c>
      <c r="F27" s="138"/>
      <c r="G27" s="138"/>
      <c r="H27" s="138"/>
      <c r="I27" s="41"/>
      <c r="J27" s="41"/>
      <c r="K27" s="41"/>
      <c r="L27" s="139"/>
      <c r="M27" s="42"/>
      <c r="N27" s="42"/>
      <c r="O27" s="42"/>
      <c r="P27" s="42"/>
      <c r="Q27" s="42"/>
      <c r="R27" s="42"/>
      <c r="S27" s="42"/>
      <c r="T27" s="42"/>
      <c r="U27" s="42"/>
    </row>
    <row r="28" spans="2:21" s="113" customFormat="1" ht="19.5">
      <c r="B28" s="136"/>
      <c r="C28" s="140"/>
      <c r="D28" s="140"/>
      <c r="E28" s="140" t="s">
        <v>37</v>
      </c>
      <c r="F28" s="141" t="s">
        <v>28</v>
      </c>
      <c r="G28" s="138"/>
      <c r="H28" s="138"/>
      <c r="I28" s="41">
        <f>'S-EDERSA-06 (1)'!V45</f>
        <v>308.08500000000004</v>
      </c>
      <c r="J28" s="41">
        <v>1225.5</v>
      </c>
      <c r="K28" s="41">
        <f>+I28-J28</f>
        <v>-917.415</v>
      </c>
      <c r="L28" s="139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113" customFormat="1" ht="19.5">
      <c r="B29" s="136"/>
      <c r="C29" s="140"/>
      <c r="D29" s="140"/>
      <c r="E29" s="140" t="s">
        <v>38</v>
      </c>
      <c r="F29" s="141" t="s">
        <v>139</v>
      </c>
      <c r="G29" s="138"/>
      <c r="H29" s="138"/>
      <c r="I29" s="41">
        <f>'S-TRANSACUE-06 (1)'!V45</f>
        <v>136.85625</v>
      </c>
      <c r="J29" s="41">
        <v>544.5562500000001</v>
      </c>
      <c r="K29" s="41">
        <f>+I29-J29</f>
        <v>-407.7000000000001</v>
      </c>
      <c r="L29" s="139"/>
      <c r="M29" s="42"/>
      <c r="N29" s="42"/>
      <c r="O29" s="42"/>
      <c r="P29" s="42"/>
      <c r="Q29" s="42"/>
      <c r="R29" s="42"/>
      <c r="S29" s="42"/>
      <c r="T29" s="42"/>
      <c r="U29" s="42"/>
    </row>
    <row r="30" spans="2:21" ht="13.5">
      <c r="B30" s="39"/>
      <c r="C30" s="142"/>
      <c r="D30" s="143"/>
      <c r="E30" s="7"/>
      <c r="F30" s="144"/>
      <c r="G30" s="144"/>
      <c r="H30" s="144"/>
      <c r="I30" s="145"/>
      <c r="J30" s="145"/>
      <c r="K30" s="145"/>
      <c r="L30" s="10"/>
      <c r="M30" s="7"/>
      <c r="N30" s="7"/>
      <c r="O30" s="7"/>
      <c r="P30" s="7"/>
      <c r="Q30" s="7"/>
      <c r="R30" s="7"/>
      <c r="S30" s="7"/>
      <c r="T30" s="7"/>
      <c r="U30" s="7"/>
    </row>
    <row r="31" spans="2:21" s="113" customFormat="1" ht="19.5">
      <c r="B31" s="136"/>
      <c r="C31" s="140" t="s">
        <v>39</v>
      </c>
      <c r="D31" s="8" t="s">
        <v>40</v>
      </c>
      <c r="E31" s="138"/>
      <c r="F31"/>
      <c r="G31" s="138"/>
      <c r="H31" s="138"/>
      <c r="I31" s="41"/>
      <c r="J31" s="41"/>
      <c r="K31" s="41"/>
      <c r="L31" s="139"/>
      <c r="M31" s="42"/>
      <c r="N31" s="42"/>
      <c r="O31" s="42"/>
      <c r="P31" s="42"/>
      <c r="Q31" s="42"/>
      <c r="R31" s="42"/>
      <c r="S31" s="42"/>
      <c r="T31" s="42"/>
      <c r="U31" s="42"/>
    </row>
    <row r="32" spans="2:21" s="113" customFormat="1" ht="19.5">
      <c r="B32" s="136"/>
      <c r="C32" s="140"/>
      <c r="D32" s="140" t="s">
        <v>160</v>
      </c>
      <c r="E32" s="141" t="s">
        <v>28</v>
      </c>
      <c r="F32"/>
      <c r="G32" s="138"/>
      <c r="H32" s="138"/>
      <c r="I32" s="41">
        <f>'SUP-EDERSA'!I57</f>
        <v>82.32799495959041</v>
      </c>
      <c r="J32" s="41">
        <v>306.375</v>
      </c>
      <c r="K32" s="41">
        <f>+I32-J32</f>
        <v>-224.0470050404096</v>
      </c>
      <c r="L32" s="139"/>
      <c r="M32" s="42"/>
      <c r="N32" s="42"/>
      <c r="O32" s="42"/>
      <c r="P32" s="42"/>
      <c r="Q32" s="42"/>
      <c r="R32" s="42"/>
      <c r="S32" s="42"/>
      <c r="T32" s="42"/>
      <c r="U32" s="42"/>
    </row>
    <row r="33" spans="2:21" s="113" customFormat="1" ht="19.5">
      <c r="B33" s="136"/>
      <c r="C33" s="140"/>
      <c r="D33" s="140" t="s">
        <v>161</v>
      </c>
      <c r="E33" s="141" t="s">
        <v>29</v>
      </c>
      <c r="F33"/>
      <c r="G33" s="138"/>
      <c r="H33" s="138"/>
      <c r="I33" s="41">
        <f>'SUP-SPSE'!I52</f>
        <v>2855.9426558881346</v>
      </c>
      <c r="J33" s="41">
        <v>10897.5625</v>
      </c>
      <c r="K33" s="41">
        <f>+I33-J33</f>
        <v>-8041.619844111865</v>
      </c>
      <c r="L33" s="139"/>
      <c r="M33" s="42"/>
      <c r="N33" s="42"/>
      <c r="O33" s="42"/>
      <c r="P33" s="42"/>
      <c r="Q33" s="42"/>
      <c r="R33" s="42"/>
      <c r="S33" s="42"/>
      <c r="T33" s="42"/>
      <c r="U33" s="42"/>
    </row>
    <row r="34" spans="2:21" s="113" customFormat="1" ht="19.5">
      <c r="B34" s="136"/>
      <c r="C34" s="140"/>
      <c r="D34" s="140" t="s">
        <v>162</v>
      </c>
      <c r="E34" s="141" t="s">
        <v>138</v>
      </c>
      <c r="F34"/>
      <c r="G34" s="138"/>
      <c r="H34" s="138"/>
      <c r="I34" s="41">
        <f>+'SUP-TRANSACUE'!I57</f>
        <v>51.67164483033886</v>
      </c>
      <c r="J34" s="41">
        <v>136.13906250000002</v>
      </c>
      <c r="K34" s="41">
        <f>+I34-J34</f>
        <v>-84.46741766966116</v>
      </c>
      <c r="L34" s="139"/>
      <c r="M34" s="42"/>
      <c r="N34" s="42"/>
      <c r="O34" s="42"/>
      <c r="P34" s="42"/>
      <c r="Q34" s="42"/>
      <c r="R34" s="42"/>
      <c r="S34" s="42"/>
      <c r="T34" s="42"/>
      <c r="U34" s="42"/>
    </row>
    <row r="35" spans="2:21" s="113" customFormat="1" ht="20.25" thickBot="1">
      <c r="B35" s="136"/>
      <c r="C35" s="137"/>
      <c r="D35" s="137"/>
      <c r="E35" s="42"/>
      <c r="F35" s="138"/>
      <c r="G35" s="138"/>
      <c r="H35" s="138"/>
      <c r="I35" s="42"/>
      <c r="J35" s="42"/>
      <c r="K35" s="42"/>
      <c r="L35" s="139"/>
      <c r="M35" s="42"/>
      <c r="N35" s="42"/>
      <c r="O35" s="42"/>
      <c r="P35" s="42"/>
      <c r="Q35" s="42"/>
      <c r="R35" s="42"/>
      <c r="S35" s="42"/>
      <c r="T35" s="42"/>
      <c r="U35" s="42"/>
    </row>
    <row r="36" spans="2:21" s="113" customFormat="1" ht="20.25" thickBot="1" thickTop="1">
      <c r="B36" s="136"/>
      <c r="C36" s="140"/>
      <c r="D36" s="140"/>
      <c r="F36" s="660" t="s">
        <v>41</v>
      </c>
      <c r="G36" s="661"/>
      <c r="H36" s="661"/>
      <c r="I36" s="657">
        <f>SUM(I19:I34)</f>
        <v>226715.1335456781</v>
      </c>
      <c r="J36" s="657">
        <f>SUM(J19:J34)</f>
        <v>368074.1328125</v>
      </c>
      <c r="K36" s="658">
        <f>SUM(K19:K34)</f>
        <v>-141358.9992668219</v>
      </c>
      <c r="L36" s="139"/>
      <c r="M36" s="42"/>
      <c r="N36" s="42"/>
      <c r="O36" s="42"/>
      <c r="P36" s="42"/>
      <c r="Q36" s="42"/>
      <c r="R36" s="42"/>
      <c r="S36" s="42"/>
      <c r="T36" s="42"/>
      <c r="U36" s="42"/>
    </row>
    <row r="37" spans="2:21" s="113" customFormat="1" ht="8.25" customHeight="1" thickTop="1">
      <c r="B37" s="136"/>
      <c r="C37" s="140"/>
      <c r="D37" s="140"/>
      <c r="F37" s="583"/>
      <c r="G37" s="207"/>
      <c r="H37" s="207"/>
      <c r="L37" s="139"/>
      <c r="M37" s="42"/>
      <c r="N37" s="42"/>
      <c r="O37" s="42"/>
      <c r="P37" s="42"/>
      <c r="Q37" s="42"/>
      <c r="R37" s="42"/>
      <c r="S37" s="42"/>
      <c r="T37" s="42"/>
      <c r="U37" s="42"/>
    </row>
    <row r="38" spans="2:21" s="113" customFormat="1" ht="18.75">
      <c r="B38" s="136"/>
      <c r="C38" s="584" t="s">
        <v>179</v>
      </c>
      <c r="D38" s="140"/>
      <c r="F38" s="583"/>
      <c r="G38" s="207"/>
      <c r="H38" s="207"/>
      <c r="L38" s="139"/>
      <c r="M38" s="42"/>
      <c r="N38" s="42"/>
      <c r="O38" s="42"/>
      <c r="P38" s="42"/>
      <c r="Q38" s="42"/>
      <c r="R38" s="42"/>
      <c r="S38" s="42"/>
      <c r="T38" s="42"/>
      <c r="U38" s="42"/>
    </row>
    <row r="39" spans="2:21" s="129" customFormat="1" ht="6.75" customHeight="1" thickBot="1">
      <c r="B39" s="149"/>
      <c r="C39" s="150"/>
      <c r="D39" s="150"/>
      <c r="E39" s="151"/>
      <c r="F39" s="151"/>
      <c r="G39" s="151"/>
      <c r="H39" s="151"/>
      <c r="I39" s="151"/>
      <c r="J39" s="151"/>
      <c r="K39" s="151"/>
      <c r="L39" s="152"/>
      <c r="M39" s="130"/>
      <c r="N39" s="130"/>
      <c r="O39" s="76"/>
      <c r="P39" s="153"/>
      <c r="Q39" s="153"/>
      <c r="R39" s="154"/>
      <c r="S39" s="155"/>
      <c r="T39" s="130"/>
      <c r="U39" s="130"/>
    </row>
    <row r="40" spans="4:21" ht="13.5" thickTop="1">
      <c r="D40" s="7"/>
      <c r="F40" s="7"/>
      <c r="G40" s="7"/>
      <c r="H40" s="7"/>
      <c r="I40" s="7"/>
      <c r="J40" s="7"/>
      <c r="K40" s="7"/>
      <c r="L40" s="7"/>
      <c r="M40" s="7"/>
      <c r="N40" s="7"/>
      <c r="O40" s="26"/>
      <c r="P40" s="156"/>
      <c r="Q40" s="156"/>
      <c r="R40" s="7"/>
      <c r="S40" s="31"/>
      <c r="T40" s="7"/>
      <c r="U40" s="7"/>
    </row>
    <row r="41" spans="4:21" ht="12.75">
      <c r="D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57"/>
      <c r="Q41" s="157"/>
      <c r="R41" s="158"/>
      <c r="S41" s="31"/>
      <c r="T41" s="7"/>
      <c r="U41" s="7"/>
    </row>
    <row r="42" spans="4:21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57"/>
      <c r="Q42" s="157"/>
      <c r="R42" s="158"/>
      <c r="S42" s="31"/>
      <c r="T42" s="7"/>
      <c r="U42" s="7"/>
    </row>
    <row r="43" spans="4:21" ht="12.75">
      <c r="D43" s="7"/>
      <c r="E43" s="7"/>
      <c r="N43" s="7"/>
      <c r="O43" s="7"/>
      <c r="P43" s="7"/>
      <c r="Q43" s="7"/>
      <c r="R43" s="7"/>
      <c r="S43" s="7"/>
      <c r="T43" s="7"/>
      <c r="U43" s="7"/>
    </row>
    <row r="44" spans="4:21" ht="12.75">
      <c r="D44" s="7"/>
      <c r="E44" s="7"/>
      <c r="R44" s="7"/>
      <c r="S44" s="7"/>
      <c r="T44" s="7"/>
      <c r="U44" s="7"/>
    </row>
    <row r="45" spans="4:21" ht="12.75">
      <c r="D45" s="7"/>
      <c r="E45" s="7"/>
      <c r="R45" s="7"/>
      <c r="S45" s="7"/>
      <c r="T45" s="7"/>
      <c r="U45" s="7"/>
    </row>
    <row r="46" spans="4:21" ht="12.75">
      <c r="D46" s="7"/>
      <c r="E46" s="7"/>
      <c r="R46" s="7"/>
      <c r="S46" s="7"/>
      <c r="T46" s="7"/>
      <c r="U46" s="7"/>
    </row>
    <row r="47" spans="4:21" ht="12.75">
      <c r="D47" s="7"/>
      <c r="E47" s="7"/>
      <c r="R47" s="7"/>
      <c r="S47" s="7"/>
      <c r="T47" s="7"/>
      <c r="U47" s="7"/>
    </row>
    <row r="48" spans="4:21" ht="12.75">
      <c r="D48" s="7"/>
      <c r="E48" s="7"/>
      <c r="R48" s="7"/>
      <c r="S48" s="7"/>
      <c r="T48" s="7"/>
      <c r="U48" s="7"/>
    </row>
    <row r="49" spans="18:21" ht="12.75">
      <c r="R49" s="7"/>
      <c r="S49" s="7"/>
      <c r="T49" s="7"/>
      <c r="U49" s="7"/>
    </row>
    <row r="50" spans="18:21" ht="12.75">
      <c r="R50" s="7"/>
      <c r="S50" s="7"/>
      <c r="T50" s="7"/>
      <c r="U50" s="7"/>
    </row>
  </sheetData>
  <sheetProtection/>
  <mergeCells count="1">
    <mergeCell ref="F36:H36"/>
  </mergeCells>
  <printOptions horizontalCentered="1"/>
  <pageMargins left="0.21" right="0.1968503937007874" top="0.54" bottom="0.42" header="0.31" footer="0.25"/>
  <pageSetup fitToHeight="1" fitToWidth="1" orientation="landscape" paperSize="9" scale="82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8" sqref="G1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8.140625" style="0" hidden="1" customWidth="1"/>
    <col min="10" max="11" width="15.7109375" style="0" customWidth="1"/>
    <col min="12" max="14" width="9.7109375" style="0" customWidth="1"/>
    <col min="16" max="17" width="12.57421875" style="0" hidden="1" customWidth="1"/>
    <col min="18" max="18" width="10.57421875" style="0" hidden="1" customWidth="1"/>
    <col min="19" max="19" width="11.00390625" style="0" hidden="1" customWidth="1"/>
    <col min="20" max="20" width="11.57421875" style="0" hidden="1" customWidth="1"/>
    <col min="21" max="22" width="6.8515625" style="0" hidden="1" customWidth="1"/>
    <col min="23" max="23" width="6.00390625" style="0" hidden="1" customWidth="1"/>
    <col min="24" max="25" width="12.0039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1" customFormat="1" ht="26.25">
      <c r="AB1" s="336"/>
    </row>
    <row r="2" spans="2:28" s="101" customFormat="1" ht="26.25">
      <c r="B2" s="102" t="str">
        <f>+'TOT-0614'!B2</f>
        <v>ANEXO VI al Memorándum  D.T.E.E.  N°  223 /2016         .-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="9" customFormat="1" ht="12.75"/>
    <row r="4" spans="1:3" s="104" customFormat="1" ht="11.25">
      <c r="A4" s="625" t="s">
        <v>21</v>
      </c>
      <c r="C4" s="624"/>
    </row>
    <row r="5" spans="1:3" s="104" customFormat="1" ht="11.25">
      <c r="A5" s="625" t="s">
        <v>147</v>
      </c>
      <c r="C5" s="624"/>
    </row>
    <row r="6" s="9" customFormat="1" ht="13.5" thickBot="1"/>
    <row r="7" spans="1:28" s="9" customFormat="1" ht="13.5" thickTop="1">
      <c r="A7" s="7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06" customFormat="1" ht="20.25">
      <c r="A8" s="40"/>
      <c r="B8" s="105"/>
      <c r="C8" s="40"/>
      <c r="D8" s="40"/>
      <c r="E8" s="40"/>
      <c r="F8" s="19" t="s">
        <v>42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07"/>
    </row>
    <row r="9" spans="1:28" s="9" customFormat="1" ht="12.75">
      <c r="A9" s="7"/>
      <c r="B9" s="39"/>
      <c r="C9" s="7"/>
      <c r="D9" s="7"/>
      <c r="E9" s="7"/>
      <c r="F9" s="118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6" customFormat="1" ht="20.25">
      <c r="A10" s="40"/>
      <c r="B10" s="105"/>
      <c r="C10" s="40"/>
      <c r="D10" s="40"/>
      <c r="E10" s="40"/>
      <c r="F10" s="19" t="s">
        <v>43</v>
      </c>
      <c r="G10" s="19"/>
      <c r="H10" s="40"/>
      <c r="I10" s="108"/>
      <c r="J10" s="108"/>
      <c r="K10" s="108"/>
      <c r="L10" s="108"/>
      <c r="M10" s="108"/>
      <c r="N10" s="108"/>
      <c r="O10" s="10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07"/>
    </row>
    <row r="11" spans="1:28" s="9" customFormat="1" ht="12.75">
      <c r="A11" s="7"/>
      <c r="B11" s="39"/>
      <c r="C11" s="7"/>
      <c r="D11" s="7"/>
      <c r="E11" s="7"/>
      <c r="F11" s="117"/>
      <c r="G11" s="115"/>
      <c r="H11" s="7"/>
      <c r="I11" s="114"/>
      <c r="J11" s="114"/>
      <c r="K11" s="114"/>
      <c r="L11" s="114"/>
      <c r="M11" s="114"/>
      <c r="N11" s="114"/>
      <c r="O11" s="1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06" customFormat="1" ht="20.25">
      <c r="A12" s="40"/>
      <c r="B12" s="105"/>
      <c r="C12" s="40"/>
      <c r="D12" s="40"/>
      <c r="E12" s="40"/>
      <c r="F12" s="19" t="s">
        <v>44</v>
      </c>
      <c r="G12" s="19"/>
      <c r="H12" s="40"/>
      <c r="I12" s="108"/>
      <c r="J12" s="108"/>
      <c r="K12" s="108"/>
      <c r="L12" s="108"/>
      <c r="M12" s="108"/>
      <c r="N12" s="108"/>
      <c r="O12" s="108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107"/>
    </row>
    <row r="13" spans="1:28" s="9" customFormat="1" ht="12.75">
      <c r="A13" s="7"/>
      <c r="B13" s="39"/>
      <c r="C13" s="7"/>
      <c r="D13" s="7"/>
      <c r="E13" s="7"/>
      <c r="F13" s="117"/>
      <c r="G13" s="115"/>
      <c r="H13" s="7"/>
      <c r="I13" s="114"/>
      <c r="J13" s="114"/>
      <c r="K13" s="114"/>
      <c r="L13" s="114"/>
      <c r="M13" s="114"/>
      <c r="N13" s="114"/>
      <c r="O13" s="11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</row>
    <row r="14" spans="1:28" s="113" customFormat="1" ht="19.5">
      <c r="A14" s="42"/>
      <c r="B14" s="79" t="str">
        <f>+'TOT-0614'!B14</f>
        <v>Desde el 01 al 30 de junio de 2014</v>
      </c>
      <c r="C14" s="109"/>
      <c r="D14" s="109"/>
      <c r="E14" s="109"/>
      <c r="F14" s="109"/>
      <c r="G14" s="110"/>
      <c r="H14" s="110"/>
      <c r="I14" s="111"/>
      <c r="J14" s="111"/>
      <c r="K14" s="111"/>
      <c r="L14" s="111"/>
      <c r="M14" s="111"/>
      <c r="N14" s="111"/>
      <c r="O14" s="111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2"/>
    </row>
    <row r="15" spans="1:28" s="9" customFormat="1" ht="13.5" thickBot="1">
      <c r="A15" s="7"/>
      <c r="B15" s="39"/>
      <c r="C15" s="7"/>
      <c r="D15" s="7"/>
      <c r="E15" s="7"/>
      <c r="F15" s="7"/>
      <c r="G15" s="115"/>
      <c r="H15" s="116"/>
      <c r="I15" s="114"/>
      <c r="J15" s="114"/>
      <c r="K15" s="114"/>
      <c r="L15" s="114"/>
      <c r="M15" s="114"/>
      <c r="N15" s="114"/>
      <c r="O15" s="11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0"/>
    </row>
    <row r="16" spans="1:28" s="87" customFormat="1" ht="16.5" customHeight="1" thickBot="1" thickTop="1">
      <c r="A16" s="83"/>
      <c r="B16" s="84"/>
      <c r="C16" s="83"/>
      <c r="D16" s="83"/>
      <c r="E16" s="83"/>
      <c r="F16" s="422" t="s">
        <v>45</v>
      </c>
      <c r="G16" s="662">
        <v>198.313</v>
      </c>
      <c r="H16" s="663"/>
      <c r="I16" s="88"/>
      <c r="J16" s="88"/>
      <c r="K16" s="88"/>
      <c r="L16" s="88"/>
      <c r="M16" s="88"/>
      <c r="N16" s="88"/>
      <c r="O16" s="88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6"/>
    </row>
    <row r="17" spans="1:28" s="87" customFormat="1" ht="16.5" customHeight="1" thickBot="1" thickTop="1">
      <c r="A17" s="83"/>
      <c r="B17" s="84"/>
      <c r="C17" s="83"/>
      <c r="D17" s="83"/>
      <c r="E17" s="83"/>
      <c r="F17" s="422" t="s">
        <v>46</v>
      </c>
      <c r="G17" s="662">
        <v>189.499</v>
      </c>
      <c r="H17" s="663"/>
      <c r="I17" s="83"/>
      <c r="K17" s="89" t="s">
        <v>47</v>
      </c>
      <c r="L17" s="90">
        <f>30*'TOT-0614'!B13</f>
        <v>30</v>
      </c>
      <c r="M17" s="206" t="str">
        <f>IF(L17=30," ",IF(L17=60,"Coeficiente duplicado por tasa de falla &gt;4 Sal. x año/100 km.","REVISAR COEFICIENTE"))</f>
        <v> 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6"/>
    </row>
    <row r="18" spans="1:28" s="648" customFormat="1" ht="14.25" thickBot="1" thickTop="1">
      <c r="A18" s="644"/>
      <c r="B18" s="645"/>
      <c r="C18" s="646">
        <v>3</v>
      </c>
      <c r="D18" s="646">
        <v>4</v>
      </c>
      <c r="E18" s="646">
        <v>5</v>
      </c>
      <c r="F18" s="646">
        <v>6</v>
      </c>
      <c r="G18" s="646">
        <v>7</v>
      </c>
      <c r="H18" s="646">
        <v>8</v>
      </c>
      <c r="I18" s="646">
        <v>9</v>
      </c>
      <c r="J18" s="646">
        <v>10</v>
      </c>
      <c r="K18" s="646">
        <v>11</v>
      </c>
      <c r="L18" s="646">
        <v>12</v>
      </c>
      <c r="M18" s="646">
        <v>13</v>
      </c>
      <c r="N18" s="646">
        <v>14</v>
      </c>
      <c r="O18" s="646">
        <v>15</v>
      </c>
      <c r="P18" s="646">
        <v>16</v>
      </c>
      <c r="Q18" s="646">
        <v>17</v>
      </c>
      <c r="R18" s="646">
        <v>18</v>
      </c>
      <c r="S18" s="646">
        <v>19</v>
      </c>
      <c r="T18" s="646">
        <v>20</v>
      </c>
      <c r="U18" s="646">
        <v>21</v>
      </c>
      <c r="V18" s="646">
        <v>22</v>
      </c>
      <c r="W18" s="646">
        <v>23</v>
      </c>
      <c r="X18" s="646">
        <v>24</v>
      </c>
      <c r="Y18" s="646">
        <v>25</v>
      </c>
      <c r="Z18" s="646">
        <v>26</v>
      </c>
      <c r="AA18" s="646">
        <v>27</v>
      </c>
      <c r="AB18" s="647"/>
    </row>
    <row r="19" spans="1:28" s="100" customFormat="1" ht="33.75" customHeight="1" thickBot="1" thickTop="1">
      <c r="A19" s="91"/>
      <c r="B19" s="92"/>
      <c r="C19" s="93" t="s">
        <v>48</v>
      </c>
      <c r="D19" s="93" t="s">
        <v>146</v>
      </c>
      <c r="E19" s="93" t="s">
        <v>145</v>
      </c>
      <c r="F19" s="94" t="s">
        <v>24</v>
      </c>
      <c r="G19" s="95" t="s">
        <v>49</v>
      </c>
      <c r="H19" s="96" t="s">
        <v>50</v>
      </c>
      <c r="I19" s="233" t="s">
        <v>51</v>
      </c>
      <c r="J19" s="94" t="s">
        <v>52</v>
      </c>
      <c r="K19" s="94" t="s">
        <v>53</v>
      </c>
      <c r="L19" s="95" t="s">
        <v>54</v>
      </c>
      <c r="M19" s="95" t="s">
        <v>55</v>
      </c>
      <c r="N19" s="97" t="s">
        <v>56</v>
      </c>
      <c r="O19" s="95" t="s">
        <v>57</v>
      </c>
      <c r="P19" s="260" t="s">
        <v>58</v>
      </c>
      <c r="Q19" s="263" t="s">
        <v>59</v>
      </c>
      <c r="R19" s="266" t="s">
        <v>60</v>
      </c>
      <c r="S19" s="267"/>
      <c r="T19" s="268"/>
      <c r="U19" s="277" t="s">
        <v>61</v>
      </c>
      <c r="V19" s="278"/>
      <c r="W19" s="279"/>
      <c r="X19" s="287" t="s">
        <v>62</v>
      </c>
      <c r="Y19" s="290" t="s">
        <v>63</v>
      </c>
      <c r="Z19" s="98" t="s">
        <v>64</v>
      </c>
      <c r="AA19" s="98" t="s">
        <v>65</v>
      </c>
      <c r="AB19" s="99"/>
    </row>
    <row r="20" spans="1:28" ht="16.5" customHeight="1" thickTop="1">
      <c r="A20" s="1"/>
      <c r="B20" s="2"/>
      <c r="C20" s="46"/>
      <c r="D20" s="623"/>
      <c r="E20" s="623"/>
      <c r="F20" s="334"/>
      <c r="G20" s="48"/>
      <c r="H20" s="48"/>
      <c r="I20" s="328"/>
      <c r="J20" s="48"/>
      <c r="K20" s="49"/>
      <c r="L20" s="49"/>
      <c r="M20" s="49"/>
      <c r="N20" s="47"/>
      <c r="O20" s="48"/>
      <c r="P20" s="261"/>
      <c r="Q20" s="264"/>
      <c r="R20" s="269"/>
      <c r="S20" s="270"/>
      <c r="T20" s="271"/>
      <c r="U20" s="280"/>
      <c r="V20" s="281"/>
      <c r="W20" s="282"/>
      <c r="X20" s="288"/>
      <c r="Y20" s="291"/>
      <c r="Z20" s="275"/>
      <c r="AA20" s="335"/>
      <c r="AB20" s="3"/>
    </row>
    <row r="21" spans="1:28" ht="16.5" customHeight="1">
      <c r="A21" s="1"/>
      <c r="B21" s="2"/>
      <c r="C21" s="446"/>
      <c r="D21" s="621"/>
      <c r="E21" s="621"/>
      <c r="F21" s="446"/>
      <c r="G21" s="447"/>
      <c r="H21" s="447"/>
      <c r="I21" s="329"/>
      <c r="J21" s="446"/>
      <c r="K21" s="448"/>
      <c r="L21" s="82"/>
      <c r="M21" s="82"/>
      <c r="N21" s="449"/>
      <c r="O21" s="446"/>
      <c r="P21" s="450"/>
      <c r="Q21" s="451"/>
      <c r="R21" s="452"/>
      <c r="S21" s="453"/>
      <c r="T21" s="454"/>
      <c r="U21" s="455"/>
      <c r="V21" s="456"/>
      <c r="W21" s="457"/>
      <c r="X21" s="458"/>
      <c r="Y21" s="459"/>
      <c r="Z21" s="460"/>
      <c r="AA21" s="82"/>
      <c r="AB21" s="3"/>
    </row>
    <row r="22" spans="1:28" ht="16.5" customHeight="1">
      <c r="A22" s="1"/>
      <c r="B22" s="2"/>
      <c r="C22" s="424">
        <v>1</v>
      </c>
      <c r="D22" s="424">
        <v>275850</v>
      </c>
      <c r="E22" s="424">
        <v>4881</v>
      </c>
      <c r="F22" s="425" t="s">
        <v>154</v>
      </c>
      <c r="G22" s="426">
        <v>132</v>
      </c>
      <c r="H22" s="427">
        <v>128</v>
      </c>
      <c r="I22" s="330">
        <f>IF(H22&gt;25,H22,25)*IF(G22=330,$G$16,$G$17)/100</f>
        <v>242.55872</v>
      </c>
      <c r="J22" s="432">
        <v>41793.427083333336</v>
      </c>
      <c r="K22" s="432">
        <v>41793.63680555556</v>
      </c>
      <c r="L22" s="12">
        <f>IF(F22="","",(K22-J22)*24)</f>
        <v>5.033333333325572</v>
      </c>
      <c r="M22" s="13">
        <f>IF(F22="","",ROUND((K22-J22)*24*60,0))</f>
        <v>302</v>
      </c>
      <c r="N22" s="433" t="s">
        <v>155</v>
      </c>
      <c r="O22" s="643" t="s">
        <v>153</v>
      </c>
      <c r="P22" s="628" t="str">
        <f>IF(N22="P",ROUND(M22/60,2)*I22*$L$17*0.01,"--")</f>
        <v>--</v>
      </c>
      <c r="Q22" s="629" t="str">
        <f>IF(N22="RP",ROUND(M22/60,2)*I22*$L$17*0.01*O22/100,"--")</f>
        <v>--</v>
      </c>
      <c r="R22" s="630">
        <f>IF(N22="F",I22*$L$17,"--")</f>
        <v>7276.7616</v>
      </c>
      <c r="S22" s="631">
        <f>IF(AND(M22&gt;10,N22="F"),I22*$L$17*IF(M22&gt;180,3,ROUND(M22/60,2)),"--")</f>
        <v>21830.2848</v>
      </c>
      <c r="T22" s="632">
        <f>IF(AND(M22&gt;180,N22="F"),(ROUND(M22/60,2)-3)*I22*$L$17*0.1,"--")</f>
        <v>1477.1826048000003</v>
      </c>
      <c r="U22" s="633" t="str">
        <f>IF(N22="R",I22*$L$17*O22/100,"--")</f>
        <v>--</v>
      </c>
      <c r="V22" s="634" t="str">
        <f>IF(AND(M22&gt;10,N22="R"),I22*$L$17*O22/100*IF(M22&gt;180,3,ROUND(M22/60,2)),"--")</f>
        <v>--</v>
      </c>
      <c r="W22" s="635" t="str">
        <f>IF(AND(M22&gt;180,N22="R"),(ROUND(M22/60,2)-3)*O22/100*I22*$L$17*0.1,"--")</f>
        <v>--</v>
      </c>
      <c r="X22" s="636" t="str">
        <f>IF(N22="RF",ROUND(M22/60,2)*I22*$L$17*0.1,"--")</f>
        <v>--</v>
      </c>
      <c r="Y22" s="637" t="str">
        <f>IF(N22="RR",ROUND(M22/60,2)*O22/100*I22*$L$17*0.1,"--")</f>
        <v>--</v>
      </c>
      <c r="Z22" s="638" t="s">
        <v>152</v>
      </c>
      <c r="AA22" s="50">
        <f>IF(F22="","",SUM(P22:Y22)*IF(Z22="SI",1,2))</f>
        <v>30584.2290048</v>
      </c>
      <c r="AB22" s="3"/>
    </row>
    <row r="23" spans="1:28" ht="16.5" customHeight="1">
      <c r="A23" s="1"/>
      <c r="B23" s="2"/>
      <c r="C23" s="424">
        <v>2</v>
      </c>
      <c r="D23" s="424">
        <v>275852</v>
      </c>
      <c r="E23" s="424">
        <v>2036</v>
      </c>
      <c r="F23" s="425" t="s">
        <v>156</v>
      </c>
      <c r="G23" s="426">
        <v>132</v>
      </c>
      <c r="H23" s="427">
        <v>138</v>
      </c>
      <c r="I23" s="330">
        <f>IF(H23&gt;25,H23,25)*IF(G23=330,$G$16,$G$17)/100</f>
        <v>261.50862</v>
      </c>
      <c r="J23" s="432">
        <v>41794.35833333333</v>
      </c>
      <c r="K23" s="432">
        <v>41802.46666666667</v>
      </c>
      <c r="L23" s="12">
        <f>IF(F23="","",(K23-J23)*24)</f>
        <v>194.60000000009313</v>
      </c>
      <c r="M23" s="13">
        <f>IF(F23="","",ROUND((K23-J23)*24*60,0))</f>
        <v>11676</v>
      </c>
      <c r="N23" s="433" t="s">
        <v>155</v>
      </c>
      <c r="O23" s="643" t="s">
        <v>153</v>
      </c>
      <c r="P23" s="628" t="str">
        <f>IF(N23="P",ROUND(M23/60,2)*I23*$L$17*0.01,"--")</f>
        <v>--</v>
      </c>
      <c r="Q23" s="629" t="str">
        <f>IF(N23="RP",ROUND(M23/60,2)*I23*$L$17*0.01*O23/100,"--")</f>
        <v>--</v>
      </c>
      <c r="R23" s="630">
        <f>IF(N23="F",I23*$L$17,"--")</f>
        <v>7845.2586</v>
      </c>
      <c r="S23" s="631">
        <f>IF(AND(M23&gt;10,N23="F"),I23*$L$17*IF(M23&gt;180,3,ROUND(M23/60,2)),"--")</f>
        <v>23535.7758</v>
      </c>
      <c r="T23" s="632">
        <f>IF(AND(M23&gt;180,N23="F"),(ROUND(M23/60,2)-3)*I23*$L$17*0.1,"--")</f>
        <v>150315.154776</v>
      </c>
      <c r="U23" s="633" t="str">
        <f>IF(N23="R",I23*$L$17*O23/100,"--")</f>
        <v>--</v>
      </c>
      <c r="V23" s="634" t="str">
        <f>IF(AND(M23&gt;10,N23="R"),I23*$L$17*O23/100*IF(M23&gt;180,3,ROUND(M23/60,2)),"--")</f>
        <v>--</v>
      </c>
      <c r="W23" s="635" t="str">
        <f>IF(AND(M23&gt;180,N23="R"),(ROUND(M23/60,2)-3)*O23/100*I23*$L$17*0.1,"--")</f>
        <v>--</v>
      </c>
      <c r="X23" s="636" t="str">
        <f>IF(N23="RF",ROUND(M23/60,2)*I23*$L$17*0.1,"--")</f>
        <v>--</v>
      </c>
      <c r="Y23" s="637" t="str">
        <f>IF(N23="RR",ROUND(M23/60,2)*O23/100*I23*$L$17*0.1,"--")</f>
        <v>--</v>
      </c>
      <c r="Z23" s="638" t="s">
        <v>152</v>
      </c>
      <c r="AA23" s="50">
        <f>IF(F23="","",SUM(P23:Y23)*IF(Z23="SI",1,2))</f>
        <v>181696.189176</v>
      </c>
      <c r="AB23" s="3"/>
    </row>
    <row r="24" spans="1:28" ht="16.5" customHeight="1">
      <c r="A24" s="1"/>
      <c r="B24" s="2"/>
      <c r="C24" s="424"/>
      <c r="D24" s="424"/>
      <c r="E24" s="424"/>
      <c r="F24" s="425"/>
      <c r="G24" s="426"/>
      <c r="H24" s="427"/>
      <c r="I24" s="330">
        <f>IF(H27&gt;25,H27,25)*IF(G27=330,$G$16,$G$17)/100</f>
        <v>47.37474999999999</v>
      </c>
      <c r="J24" s="432"/>
      <c r="K24" s="432"/>
      <c r="L24" s="12">
        <f aca="true" t="shared" si="0" ref="L24:L38">IF(F24="","",(K24-J24)*24)</f>
      </c>
      <c r="M24" s="13">
        <f aca="true" t="shared" si="1" ref="M24:M38">IF(F24="","",ROUND((K24-J24)*24*60,0))</f>
      </c>
      <c r="N24" s="433"/>
      <c r="O24" s="627">
        <f>IF(F24="","","--")</f>
      </c>
      <c r="P24" s="628" t="str">
        <f>IF(N24="P",ROUND(M24/60,2)*I21*$L$17*0.01,"--")</f>
        <v>--</v>
      </c>
      <c r="Q24" s="629" t="str">
        <f>IF(N24="RP",ROUND(M24/60,2)*I21*$L$17*0.01*O24/100,"--")</f>
        <v>--</v>
      </c>
      <c r="R24" s="630" t="str">
        <f>IF(N24="F",I21*$L$17,"--")</f>
        <v>--</v>
      </c>
      <c r="S24" s="631" t="str">
        <f>IF(AND(M24&gt;10,N24="F"),I21*$L$17*IF(M24&gt;180,3,ROUND(M24/60,2)),"--")</f>
        <v>--</v>
      </c>
      <c r="T24" s="632" t="str">
        <f>IF(AND(M24&gt;180,N24="F"),(ROUND(M24/60,2)-3)*I21*$L$17*0.1,"--")</f>
        <v>--</v>
      </c>
      <c r="U24" s="633" t="str">
        <f>IF(N24="R",I21*$L$17*O24/100,"--")</f>
        <v>--</v>
      </c>
      <c r="V24" s="634" t="str">
        <f>IF(AND(M24&gt;10,N24="R"),I21*$L$17*O24/100*IF(M24&gt;180,3,ROUND(M24/60,2)),"--")</f>
        <v>--</v>
      </c>
      <c r="W24" s="635" t="str">
        <f>IF(AND(M24&gt;180,N24="R"),(ROUND(M24/60,2)-3)*O24/100*I21*$L$17*0.1,"--")</f>
        <v>--</v>
      </c>
      <c r="X24" s="636" t="str">
        <f>IF(N24="RF",ROUND(M24/60,2)*I21*$L$17*0.1,"--")</f>
        <v>--</v>
      </c>
      <c r="Y24" s="637" t="str">
        <f>IF(N24="RR",ROUND(M24/60,2)*O24/100*I21*$L$17*0.1,"--")</f>
        <v>--</v>
      </c>
      <c r="Z24" s="638">
        <f>IF(F24="","","SI")</f>
      </c>
      <c r="AA24" s="50">
        <f>IF(F24="","",SUM(P24:Y24)*IF(Z24="SI",1,2))</f>
      </c>
      <c r="AB24" s="3"/>
    </row>
    <row r="25" spans="1:28" ht="16.5" customHeight="1">
      <c r="A25" s="1"/>
      <c r="B25" s="2"/>
      <c r="C25" s="424"/>
      <c r="D25" s="424"/>
      <c r="E25" s="424"/>
      <c r="F25" s="425"/>
      <c r="G25" s="426"/>
      <c r="H25" s="427"/>
      <c r="I25" s="330">
        <f aca="true" t="shared" si="2" ref="I25:I38">IF(H25&gt;25,H25,25)*IF(G25=330,$G$16,$G$17)/100</f>
        <v>47.37474999999999</v>
      </c>
      <c r="J25" s="432"/>
      <c r="K25" s="432"/>
      <c r="L25" s="12">
        <f t="shared" si="0"/>
      </c>
      <c r="M25" s="13">
        <f t="shared" si="1"/>
      </c>
      <c r="N25" s="433"/>
      <c r="O25" s="627">
        <f>IF(F25="","","--")</f>
      </c>
      <c r="P25" s="628" t="str">
        <f>IF(N25="P",ROUND(M25/60,2)*I22*$L$17*0.01,"--")</f>
        <v>--</v>
      </c>
      <c r="Q25" s="629" t="str">
        <f>IF(N25="RP",ROUND(M25/60,2)*I22*$L$17*0.01*O25/100,"--")</f>
        <v>--</v>
      </c>
      <c r="R25" s="630" t="str">
        <f>IF(N25="F",I22*$L$17,"--")</f>
        <v>--</v>
      </c>
      <c r="S25" s="631" t="str">
        <f>IF(AND(M25&gt;10,N25="F"),I22*$L$17*IF(M25&gt;180,3,ROUND(M25/60,2)),"--")</f>
        <v>--</v>
      </c>
      <c r="T25" s="632" t="str">
        <f>IF(AND(M25&gt;180,N25="F"),(ROUND(M25/60,2)-3)*I22*$L$17*0.1,"--")</f>
        <v>--</v>
      </c>
      <c r="U25" s="633" t="str">
        <f>IF(N25="R",I22*$L$17*O25/100,"--")</f>
        <v>--</v>
      </c>
      <c r="V25" s="634" t="str">
        <f>IF(AND(M25&gt;10,N25="R"),I22*$L$17*O25/100*IF(M25&gt;180,3,ROUND(M25/60,2)),"--")</f>
        <v>--</v>
      </c>
      <c r="W25" s="635" t="str">
        <f>IF(AND(M25&gt;180,N25="R"),(ROUND(M25/60,2)-3)*O25/100*I22*$L$17*0.1,"--")</f>
        <v>--</v>
      </c>
      <c r="X25" s="636" t="str">
        <f>IF(N25="RF",ROUND(M25/60,2)*I22*$L$17*0.1,"--")</f>
        <v>--</v>
      </c>
      <c r="Y25" s="637" t="str">
        <f>IF(N25="RR",ROUND(M25/60,2)*O25/100*I22*$L$17*0.1,"--")</f>
        <v>--</v>
      </c>
      <c r="Z25" s="638">
        <f>IF(F25="","","SI")</f>
      </c>
      <c r="AA25" s="50">
        <f>IF(F25="","",SUM(P25:Y25)*IF(Z25="SI",1,2))</f>
      </c>
      <c r="AB25" s="3"/>
    </row>
    <row r="26" spans="1:28" ht="16.5" customHeight="1">
      <c r="A26" s="1"/>
      <c r="B26" s="2"/>
      <c r="C26" s="424"/>
      <c r="D26" s="424"/>
      <c r="E26" s="424"/>
      <c r="F26" s="425"/>
      <c r="G26" s="426"/>
      <c r="H26" s="427"/>
      <c r="I26" s="330">
        <f t="shared" si="2"/>
        <v>47.37474999999999</v>
      </c>
      <c r="J26" s="432"/>
      <c r="K26" s="432"/>
      <c r="L26" s="12">
        <f t="shared" si="0"/>
      </c>
      <c r="M26" s="13">
        <f t="shared" si="1"/>
      </c>
      <c r="N26" s="433"/>
      <c r="O26" s="627">
        <f>IF(F26="","","--")</f>
      </c>
      <c r="P26" s="628" t="str">
        <f>IF(N26="P",ROUND(M26/60,2)*I23*$L$17*0.01,"--")</f>
        <v>--</v>
      </c>
      <c r="Q26" s="629" t="str">
        <f>IF(N26="RP",ROUND(M26/60,2)*I23*$L$17*0.01*O26/100,"--")</f>
        <v>--</v>
      </c>
      <c r="R26" s="630" t="str">
        <f>IF(N26="F",I23*$L$17,"--")</f>
        <v>--</v>
      </c>
      <c r="S26" s="631" t="str">
        <f>IF(AND(M26&gt;10,N26="F"),I23*$L$17*IF(M26&gt;180,3,ROUND(M26/60,2)),"--")</f>
        <v>--</v>
      </c>
      <c r="T26" s="632" t="str">
        <f>IF(AND(M26&gt;180,N26="F"),(ROUND(M26/60,2)-3)*I23*$L$17*0.1,"--")</f>
        <v>--</v>
      </c>
      <c r="U26" s="633" t="str">
        <f>IF(N26="R",I23*$L$17*O26/100,"--")</f>
        <v>--</v>
      </c>
      <c r="V26" s="634" t="str">
        <f>IF(AND(M26&gt;10,N26="R"),I23*$L$17*O26/100*IF(M26&gt;180,3,ROUND(M26/60,2)),"--")</f>
        <v>--</v>
      </c>
      <c r="W26" s="635" t="str">
        <f>IF(AND(M26&gt;180,N26="R"),(ROUND(M26/60,2)-3)*O26/100*I23*$L$17*0.1,"--")</f>
        <v>--</v>
      </c>
      <c r="X26" s="636" t="str">
        <f>IF(N26="RF",ROUND(M26/60,2)*I23*$L$17*0.1,"--")</f>
        <v>--</v>
      </c>
      <c r="Y26" s="637" t="str">
        <f>IF(N26="RR",ROUND(M26/60,2)*O26/100*I23*$L$17*0.1,"--")</f>
        <v>--</v>
      </c>
      <c r="Z26" s="638">
        <f>IF(F26="","","SI")</f>
      </c>
      <c r="AA26" s="50">
        <f>IF(F26="","",SUM(P26:Y26)*IF(Z26="SI",1,2))</f>
      </c>
      <c r="AB26" s="3"/>
    </row>
    <row r="27" spans="1:28" ht="16.5" customHeight="1">
      <c r="A27" s="1"/>
      <c r="B27" s="2"/>
      <c r="C27" s="424"/>
      <c r="D27" s="424"/>
      <c r="E27" s="424"/>
      <c r="F27" s="425"/>
      <c r="G27" s="426"/>
      <c r="H27" s="427"/>
      <c r="I27" s="330">
        <f t="shared" si="2"/>
        <v>47.37474999999999</v>
      </c>
      <c r="J27" s="432"/>
      <c r="K27" s="432"/>
      <c r="L27" s="12">
        <f t="shared" si="0"/>
      </c>
      <c r="M27" s="13">
        <f t="shared" si="1"/>
      </c>
      <c r="N27" s="433"/>
      <c r="O27" s="627">
        <f aca="true" t="shared" si="3" ref="O27:O38">IF(F27="","","--")</f>
      </c>
      <c r="P27" s="628" t="str">
        <f>IF(N27="P",ROUND(M27/60,2)*I24*$L$17*0.01,"--")</f>
        <v>--</v>
      </c>
      <c r="Q27" s="629" t="str">
        <f>IF(N27="RP",ROUND(M27/60,2)*I24*$L$17*0.01*O27/100,"--")</f>
        <v>--</v>
      </c>
      <c r="R27" s="630" t="str">
        <f>IF(N27="F",I24*$L$17,"--")</f>
        <v>--</v>
      </c>
      <c r="S27" s="631" t="str">
        <f>IF(AND(M27&gt;10,N27="F"),I24*$L$17*IF(M27&gt;180,3,ROUND(M27/60,2)),"--")</f>
        <v>--</v>
      </c>
      <c r="T27" s="632" t="str">
        <f>IF(AND(M27&gt;180,N27="F"),(ROUND(M27/60,2)-3)*I24*$L$17*0.1,"--")</f>
        <v>--</v>
      </c>
      <c r="U27" s="633" t="str">
        <f>IF(N27="R",I24*$L$17*O27/100,"--")</f>
        <v>--</v>
      </c>
      <c r="V27" s="634" t="str">
        <f>IF(AND(M27&gt;10,N27="R"),I24*$L$17*O27/100*IF(M27&gt;180,3,ROUND(M27/60,2)),"--")</f>
        <v>--</v>
      </c>
      <c r="W27" s="635" t="str">
        <f>IF(AND(M27&gt;180,N27="R"),(ROUND(M27/60,2)-3)*O27/100*I24*$L$17*0.1,"--")</f>
        <v>--</v>
      </c>
      <c r="X27" s="636" t="str">
        <f>IF(N27="RF",ROUND(M27/60,2)*I24*$L$17*0.1,"--")</f>
        <v>--</v>
      </c>
      <c r="Y27" s="637" t="str">
        <f>IF(N27="RR",ROUND(M27/60,2)*O27/100*I24*$L$17*0.1,"--")</f>
        <v>--</v>
      </c>
      <c r="Z27" s="638">
        <f aca="true" t="shared" si="4" ref="Z27:Z38">IF(F27="","","SI")</f>
      </c>
      <c r="AA27" s="50">
        <f aca="true" t="shared" si="5" ref="AA27:AA38">IF(F27="","",SUM(P27:Y27)*IF(Z27="SI",1,2))</f>
      </c>
      <c r="AB27" s="3"/>
    </row>
    <row r="28" spans="1:28" ht="16.5" customHeight="1">
      <c r="A28" s="1"/>
      <c r="B28" s="2"/>
      <c r="C28" s="424"/>
      <c r="D28" s="424"/>
      <c r="E28" s="424"/>
      <c r="F28" s="425"/>
      <c r="G28" s="426"/>
      <c r="H28" s="427"/>
      <c r="I28" s="330">
        <f t="shared" si="2"/>
        <v>47.37474999999999</v>
      </c>
      <c r="J28" s="432"/>
      <c r="K28" s="432"/>
      <c r="L28" s="12">
        <f t="shared" si="0"/>
      </c>
      <c r="M28" s="13">
        <f t="shared" si="1"/>
      </c>
      <c r="N28" s="433"/>
      <c r="O28" s="627">
        <f t="shared" si="3"/>
      </c>
      <c r="P28" s="628" t="str">
        <f aca="true" t="shared" si="6" ref="P28:P38">IF(N28="P",ROUND(M28/60,2)*I28*$L$17*0.01,"--")</f>
        <v>--</v>
      </c>
      <c r="Q28" s="629" t="str">
        <f aca="true" t="shared" si="7" ref="Q28:Q38">IF(N28="RP",ROUND(M28/60,2)*I28*$L$17*0.01*O28/100,"--")</f>
        <v>--</v>
      </c>
      <c r="R28" s="630" t="str">
        <f aca="true" t="shared" si="8" ref="R28:R38">IF(N28="F",I28*$L$17,"--")</f>
        <v>--</v>
      </c>
      <c r="S28" s="631" t="str">
        <f aca="true" t="shared" si="9" ref="S28:S38">IF(AND(M28&gt;10,N28="F"),I28*$L$17*IF(M28&gt;180,3,ROUND(M28/60,2)),"--")</f>
        <v>--</v>
      </c>
      <c r="T28" s="632" t="str">
        <f aca="true" t="shared" si="10" ref="T28:T38">IF(AND(M28&gt;180,N28="F"),(ROUND(M28/60,2)-3)*I28*$L$17*0.1,"--")</f>
        <v>--</v>
      </c>
      <c r="U28" s="633" t="str">
        <f aca="true" t="shared" si="11" ref="U28:U38">IF(N28="R",I28*$L$17*O28/100,"--")</f>
        <v>--</v>
      </c>
      <c r="V28" s="634" t="str">
        <f aca="true" t="shared" si="12" ref="V28:V38">IF(AND(M28&gt;10,N28="R"),I28*$L$17*O28/100*IF(M28&gt;180,3,ROUND(M28/60,2)),"--")</f>
        <v>--</v>
      </c>
      <c r="W28" s="635" t="str">
        <f aca="true" t="shared" si="13" ref="W28:W38">IF(AND(M28&gt;180,N28="R"),(ROUND(M28/60,2)-3)*O28/100*I28*$L$17*0.1,"--")</f>
        <v>--</v>
      </c>
      <c r="X28" s="636" t="str">
        <f aca="true" t="shared" si="14" ref="X28:X38">IF(N28="RF",ROUND(M28/60,2)*I28*$L$17*0.1,"--")</f>
        <v>--</v>
      </c>
      <c r="Y28" s="637" t="str">
        <f aca="true" t="shared" si="15" ref="Y28:Y38">IF(N28="RR",ROUND(M28/60,2)*O28/100*I28*$L$17*0.1,"--")</f>
        <v>--</v>
      </c>
      <c r="Z28" s="638">
        <f t="shared" si="4"/>
      </c>
      <c r="AA28" s="50">
        <f t="shared" si="5"/>
      </c>
      <c r="AB28" s="3"/>
    </row>
    <row r="29" spans="1:28" ht="16.5" customHeight="1">
      <c r="A29" s="1"/>
      <c r="B29" s="2"/>
      <c r="C29" s="424"/>
      <c r="D29" s="424"/>
      <c r="E29" s="424"/>
      <c r="F29" s="425"/>
      <c r="G29" s="426"/>
      <c r="H29" s="427"/>
      <c r="I29" s="330">
        <f t="shared" si="2"/>
        <v>47.37474999999999</v>
      </c>
      <c r="J29" s="432"/>
      <c r="K29" s="432"/>
      <c r="L29" s="12">
        <f t="shared" si="0"/>
      </c>
      <c r="M29" s="13">
        <f t="shared" si="1"/>
      </c>
      <c r="N29" s="433"/>
      <c r="O29" s="627">
        <f t="shared" si="3"/>
      </c>
      <c r="P29" s="628" t="str">
        <f t="shared" si="6"/>
        <v>--</v>
      </c>
      <c r="Q29" s="629" t="str">
        <f t="shared" si="7"/>
        <v>--</v>
      </c>
      <c r="R29" s="630" t="str">
        <f t="shared" si="8"/>
        <v>--</v>
      </c>
      <c r="S29" s="631" t="str">
        <f t="shared" si="9"/>
        <v>--</v>
      </c>
      <c r="T29" s="632" t="str">
        <f t="shared" si="10"/>
        <v>--</v>
      </c>
      <c r="U29" s="633" t="str">
        <f t="shared" si="11"/>
        <v>--</v>
      </c>
      <c r="V29" s="634" t="str">
        <f t="shared" si="12"/>
        <v>--</v>
      </c>
      <c r="W29" s="635" t="str">
        <f t="shared" si="13"/>
        <v>--</v>
      </c>
      <c r="X29" s="636" t="str">
        <f t="shared" si="14"/>
        <v>--</v>
      </c>
      <c r="Y29" s="637" t="str">
        <f t="shared" si="15"/>
        <v>--</v>
      </c>
      <c r="Z29" s="638">
        <f t="shared" si="4"/>
      </c>
      <c r="AA29" s="50">
        <f t="shared" si="5"/>
      </c>
      <c r="AB29" s="3"/>
    </row>
    <row r="30" spans="1:28" ht="16.5" customHeight="1">
      <c r="A30" s="1"/>
      <c r="B30" s="2"/>
      <c r="C30" s="424"/>
      <c r="D30" s="424"/>
      <c r="E30" s="424"/>
      <c r="F30" s="425"/>
      <c r="G30" s="426"/>
      <c r="H30" s="427"/>
      <c r="I30" s="330">
        <f t="shared" si="2"/>
        <v>47.37474999999999</v>
      </c>
      <c r="J30" s="432"/>
      <c r="K30" s="432"/>
      <c r="L30" s="12">
        <f t="shared" si="0"/>
      </c>
      <c r="M30" s="13">
        <f t="shared" si="1"/>
      </c>
      <c r="N30" s="433"/>
      <c r="O30" s="627">
        <f t="shared" si="3"/>
      </c>
      <c r="P30" s="628" t="str">
        <f t="shared" si="6"/>
        <v>--</v>
      </c>
      <c r="Q30" s="629" t="str">
        <f t="shared" si="7"/>
        <v>--</v>
      </c>
      <c r="R30" s="630" t="str">
        <f t="shared" si="8"/>
        <v>--</v>
      </c>
      <c r="S30" s="631" t="str">
        <f t="shared" si="9"/>
        <v>--</v>
      </c>
      <c r="T30" s="632" t="str">
        <f t="shared" si="10"/>
        <v>--</v>
      </c>
      <c r="U30" s="633" t="str">
        <f t="shared" si="11"/>
        <v>--</v>
      </c>
      <c r="V30" s="634" t="str">
        <f t="shared" si="12"/>
        <v>--</v>
      </c>
      <c r="W30" s="635" t="str">
        <f t="shared" si="13"/>
        <v>--</v>
      </c>
      <c r="X30" s="636" t="str">
        <f t="shared" si="14"/>
        <v>--</v>
      </c>
      <c r="Y30" s="637" t="str">
        <f t="shared" si="15"/>
        <v>--</v>
      </c>
      <c r="Z30" s="638">
        <f t="shared" si="4"/>
      </c>
      <c r="AA30" s="50">
        <f t="shared" si="5"/>
      </c>
      <c r="AB30" s="3"/>
    </row>
    <row r="31" spans="1:28" ht="16.5" customHeight="1">
      <c r="A31" s="1"/>
      <c r="B31" s="2"/>
      <c r="C31" s="424"/>
      <c r="D31" s="424"/>
      <c r="E31" s="424"/>
      <c r="F31" s="425"/>
      <c r="G31" s="426"/>
      <c r="H31" s="427"/>
      <c r="I31" s="330">
        <f t="shared" si="2"/>
        <v>47.37474999999999</v>
      </c>
      <c r="J31" s="432"/>
      <c r="K31" s="432"/>
      <c r="L31" s="12">
        <f t="shared" si="0"/>
      </c>
      <c r="M31" s="13">
        <f t="shared" si="1"/>
      </c>
      <c r="N31" s="433"/>
      <c r="O31" s="627">
        <f t="shared" si="3"/>
      </c>
      <c r="P31" s="628" t="str">
        <f t="shared" si="6"/>
        <v>--</v>
      </c>
      <c r="Q31" s="629" t="str">
        <f t="shared" si="7"/>
        <v>--</v>
      </c>
      <c r="R31" s="630" t="str">
        <f t="shared" si="8"/>
        <v>--</v>
      </c>
      <c r="S31" s="631" t="str">
        <f t="shared" si="9"/>
        <v>--</v>
      </c>
      <c r="T31" s="632" t="str">
        <f t="shared" si="10"/>
        <v>--</v>
      </c>
      <c r="U31" s="633" t="str">
        <f t="shared" si="11"/>
        <v>--</v>
      </c>
      <c r="V31" s="634" t="str">
        <f t="shared" si="12"/>
        <v>--</v>
      </c>
      <c r="W31" s="635" t="str">
        <f t="shared" si="13"/>
        <v>--</v>
      </c>
      <c r="X31" s="636" t="str">
        <f t="shared" si="14"/>
        <v>--</v>
      </c>
      <c r="Y31" s="637" t="str">
        <f t="shared" si="15"/>
        <v>--</v>
      </c>
      <c r="Z31" s="638">
        <f t="shared" si="4"/>
      </c>
      <c r="AA31" s="50">
        <f t="shared" si="5"/>
      </c>
      <c r="AB31" s="3"/>
    </row>
    <row r="32" spans="1:28" ht="16.5" customHeight="1">
      <c r="A32" s="1"/>
      <c r="B32" s="2"/>
      <c r="C32" s="424"/>
      <c r="D32" s="424"/>
      <c r="E32" s="424"/>
      <c r="F32" s="425"/>
      <c r="G32" s="426"/>
      <c r="H32" s="427"/>
      <c r="I32" s="330">
        <f t="shared" si="2"/>
        <v>47.37474999999999</v>
      </c>
      <c r="J32" s="432"/>
      <c r="K32" s="432"/>
      <c r="L32" s="12">
        <f t="shared" si="0"/>
      </c>
      <c r="M32" s="13">
        <f t="shared" si="1"/>
      </c>
      <c r="N32" s="433"/>
      <c r="O32" s="627">
        <f t="shared" si="3"/>
      </c>
      <c r="P32" s="628" t="str">
        <f t="shared" si="6"/>
        <v>--</v>
      </c>
      <c r="Q32" s="629" t="str">
        <f t="shared" si="7"/>
        <v>--</v>
      </c>
      <c r="R32" s="630" t="str">
        <f t="shared" si="8"/>
        <v>--</v>
      </c>
      <c r="S32" s="631" t="str">
        <f t="shared" si="9"/>
        <v>--</v>
      </c>
      <c r="T32" s="632" t="str">
        <f t="shared" si="10"/>
        <v>--</v>
      </c>
      <c r="U32" s="633" t="str">
        <f t="shared" si="11"/>
        <v>--</v>
      </c>
      <c r="V32" s="634" t="str">
        <f t="shared" si="12"/>
        <v>--</v>
      </c>
      <c r="W32" s="635" t="str">
        <f t="shared" si="13"/>
        <v>--</v>
      </c>
      <c r="X32" s="636" t="str">
        <f t="shared" si="14"/>
        <v>--</v>
      </c>
      <c r="Y32" s="637" t="str">
        <f t="shared" si="15"/>
        <v>--</v>
      </c>
      <c r="Z32" s="638">
        <f t="shared" si="4"/>
      </c>
      <c r="AA32" s="50">
        <f t="shared" si="5"/>
      </c>
      <c r="AB32" s="3"/>
    </row>
    <row r="33" spans="1:28" ht="16.5" customHeight="1">
      <c r="A33" s="1"/>
      <c r="B33" s="2"/>
      <c r="C33" s="424"/>
      <c r="D33" s="424"/>
      <c r="E33" s="424"/>
      <c r="F33" s="425"/>
      <c r="G33" s="426"/>
      <c r="H33" s="427"/>
      <c r="I33" s="330">
        <f t="shared" si="2"/>
        <v>47.37474999999999</v>
      </c>
      <c r="J33" s="432"/>
      <c r="K33" s="432"/>
      <c r="L33" s="12">
        <f t="shared" si="0"/>
      </c>
      <c r="M33" s="13">
        <f t="shared" si="1"/>
      </c>
      <c r="N33" s="433"/>
      <c r="O33" s="627">
        <f t="shared" si="3"/>
      </c>
      <c r="P33" s="628" t="str">
        <f t="shared" si="6"/>
        <v>--</v>
      </c>
      <c r="Q33" s="629" t="str">
        <f t="shared" si="7"/>
        <v>--</v>
      </c>
      <c r="R33" s="630" t="str">
        <f t="shared" si="8"/>
        <v>--</v>
      </c>
      <c r="S33" s="631" t="str">
        <f t="shared" si="9"/>
        <v>--</v>
      </c>
      <c r="T33" s="632" t="str">
        <f t="shared" si="10"/>
        <v>--</v>
      </c>
      <c r="U33" s="633" t="str">
        <f t="shared" si="11"/>
        <v>--</v>
      </c>
      <c r="V33" s="634" t="str">
        <f t="shared" si="12"/>
        <v>--</v>
      </c>
      <c r="W33" s="635" t="str">
        <f t="shared" si="13"/>
        <v>--</v>
      </c>
      <c r="X33" s="636" t="str">
        <f t="shared" si="14"/>
        <v>--</v>
      </c>
      <c r="Y33" s="637" t="str">
        <f t="shared" si="15"/>
        <v>--</v>
      </c>
      <c r="Z33" s="638">
        <f t="shared" si="4"/>
      </c>
      <c r="AA33" s="50">
        <f t="shared" si="5"/>
      </c>
      <c r="AB33" s="3"/>
    </row>
    <row r="34" spans="1:28" ht="16.5" customHeight="1">
      <c r="A34" s="1"/>
      <c r="B34" s="2"/>
      <c r="C34" s="424"/>
      <c r="D34" s="424"/>
      <c r="E34" s="424"/>
      <c r="F34" s="425"/>
      <c r="G34" s="426"/>
      <c r="H34" s="427"/>
      <c r="I34" s="330">
        <f t="shared" si="2"/>
        <v>47.37474999999999</v>
      </c>
      <c r="J34" s="432"/>
      <c r="K34" s="432"/>
      <c r="L34" s="12">
        <f t="shared" si="0"/>
      </c>
      <c r="M34" s="13">
        <f t="shared" si="1"/>
      </c>
      <c r="N34" s="433"/>
      <c r="O34" s="627">
        <f t="shared" si="3"/>
      </c>
      <c r="P34" s="628" t="str">
        <f t="shared" si="6"/>
        <v>--</v>
      </c>
      <c r="Q34" s="629" t="str">
        <f t="shared" si="7"/>
        <v>--</v>
      </c>
      <c r="R34" s="630" t="str">
        <f t="shared" si="8"/>
        <v>--</v>
      </c>
      <c r="S34" s="631" t="str">
        <f t="shared" si="9"/>
        <v>--</v>
      </c>
      <c r="T34" s="632" t="str">
        <f t="shared" si="10"/>
        <v>--</v>
      </c>
      <c r="U34" s="633" t="str">
        <f t="shared" si="11"/>
        <v>--</v>
      </c>
      <c r="V34" s="634" t="str">
        <f t="shared" si="12"/>
        <v>--</v>
      </c>
      <c r="W34" s="635" t="str">
        <f t="shared" si="13"/>
        <v>--</v>
      </c>
      <c r="X34" s="636" t="str">
        <f t="shared" si="14"/>
        <v>--</v>
      </c>
      <c r="Y34" s="637" t="str">
        <f t="shared" si="15"/>
        <v>--</v>
      </c>
      <c r="Z34" s="638">
        <f t="shared" si="4"/>
      </c>
      <c r="AA34" s="50">
        <f t="shared" si="5"/>
      </c>
      <c r="AB34" s="3"/>
    </row>
    <row r="35" spans="1:28" ht="16.5" customHeight="1">
      <c r="A35" s="1"/>
      <c r="B35" s="2"/>
      <c r="C35" s="424"/>
      <c r="D35" s="424"/>
      <c r="E35" s="424"/>
      <c r="F35" s="425"/>
      <c r="G35" s="426"/>
      <c r="H35" s="427"/>
      <c r="I35" s="330">
        <f t="shared" si="2"/>
        <v>47.37474999999999</v>
      </c>
      <c r="J35" s="432"/>
      <c r="K35" s="432"/>
      <c r="L35" s="12">
        <f t="shared" si="0"/>
      </c>
      <c r="M35" s="13">
        <f t="shared" si="1"/>
      </c>
      <c r="N35" s="433"/>
      <c r="O35" s="627">
        <f t="shared" si="3"/>
      </c>
      <c r="P35" s="628" t="str">
        <f t="shared" si="6"/>
        <v>--</v>
      </c>
      <c r="Q35" s="629" t="str">
        <f t="shared" si="7"/>
        <v>--</v>
      </c>
      <c r="R35" s="630" t="str">
        <f t="shared" si="8"/>
        <v>--</v>
      </c>
      <c r="S35" s="631" t="str">
        <f t="shared" si="9"/>
        <v>--</v>
      </c>
      <c r="T35" s="632" t="str">
        <f t="shared" si="10"/>
        <v>--</v>
      </c>
      <c r="U35" s="633" t="str">
        <f t="shared" si="11"/>
        <v>--</v>
      </c>
      <c r="V35" s="634" t="str">
        <f t="shared" si="12"/>
        <v>--</v>
      </c>
      <c r="W35" s="635" t="str">
        <f t="shared" si="13"/>
        <v>--</v>
      </c>
      <c r="X35" s="636" t="str">
        <f t="shared" si="14"/>
        <v>--</v>
      </c>
      <c r="Y35" s="637" t="str">
        <f t="shared" si="15"/>
        <v>--</v>
      </c>
      <c r="Z35" s="638">
        <f t="shared" si="4"/>
      </c>
      <c r="AA35" s="50">
        <f t="shared" si="5"/>
      </c>
      <c r="AB35" s="3"/>
    </row>
    <row r="36" spans="1:28" ht="16.5" customHeight="1">
      <c r="A36" s="1"/>
      <c r="B36" s="2"/>
      <c r="C36" s="424"/>
      <c r="D36" s="424"/>
      <c r="E36" s="424"/>
      <c r="F36" s="425"/>
      <c r="G36" s="426"/>
      <c r="H36" s="427"/>
      <c r="I36" s="330">
        <f t="shared" si="2"/>
        <v>47.37474999999999</v>
      </c>
      <c r="J36" s="432"/>
      <c r="K36" s="432"/>
      <c r="L36" s="12">
        <f t="shared" si="0"/>
      </c>
      <c r="M36" s="13">
        <f t="shared" si="1"/>
      </c>
      <c r="N36" s="433"/>
      <c r="O36" s="627">
        <f t="shared" si="3"/>
      </c>
      <c r="P36" s="628" t="str">
        <f t="shared" si="6"/>
        <v>--</v>
      </c>
      <c r="Q36" s="629" t="str">
        <f t="shared" si="7"/>
        <v>--</v>
      </c>
      <c r="R36" s="630" t="str">
        <f t="shared" si="8"/>
        <v>--</v>
      </c>
      <c r="S36" s="631" t="str">
        <f t="shared" si="9"/>
        <v>--</v>
      </c>
      <c r="T36" s="632" t="str">
        <f t="shared" si="10"/>
        <v>--</v>
      </c>
      <c r="U36" s="633" t="str">
        <f t="shared" si="11"/>
        <v>--</v>
      </c>
      <c r="V36" s="634" t="str">
        <f t="shared" si="12"/>
        <v>--</v>
      </c>
      <c r="W36" s="635" t="str">
        <f t="shared" si="13"/>
        <v>--</v>
      </c>
      <c r="X36" s="636" t="str">
        <f t="shared" si="14"/>
        <v>--</v>
      </c>
      <c r="Y36" s="637" t="str">
        <f t="shared" si="15"/>
        <v>--</v>
      </c>
      <c r="Z36" s="638">
        <f t="shared" si="4"/>
      </c>
      <c r="AA36" s="50">
        <f t="shared" si="5"/>
      </c>
      <c r="AB36" s="3"/>
    </row>
    <row r="37" spans="1:28" ht="16.5" customHeight="1">
      <c r="A37" s="1"/>
      <c r="B37" s="2"/>
      <c r="C37" s="424"/>
      <c r="D37" s="424"/>
      <c r="E37" s="424"/>
      <c r="F37" s="425"/>
      <c r="G37" s="426"/>
      <c r="H37" s="427"/>
      <c r="I37" s="330">
        <f t="shared" si="2"/>
        <v>47.37474999999999</v>
      </c>
      <c r="J37" s="432"/>
      <c r="K37" s="432"/>
      <c r="L37" s="12">
        <f t="shared" si="0"/>
      </c>
      <c r="M37" s="13">
        <f t="shared" si="1"/>
      </c>
      <c r="N37" s="433"/>
      <c r="O37" s="627">
        <f t="shared" si="3"/>
      </c>
      <c r="P37" s="628" t="str">
        <f t="shared" si="6"/>
        <v>--</v>
      </c>
      <c r="Q37" s="629" t="str">
        <f t="shared" si="7"/>
        <v>--</v>
      </c>
      <c r="R37" s="630" t="str">
        <f t="shared" si="8"/>
        <v>--</v>
      </c>
      <c r="S37" s="631" t="str">
        <f t="shared" si="9"/>
        <v>--</v>
      </c>
      <c r="T37" s="632" t="str">
        <f t="shared" si="10"/>
        <v>--</v>
      </c>
      <c r="U37" s="633" t="str">
        <f t="shared" si="11"/>
        <v>--</v>
      </c>
      <c r="V37" s="634" t="str">
        <f t="shared" si="12"/>
        <v>--</v>
      </c>
      <c r="W37" s="635" t="str">
        <f t="shared" si="13"/>
        <v>--</v>
      </c>
      <c r="X37" s="636" t="str">
        <f t="shared" si="14"/>
        <v>--</v>
      </c>
      <c r="Y37" s="637" t="str">
        <f t="shared" si="15"/>
        <v>--</v>
      </c>
      <c r="Z37" s="638">
        <f t="shared" si="4"/>
      </c>
      <c r="AA37" s="50">
        <f t="shared" si="5"/>
      </c>
      <c r="AB37" s="3"/>
    </row>
    <row r="38" spans="2:28" ht="16.5" customHeight="1">
      <c r="B38" s="51"/>
      <c r="C38" s="424"/>
      <c r="D38" s="424"/>
      <c r="E38" s="424"/>
      <c r="F38" s="425"/>
      <c r="G38" s="426"/>
      <c r="H38" s="427"/>
      <c r="I38" s="330">
        <f t="shared" si="2"/>
        <v>47.37474999999999</v>
      </c>
      <c r="J38" s="432"/>
      <c r="K38" s="432"/>
      <c r="L38" s="12">
        <f t="shared" si="0"/>
      </c>
      <c r="M38" s="13">
        <f t="shared" si="1"/>
      </c>
      <c r="N38" s="433"/>
      <c r="O38" s="627">
        <f t="shared" si="3"/>
      </c>
      <c r="P38" s="628" t="str">
        <f t="shared" si="6"/>
        <v>--</v>
      </c>
      <c r="Q38" s="629" t="str">
        <f t="shared" si="7"/>
        <v>--</v>
      </c>
      <c r="R38" s="630" t="str">
        <f t="shared" si="8"/>
        <v>--</v>
      </c>
      <c r="S38" s="631" t="str">
        <f t="shared" si="9"/>
        <v>--</v>
      </c>
      <c r="T38" s="632" t="str">
        <f t="shared" si="10"/>
        <v>--</v>
      </c>
      <c r="U38" s="633" t="str">
        <f t="shared" si="11"/>
        <v>--</v>
      </c>
      <c r="V38" s="634" t="str">
        <f t="shared" si="12"/>
        <v>--</v>
      </c>
      <c r="W38" s="635" t="str">
        <f t="shared" si="13"/>
        <v>--</v>
      </c>
      <c r="X38" s="636" t="str">
        <f t="shared" si="14"/>
        <v>--</v>
      </c>
      <c r="Y38" s="637" t="str">
        <f t="shared" si="15"/>
        <v>--</v>
      </c>
      <c r="Z38" s="638">
        <f t="shared" si="4"/>
      </c>
      <c r="AA38" s="50">
        <f t="shared" si="5"/>
      </c>
      <c r="AB38" s="3"/>
    </row>
    <row r="39" spans="2:28" ht="16.5" customHeight="1">
      <c r="B39" s="51"/>
      <c r="C39" s="424"/>
      <c r="D39" s="424"/>
      <c r="E39" s="424"/>
      <c r="F39" s="425"/>
      <c r="G39" s="426"/>
      <c r="H39" s="427"/>
      <c r="I39" s="330">
        <f>IF(H39&gt;25,H39,25)*IF(G39=330,$G$16,$G$17)/100</f>
        <v>47.37474999999999</v>
      </c>
      <c r="J39" s="432"/>
      <c r="K39" s="432"/>
      <c r="L39" s="12">
        <f>IF(F39="","",(K39-J39)*24)</f>
      </c>
      <c r="M39" s="13">
        <f>IF(F39="","",ROUND((K39-J39)*24*60,0))</f>
      </c>
      <c r="N39" s="433"/>
      <c r="O39" s="627">
        <f>IF(F39="","","--")</f>
      </c>
      <c r="P39" s="628" t="str">
        <f>IF(N39="P",ROUND(M39/60,2)*I39*$L$17*0.01,"--")</f>
        <v>--</v>
      </c>
      <c r="Q39" s="629" t="str">
        <f>IF(N39="RP",ROUND(M39/60,2)*I39*$L$17*0.01*O39/100,"--")</f>
        <v>--</v>
      </c>
      <c r="R39" s="630" t="str">
        <f>IF(N39="F",I39*$L$17,"--")</f>
        <v>--</v>
      </c>
      <c r="S39" s="631" t="str">
        <f>IF(AND(M39&gt;10,N39="F"),I39*$L$17*IF(M39&gt;180,3,ROUND(M39/60,2)),"--")</f>
        <v>--</v>
      </c>
      <c r="T39" s="632" t="str">
        <f>IF(AND(M39&gt;180,N39="F"),(ROUND(M39/60,2)-3)*I39*$L$17*0.1,"--")</f>
        <v>--</v>
      </c>
      <c r="U39" s="633" t="str">
        <f>IF(N39="R",I39*$L$17*O39/100,"--")</f>
        <v>--</v>
      </c>
      <c r="V39" s="634" t="str">
        <f>IF(AND(M39&gt;10,N39="R"),I39*$L$17*O39/100*IF(M39&gt;180,3,ROUND(M39/60,2)),"--")</f>
        <v>--</v>
      </c>
      <c r="W39" s="635" t="str">
        <f>IF(AND(M39&gt;180,N39="R"),(ROUND(M39/60,2)-3)*O39/100*I39*$L$17*0.1,"--")</f>
        <v>--</v>
      </c>
      <c r="X39" s="636" t="str">
        <f>IF(N39="RF",ROUND(M39/60,2)*I39*$L$17*0.1,"--")</f>
        <v>--</v>
      </c>
      <c r="Y39" s="637" t="str">
        <f>IF(N39="RR",ROUND(M39/60,2)*O39/100*I39*$L$17*0.1,"--")</f>
        <v>--</v>
      </c>
      <c r="Z39" s="638">
        <f>IF(F39="","","SI")</f>
      </c>
      <c r="AA39" s="50">
        <f>IF(F39="","",SUM(P39:Y39)*IF(Z39="SI",1,2))</f>
      </c>
      <c r="AB39" s="3"/>
    </row>
    <row r="40" spans="2:28" ht="16.5" customHeight="1">
      <c r="B40" s="51"/>
      <c r="C40" s="424"/>
      <c r="D40" s="424"/>
      <c r="E40" s="424"/>
      <c r="F40" s="425"/>
      <c r="G40" s="426"/>
      <c r="H40" s="427"/>
      <c r="I40" s="330">
        <f>IF(H40&gt;25,H40,25)*IF(G40=330,$G$16,$G$17)/100</f>
        <v>47.37474999999999</v>
      </c>
      <c r="J40" s="432"/>
      <c r="K40" s="432"/>
      <c r="L40" s="12">
        <f>IF(F40="","",(K40-J40)*24)</f>
      </c>
      <c r="M40" s="13">
        <f>IF(F40="","",ROUND((K40-J40)*24*60,0))</f>
      </c>
      <c r="N40" s="433"/>
      <c r="O40" s="627">
        <f>IF(F40="","","--")</f>
      </c>
      <c r="P40" s="628" t="str">
        <f>IF(N40="P",ROUND(M40/60,2)*I40*$L$17*0.01,"--")</f>
        <v>--</v>
      </c>
      <c r="Q40" s="629" t="str">
        <f>IF(N40="RP",ROUND(M40/60,2)*I40*$L$17*0.01*O40/100,"--")</f>
        <v>--</v>
      </c>
      <c r="R40" s="630" t="str">
        <f>IF(N40="F",I40*$L$17,"--")</f>
        <v>--</v>
      </c>
      <c r="S40" s="631" t="str">
        <f>IF(AND(M40&gt;10,N40="F"),I40*$L$17*IF(M40&gt;180,3,ROUND(M40/60,2)),"--")</f>
        <v>--</v>
      </c>
      <c r="T40" s="632" t="str">
        <f>IF(AND(M40&gt;180,N40="F"),(ROUND(M40/60,2)-3)*I40*$L$17*0.1,"--")</f>
        <v>--</v>
      </c>
      <c r="U40" s="633" t="str">
        <f>IF(N40="R",I40*$L$17*O40/100,"--")</f>
        <v>--</v>
      </c>
      <c r="V40" s="634" t="str">
        <f>IF(AND(M40&gt;10,N40="R"),I40*$L$17*O40/100*IF(M40&gt;180,3,ROUND(M40/60,2)),"--")</f>
        <v>--</v>
      </c>
      <c r="W40" s="635" t="str">
        <f>IF(AND(M40&gt;180,N40="R"),(ROUND(M40/60,2)-3)*O40/100*I40*$L$17*0.1,"--")</f>
        <v>--</v>
      </c>
      <c r="X40" s="636" t="str">
        <f>IF(N40="RF",ROUND(M40/60,2)*I40*$L$17*0.1,"--")</f>
        <v>--</v>
      </c>
      <c r="Y40" s="637" t="str">
        <f>IF(N40="RR",ROUND(M40/60,2)*O40/100*I40*$L$17*0.1,"--")</f>
        <v>--</v>
      </c>
      <c r="Z40" s="638">
        <f>IF(F40="","","SI")</f>
      </c>
      <c r="AA40" s="50">
        <f>IF(F40="","",SUM(P40:Y40)*IF(Z40="SI",1,2))</f>
      </c>
      <c r="AB40" s="3"/>
    </row>
    <row r="41" spans="2:28" ht="16.5" customHeight="1">
      <c r="B41" s="51"/>
      <c r="C41" s="424"/>
      <c r="D41" s="424"/>
      <c r="E41" s="424"/>
      <c r="F41" s="425"/>
      <c r="G41" s="426"/>
      <c r="H41" s="427"/>
      <c r="I41" s="330">
        <f>IF(H41&gt;25,H41,25)*IF(G41=330,$G$16,$G$17)/100</f>
        <v>47.37474999999999</v>
      </c>
      <c r="J41" s="432"/>
      <c r="K41" s="432"/>
      <c r="L41" s="12">
        <f>IF(F41="","",(K41-J41)*24)</f>
      </c>
      <c r="M41" s="13">
        <f>IF(F41="","",ROUND((K41-J41)*24*60,0))</f>
      </c>
      <c r="N41" s="433"/>
      <c r="O41" s="627">
        <f>IF(F41="","","--")</f>
      </c>
      <c r="P41" s="628" t="str">
        <f>IF(N41="P",ROUND(M41/60,2)*I41*$L$17*0.01,"--")</f>
        <v>--</v>
      </c>
      <c r="Q41" s="629" t="str">
        <f>IF(N41="RP",ROUND(M41/60,2)*I41*$L$17*0.01*O41/100,"--")</f>
        <v>--</v>
      </c>
      <c r="R41" s="630" t="str">
        <f>IF(N41="F",I41*$L$17,"--")</f>
        <v>--</v>
      </c>
      <c r="S41" s="631" t="str">
        <f>IF(AND(M41&gt;10,N41="F"),I41*$L$17*IF(M41&gt;180,3,ROUND(M41/60,2)),"--")</f>
        <v>--</v>
      </c>
      <c r="T41" s="632" t="str">
        <f>IF(AND(M41&gt;180,N41="F"),(ROUND(M41/60,2)-3)*I41*$L$17*0.1,"--")</f>
        <v>--</v>
      </c>
      <c r="U41" s="633" t="str">
        <f>IF(N41="R",I41*$L$17*O41/100,"--")</f>
        <v>--</v>
      </c>
      <c r="V41" s="634" t="str">
        <f>IF(AND(M41&gt;10,N41="R"),I41*$L$17*O41/100*IF(M41&gt;180,3,ROUND(M41/60,2)),"--")</f>
        <v>--</v>
      </c>
      <c r="W41" s="635" t="str">
        <f>IF(AND(M41&gt;180,N41="R"),(ROUND(M41/60,2)-3)*O41/100*I41*$L$17*0.1,"--")</f>
        <v>--</v>
      </c>
      <c r="X41" s="636" t="str">
        <f>IF(N41="RF",ROUND(M41/60,2)*I41*$L$17*0.1,"--")</f>
        <v>--</v>
      </c>
      <c r="Y41" s="637" t="str">
        <f>IF(N41="RR",ROUND(M41/60,2)*O41/100*I41*$L$17*0.1,"--")</f>
        <v>--</v>
      </c>
      <c r="Z41" s="638">
        <f>IF(F41="","","SI")</f>
      </c>
      <c r="AA41" s="50">
        <f>IF(F41="","",SUM(P41:Y41)*IF(Z41="SI",1,2))</f>
      </c>
      <c r="AB41" s="3"/>
    </row>
    <row r="42" spans="1:28" ht="16.5" customHeight="1" thickBot="1">
      <c r="A42" s="1"/>
      <c r="B42" s="2"/>
      <c r="C42" s="428"/>
      <c r="D42" s="428"/>
      <c r="E42" s="428"/>
      <c r="F42" s="429"/>
      <c r="G42" s="430"/>
      <c r="H42" s="431"/>
      <c r="I42" s="331"/>
      <c r="J42" s="431"/>
      <c r="K42" s="431"/>
      <c r="L42" s="14"/>
      <c r="M42" s="14"/>
      <c r="N42" s="431"/>
      <c r="O42" s="434"/>
      <c r="P42" s="435"/>
      <c r="Q42" s="436"/>
      <c r="R42" s="437"/>
      <c r="S42" s="438"/>
      <c r="T42" s="439"/>
      <c r="U42" s="440"/>
      <c r="V42" s="441"/>
      <c r="W42" s="442"/>
      <c r="X42" s="443"/>
      <c r="Y42" s="444"/>
      <c r="Z42" s="445"/>
      <c r="AA42" s="52"/>
      <c r="AB42" s="3"/>
    </row>
    <row r="43" spans="1:28" ht="16.5" customHeight="1" thickBot="1" thickTop="1">
      <c r="A43" s="1"/>
      <c r="B43" s="2"/>
      <c r="C43" s="210" t="s">
        <v>66</v>
      </c>
      <c r="D43" s="654" t="s">
        <v>173</v>
      </c>
      <c r="E43" s="622"/>
      <c r="F43" s="211"/>
      <c r="G43" s="15"/>
      <c r="H43" s="16"/>
      <c r="I43" s="53"/>
      <c r="J43" s="53"/>
      <c r="K43" s="53"/>
      <c r="L43" s="53"/>
      <c r="M43" s="53"/>
      <c r="N43" s="53"/>
      <c r="O43" s="54"/>
      <c r="P43" s="293">
        <f aca="true" t="shared" si="16" ref="P43:Y43">ROUND(SUM(P20:P42),2)</f>
        <v>0</v>
      </c>
      <c r="Q43" s="294">
        <f t="shared" si="16"/>
        <v>0</v>
      </c>
      <c r="R43" s="295">
        <f t="shared" si="16"/>
        <v>15122.02</v>
      </c>
      <c r="S43" s="295">
        <f t="shared" si="16"/>
        <v>45366.06</v>
      </c>
      <c r="T43" s="296">
        <f t="shared" si="16"/>
        <v>151792.34</v>
      </c>
      <c r="U43" s="297">
        <f t="shared" si="16"/>
        <v>0</v>
      </c>
      <c r="V43" s="297">
        <f t="shared" si="16"/>
        <v>0</v>
      </c>
      <c r="W43" s="298">
        <f t="shared" si="16"/>
        <v>0</v>
      </c>
      <c r="X43" s="299">
        <f t="shared" si="16"/>
        <v>0</v>
      </c>
      <c r="Y43" s="300">
        <f t="shared" si="16"/>
        <v>0</v>
      </c>
      <c r="Z43" s="55"/>
      <c r="AA43" s="626">
        <f>ROUND(SUM(AA20:AA42),2)</f>
        <v>212280.42</v>
      </c>
      <c r="AB43" s="56"/>
    </row>
    <row r="44" spans="1:28" s="225" customFormat="1" ht="9.75" thickTop="1">
      <c r="A44" s="214"/>
      <c r="B44" s="215"/>
      <c r="C44" s="212"/>
      <c r="D44" s="212"/>
      <c r="E44" s="212"/>
      <c r="F44" s="213"/>
      <c r="G44" s="216"/>
      <c r="H44" s="217"/>
      <c r="I44" s="218"/>
      <c r="J44" s="218"/>
      <c r="K44" s="218"/>
      <c r="L44" s="218"/>
      <c r="M44" s="218"/>
      <c r="N44" s="218"/>
      <c r="O44" s="219"/>
      <c r="P44" s="220"/>
      <c r="Q44" s="220"/>
      <c r="R44" s="221"/>
      <c r="S44" s="221"/>
      <c r="T44" s="222"/>
      <c r="U44" s="222"/>
      <c r="V44" s="222"/>
      <c r="W44" s="222"/>
      <c r="X44" s="222"/>
      <c r="Y44" s="222"/>
      <c r="Z44" s="222"/>
      <c r="AA44" s="223"/>
      <c r="AB44" s="224"/>
    </row>
    <row r="45" spans="1:28" s="9" customFormat="1" ht="16.5" customHeight="1" thickBot="1">
      <c r="A45" s="7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2">
    <mergeCell ref="G16:H16"/>
    <mergeCell ref="G17:H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:H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1" customFormat="1" ht="26.25">
      <c r="AB1" s="336"/>
    </row>
    <row r="2" spans="2:28" s="101" customFormat="1" ht="26.25">
      <c r="B2" s="102" t="str">
        <f>+'TOT-0614'!B2</f>
        <v>ANEXO VI al Memorándum  D.T.E.E.  N°  223 /2016         .-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="9" customFormat="1" ht="12.75"/>
    <row r="4" spans="1:4" s="104" customFormat="1" ht="11.25">
      <c r="A4" s="625" t="s">
        <v>21</v>
      </c>
      <c r="C4" s="624"/>
      <c r="D4" s="624"/>
    </row>
    <row r="5" spans="1:4" s="104" customFormat="1" ht="11.25">
      <c r="A5" s="625" t="s">
        <v>147</v>
      </c>
      <c r="C5" s="624"/>
      <c r="D5" s="624"/>
    </row>
    <row r="6" s="9" customFormat="1" ht="13.5" thickBot="1"/>
    <row r="7" spans="1:28" s="9" customFormat="1" ht="13.5" thickTop="1">
      <c r="A7" s="7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06" customFormat="1" ht="20.25">
      <c r="A8" s="40"/>
      <c r="B8" s="105"/>
      <c r="C8" s="40"/>
      <c r="D8" s="40"/>
      <c r="E8" s="40"/>
      <c r="F8" s="19" t="s">
        <v>42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07"/>
    </row>
    <row r="9" spans="1:28" s="9" customFormat="1" ht="12.75">
      <c r="A9" s="7"/>
      <c r="B9" s="39"/>
      <c r="C9" s="7"/>
      <c r="D9" s="7"/>
      <c r="E9" s="7"/>
      <c r="F9" s="118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6" customFormat="1" ht="20.25">
      <c r="A10" s="40"/>
      <c r="B10" s="105"/>
      <c r="C10" s="40"/>
      <c r="D10" s="40"/>
      <c r="E10" s="40"/>
      <c r="F10" s="19" t="s">
        <v>170</v>
      </c>
      <c r="G10" s="19"/>
      <c r="H10" s="40"/>
      <c r="I10" s="108"/>
      <c r="J10" s="108"/>
      <c r="K10" s="108"/>
      <c r="L10" s="108"/>
      <c r="M10" s="108"/>
      <c r="N10" s="108"/>
      <c r="O10" s="10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07"/>
    </row>
    <row r="11" spans="1:28" s="9" customFormat="1" ht="12.75">
      <c r="A11" s="7"/>
      <c r="B11" s="39"/>
      <c r="C11" s="7"/>
      <c r="D11" s="7"/>
      <c r="E11" s="7"/>
      <c r="F11" s="117"/>
      <c r="G11" s="115"/>
      <c r="H11" s="7"/>
      <c r="I11" s="114"/>
      <c r="J11" s="114"/>
      <c r="K11" s="114"/>
      <c r="L11" s="114"/>
      <c r="M11" s="114"/>
      <c r="N11" s="114"/>
      <c r="O11" s="1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13" customFormat="1" ht="19.5">
      <c r="A12" s="42"/>
      <c r="B12" s="79" t="str">
        <f>+'TOT-0614'!B14</f>
        <v>Desde el 01 al 30 de junio de 2014</v>
      </c>
      <c r="C12" s="109"/>
      <c r="D12" s="109"/>
      <c r="E12" s="109"/>
      <c r="F12" s="109"/>
      <c r="G12" s="110"/>
      <c r="H12" s="110"/>
      <c r="I12" s="111"/>
      <c r="J12" s="111"/>
      <c r="K12" s="111"/>
      <c r="L12" s="111"/>
      <c r="M12" s="111"/>
      <c r="N12" s="111"/>
      <c r="O12" s="111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2"/>
    </row>
    <row r="13" spans="1:28" s="113" customFormat="1" ht="7.5" customHeight="1">
      <c r="A13" s="42"/>
      <c r="B13" s="79"/>
      <c r="C13" s="109"/>
      <c r="D13" s="109"/>
      <c r="E13" s="109"/>
      <c r="F13" s="109"/>
      <c r="G13" s="110"/>
      <c r="H13" s="110"/>
      <c r="I13" s="111"/>
      <c r="J13" s="111"/>
      <c r="K13" s="111"/>
      <c r="L13" s="111"/>
      <c r="M13" s="111"/>
      <c r="N13" s="111"/>
      <c r="O13" s="111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2"/>
    </row>
    <row r="14" spans="1:28" s="9" customFormat="1" ht="7.5" customHeight="1" thickBot="1">
      <c r="A14" s="7"/>
      <c r="B14" s="39"/>
      <c r="C14" s="7"/>
      <c r="D14" s="7"/>
      <c r="E14" s="7"/>
      <c r="F14" s="7"/>
      <c r="G14" s="115"/>
      <c r="H14" s="116"/>
      <c r="I14" s="114"/>
      <c r="J14" s="114"/>
      <c r="K14" s="114"/>
      <c r="L14" s="114"/>
      <c r="M14" s="114"/>
      <c r="N14" s="114"/>
      <c r="O14" s="11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</row>
    <row r="15" spans="1:28" s="87" customFormat="1" ht="16.5" customHeight="1" thickBot="1" thickTop="1">
      <c r="A15" s="83"/>
      <c r="B15" s="84"/>
      <c r="C15" s="83"/>
      <c r="D15" s="83"/>
      <c r="E15" s="83"/>
      <c r="F15" s="422" t="s">
        <v>45</v>
      </c>
      <c r="G15" s="423" t="s">
        <v>176</v>
      </c>
      <c r="H15" s="209"/>
      <c r="I15" s="88"/>
      <c r="J15" s="88"/>
      <c r="K15" s="88"/>
      <c r="L15" s="88"/>
      <c r="M15" s="88"/>
      <c r="N15" s="88"/>
      <c r="O15" s="88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6"/>
    </row>
    <row r="16" spans="1:28" s="87" customFormat="1" ht="16.5" customHeight="1" thickBot="1" thickTop="1">
      <c r="A16" s="83"/>
      <c r="B16" s="84"/>
      <c r="C16" s="83"/>
      <c r="D16" s="83"/>
      <c r="E16" s="83"/>
      <c r="F16" s="422" t="s">
        <v>46</v>
      </c>
      <c r="G16" s="662">
        <v>69.72</v>
      </c>
      <c r="H16" s="663"/>
      <c r="I16" s="83"/>
      <c r="K16" s="89" t="s">
        <v>47</v>
      </c>
      <c r="L16" s="90">
        <f>30*'TOT-0614'!B13</f>
        <v>30</v>
      </c>
      <c r="M16" s="206" t="str">
        <f>IF(L16=30," ",IF(L16=60,"Coeficiente duplicado por tasa de falla &gt;4 Sal. x año/100 km.","REVISAR COEFICIENTE"))</f>
        <v> 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6"/>
    </row>
    <row r="17" spans="1:28" s="87" customFormat="1" ht="7.5" customHeight="1" thickTop="1">
      <c r="A17" s="83"/>
      <c r="B17" s="84"/>
      <c r="C17" s="83"/>
      <c r="D17" s="83"/>
      <c r="E17" s="83"/>
      <c r="F17" s="614"/>
      <c r="G17" s="615"/>
      <c r="H17" s="616"/>
      <c r="I17" s="83"/>
      <c r="K17" s="89"/>
      <c r="L17" s="90"/>
      <c r="M17" s="206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6"/>
    </row>
    <row r="18" spans="1:28" s="648" customFormat="1" ht="15" customHeight="1" thickBot="1">
      <c r="A18" s="644"/>
      <c r="B18" s="645"/>
      <c r="C18" s="646">
        <v>3</v>
      </c>
      <c r="D18" s="646">
        <v>4</v>
      </c>
      <c r="E18" s="646">
        <v>5</v>
      </c>
      <c r="F18" s="646">
        <v>6</v>
      </c>
      <c r="G18" s="646">
        <v>7</v>
      </c>
      <c r="H18" s="646">
        <v>8</v>
      </c>
      <c r="I18" s="646">
        <v>9</v>
      </c>
      <c r="J18" s="646">
        <v>10</v>
      </c>
      <c r="K18" s="646">
        <v>11</v>
      </c>
      <c r="L18" s="646">
        <v>12</v>
      </c>
      <c r="M18" s="646">
        <v>13</v>
      </c>
      <c r="N18" s="646">
        <v>14</v>
      </c>
      <c r="O18" s="646">
        <v>15</v>
      </c>
      <c r="P18" s="646">
        <v>16</v>
      </c>
      <c r="Q18" s="646">
        <v>17</v>
      </c>
      <c r="R18" s="646">
        <v>18</v>
      </c>
      <c r="S18" s="646">
        <v>19</v>
      </c>
      <c r="T18" s="646">
        <v>20</v>
      </c>
      <c r="U18" s="646">
        <v>21</v>
      </c>
      <c r="V18" s="646">
        <v>22</v>
      </c>
      <c r="W18" s="646">
        <v>23</v>
      </c>
      <c r="X18" s="646">
        <v>24</v>
      </c>
      <c r="Y18" s="646">
        <v>25</v>
      </c>
      <c r="Z18" s="646">
        <v>26</v>
      </c>
      <c r="AA18" s="646">
        <v>27</v>
      </c>
      <c r="AB18" s="647"/>
    </row>
    <row r="19" spans="1:28" s="100" customFormat="1" ht="33.75" customHeight="1" thickBot="1" thickTop="1">
      <c r="A19" s="91"/>
      <c r="B19" s="92"/>
      <c r="C19" s="93" t="s">
        <v>48</v>
      </c>
      <c r="D19" s="93" t="s">
        <v>146</v>
      </c>
      <c r="E19" s="93" t="s">
        <v>145</v>
      </c>
      <c r="F19" s="94" t="s">
        <v>24</v>
      </c>
      <c r="G19" s="95" t="s">
        <v>49</v>
      </c>
      <c r="H19" s="96" t="s">
        <v>50</v>
      </c>
      <c r="I19" s="233" t="s">
        <v>51</v>
      </c>
      <c r="J19" s="94" t="s">
        <v>52</v>
      </c>
      <c r="K19" s="94" t="s">
        <v>53</v>
      </c>
      <c r="L19" s="95" t="s">
        <v>54</v>
      </c>
      <c r="M19" s="95" t="s">
        <v>55</v>
      </c>
      <c r="N19" s="97" t="s">
        <v>56</v>
      </c>
      <c r="O19" s="95" t="s">
        <v>57</v>
      </c>
      <c r="P19" s="260" t="s">
        <v>58</v>
      </c>
      <c r="Q19" s="263" t="s">
        <v>59</v>
      </c>
      <c r="R19" s="266" t="s">
        <v>60</v>
      </c>
      <c r="S19" s="267"/>
      <c r="T19" s="268"/>
      <c r="U19" s="277" t="s">
        <v>61</v>
      </c>
      <c r="V19" s="278"/>
      <c r="W19" s="279"/>
      <c r="X19" s="287" t="s">
        <v>62</v>
      </c>
      <c r="Y19" s="290" t="s">
        <v>63</v>
      </c>
      <c r="Z19" s="98" t="s">
        <v>64</v>
      </c>
      <c r="AA19" s="98" t="s">
        <v>65</v>
      </c>
      <c r="AB19" s="99"/>
    </row>
    <row r="20" spans="1:28" ht="16.5" customHeight="1" thickTop="1">
      <c r="A20" s="1"/>
      <c r="B20" s="2"/>
      <c r="C20" s="46"/>
      <c r="D20" s="80"/>
      <c r="E20" s="80"/>
      <c r="F20" s="47"/>
      <c r="G20" s="48"/>
      <c r="H20" s="48"/>
      <c r="I20" s="234"/>
      <c r="J20" s="48"/>
      <c r="K20" s="49"/>
      <c r="L20" s="49"/>
      <c r="M20" s="49"/>
      <c r="N20" s="47"/>
      <c r="O20" s="48"/>
      <c r="P20" s="261"/>
      <c r="Q20" s="264"/>
      <c r="R20" s="269"/>
      <c r="S20" s="270"/>
      <c r="T20" s="271"/>
      <c r="U20" s="280"/>
      <c r="V20" s="281"/>
      <c r="W20" s="282"/>
      <c r="X20" s="288"/>
      <c r="Y20" s="291"/>
      <c r="Z20" s="275"/>
      <c r="AA20" s="49"/>
      <c r="AB20" s="3"/>
    </row>
    <row r="21" spans="1:28" ht="16.5" customHeight="1">
      <c r="A21" s="1"/>
      <c r="B21" s="2"/>
      <c r="C21" s="46"/>
      <c r="D21" s="46"/>
      <c r="E21" s="46"/>
      <c r="F21" s="46"/>
      <c r="G21" s="81"/>
      <c r="H21" s="81"/>
      <c r="I21" s="235"/>
      <c r="J21" s="46"/>
      <c r="K21" s="82"/>
      <c r="L21" s="82"/>
      <c r="M21" s="82"/>
      <c r="N21" s="80"/>
      <c r="O21" s="46"/>
      <c r="P21" s="262"/>
      <c r="Q21" s="265"/>
      <c r="R21" s="272"/>
      <c r="S21" s="273"/>
      <c r="T21" s="274"/>
      <c r="U21" s="283"/>
      <c r="V21" s="284"/>
      <c r="W21" s="285"/>
      <c r="X21" s="289"/>
      <c r="Y21" s="292"/>
      <c r="Z21" s="276"/>
      <c r="AA21" s="82"/>
      <c r="AB21" s="3"/>
    </row>
    <row r="22" spans="1:28" ht="16.5" customHeight="1">
      <c r="A22" s="1"/>
      <c r="B22" s="2"/>
      <c r="C22" s="424">
        <v>3</v>
      </c>
      <c r="D22" s="424">
        <v>275853</v>
      </c>
      <c r="E22" s="424">
        <v>4658</v>
      </c>
      <c r="F22" s="425" t="s">
        <v>163</v>
      </c>
      <c r="G22" s="426">
        <v>132</v>
      </c>
      <c r="H22" s="427">
        <v>207.5</v>
      </c>
      <c r="I22" s="236">
        <f aca="true" t="shared" si="0" ref="I22:I41">IF(H22&gt;25,H22,25)*IF(G22=330,$G$15,$G$16)/100</f>
        <v>144.66899999999998</v>
      </c>
      <c r="J22" s="432">
        <v>41795.56527777778</v>
      </c>
      <c r="K22" s="432">
        <v>41795.586805555555</v>
      </c>
      <c r="L22" s="12">
        <f aca="true" t="shared" si="1" ref="L22:L41">IF(F22="","",(K22-J22)*24)</f>
        <v>0.5166666666045785</v>
      </c>
      <c r="M22" s="13">
        <f aca="true" t="shared" si="2" ref="M22:M41">IF(F22="","",ROUND((K22-J22)*24*60,0))</f>
        <v>31</v>
      </c>
      <c r="N22" s="433" t="s">
        <v>155</v>
      </c>
      <c r="O22" s="627" t="str">
        <f aca="true" t="shared" si="3" ref="O22:O41">IF(F22="","","--")</f>
        <v>--</v>
      </c>
      <c r="P22" s="628" t="str">
        <f aca="true" t="shared" si="4" ref="P22:P41">IF(N22="P",ROUND(M22/60,2)*I22*$L$16*0.01,"--")</f>
        <v>--</v>
      </c>
      <c r="Q22" s="629" t="str">
        <f aca="true" t="shared" si="5" ref="Q22:Q41">IF(N22="RP",ROUND(M22/60,2)*I22*$L$16*0.01*O22/100,"--")</f>
        <v>--</v>
      </c>
      <c r="R22" s="630">
        <f aca="true" t="shared" si="6" ref="R22:R41">IF(N22="F",I22*$L$16,"--")</f>
        <v>4340.07</v>
      </c>
      <c r="S22" s="631">
        <f aca="true" t="shared" si="7" ref="S22:S41">IF(AND(M22&gt;10,N22="F"),I22*$L$16*IF(M22&gt;180,3,ROUND(M22/60,2)),"--")</f>
        <v>2256.8364</v>
      </c>
      <c r="T22" s="632" t="str">
        <f aca="true" t="shared" si="8" ref="T22:T41">IF(AND(M22&gt;180,N22="F"),(ROUND(M22/60,2)-3)*I22*$L$16*0.1,"--")</f>
        <v>--</v>
      </c>
      <c r="U22" s="633" t="str">
        <f aca="true" t="shared" si="9" ref="U22:U41">IF(N22="R",I22*$L$16*O22/100,"--")</f>
        <v>--</v>
      </c>
      <c r="V22" s="634" t="str">
        <f aca="true" t="shared" si="10" ref="V22:V41">IF(AND(M22&gt;10,N22="R"),I22*$L$16*O22/100*IF(M22&gt;180,3,ROUND(M22/60,2)),"--")</f>
        <v>--</v>
      </c>
      <c r="W22" s="635" t="str">
        <f aca="true" t="shared" si="11" ref="W22:W41">IF(AND(M22&gt;180,N22="R"),(ROUND(M22/60,2)-3)*O22/100*I22*$L$16*0.1,"--")</f>
        <v>--</v>
      </c>
      <c r="X22" s="636" t="str">
        <f aca="true" t="shared" si="12" ref="X22:X41">IF(N22="RF",ROUND(M22/60,2)*I22*$L$16*0.1,"--")</f>
        <v>--</v>
      </c>
      <c r="Y22" s="637" t="str">
        <f aca="true" t="shared" si="13" ref="Y22:Y41">IF(N22="RR",ROUND(M22/60,2)*O22/100*I22*$L$16*0.1,"--")</f>
        <v>--</v>
      </c>
      <c r="Z22" s="638" t="str">
        <f aca="true" t="shared" si="14" ref="Z22:Z41">IF(F22="","","SI")</f>
        <v>SI</v>
      </c>
      <c r="AA22" s="50">
        <f aca="true" t="shared" si="15" ref="AA22:AA41">IF(F22="","",SUM(P22:Y22)*IF(Z22="SI",1,2))</f>
        <v>6596.9064</v>
      </c>
      <c r="AB22" s="3"/>
    </row>
    <row r="23" spans="1:28" ht="16.5" customHeight="1">
      <c r="A23" s="1"/>
      <c r="B23" s="2"/>
      <c r="C23" s="424">
        <v>4</v>
      </c>
      <c r="D23" s="424">
        <v>275858</v>
      </c>
      <c r="E23" s="424">
        <v>4658</v>
      </c>
      <c r="F23" s="425" t="s">
        <v>163</v>
      </c>
      <c r="G23" s="426">
        <v>132</v>
      </c>
      <c r="H23" s="427">
        <v>207.5</v>
      </c>
      <c r="I23" s="236">
        <f t="shared" si="0"/>
        <v>144.66899999999998</v>
      </c>
      <c r="J23" s="432">
        <v>41795.77222222222</v>
      </c>
      <c r="K23" s="432">
        <v>41795.77569444444</v>
      </c>
      <c r="L23" s="12">
        <f t="shared" si="1"/>
        <v>0.08333333325572312</v>
      </c>
      <c r="M23" s="13">
        <f t="shared" si="2"/>
        <v>5</v>
      </c>
      <c r="N23" s="433" t="s">
        <v>155</v>
      </c>
      <c r="O23" s="627" t="str">
        <f t="shared" si="3"/>
        <v>--</v>
      </c>
      <c r="P23" s="628" t="str">
        <f t="shared" si="4"/>
        <v>--</v>
      </c>
      <c r="Q23" s="629" t="str">
        <f t="shared" si="5"/>
        <v>--</v>
      </c>
      <c r="R23" s="630">
        <f t="shared" si="6"/>
        <v>4340.07</v>
      </c>
      <c r="S23" s="631" t="str">
        <f t="shared" si="7"/>
        <v>--</v>
      </c>
      <c r="T23" s="632" t="str">
        <f t="shared" si="8"/>
        <v>--</v>
      </c>
      <c r="U23" s="633" t="str">
        <f t="shared" si="9"/>
        <v>--</v>
      </c>
      <c r="V23" s="634" t="str">
        <f t="shared" si="10"/>
        <v>--</v>
      </c>
      <c r="W23" s="635" t="str">
        <f t="shared" si="11"/>
        <v>--</v>
      </c>
      <c r="X23" s="636" t="str">
        <f t="shared" si="12"/>
        <v>--</v>
      </c>
      <c r="Y23" s="637" t="str">
        <f t="shared" si="13"/>
        <v>--</v>
      </c>
      <c r="Z23" s="638" t="str">
        <f t="shared" si="14"/>
        <v>SI</v>
      </c>
      <c r="AA23" s="50">
        <f t="shared" si="15"/>
        <v>4340.07</v>
      </c>
      <c r="AB23" s="3"/>
    </row>
    <row r="24" spans="1:28" ht="16.5" customHeight="1">
      <c r="A24" s="1"/>
      <c r="B24" s="2"/>
      <c r="C24" s="424"/>
      <c r="D24" s="424"/>
      <c r="E24" s="424"/>
      <c r="F24" s="425"/>
      <c r="G24" s="426"/>
      <c r="H24" s="427"/>
      <c r="I24" s="236">
        <f t="shared" si="0"/>
        <v>17.43</v>
      </c>
      <c r="J24" s="432"/>
      <c r="K24" s="432"/>
      <c r="L24" s="12">
        <f t="shared" si="1"/>
      </c>
      <c r="M24" s="13">
        <f t="shared" si="2"/>
      </c>
      <c r="N24" s="433"/>
      <c r="O24" s="627">
        <f t="shared" si="3"/>
      </c>
      <c r="P24" s="628" t="str">
        <f t="shared" si="4"/>
        <v>--</v>
      </c>
      <c r="Q24" s="629" t="str">
        <f t="shared" si="5"/>
        <v>--</v>
      </c>
      <c r="R24" s="630" t="str">
        <f t="shared" si="6"/>
        <v>--</v>
      </c>
      <c r="S24" s="631" t="str">
        <f t="shared" si="7"/>
        <v>--</v>
      </c>
      <c r="T24" s="632" t="str">
        <f t="shared" si="8"/>
        <v>--</v>
      </c>
      <c r="U24" s="633" t="str">
        <f t="shared" si="9"/>
        <v>--</v>
      </c>
      <c r="V24" s="634" t="str">
        <f t="shared" si="10"/>
        <v>--</v>
      </c>
      <c r="W24" s="635" t="str">
        <f t="shared" si="11"/>
        <v>--</v>
      </c>
      <c r="X24" s="636" t="str">
        <f t="shared" si="12"/>
        <v>--</v>
      </c>
      <c r="Y24" s="637" t="str">
        <f t="shared" si="13"/>
        <v>--</v>
      </c>
      <c r="Z24" s="638">
        <f t="shared" si="14"/>
      </c>
      <c r="AA24" s="50">
        <f t="shared" si="15"/>
      </c>
      <c r="AB24" s="3"/>
    </row>
    <row r="25" spans="1:28" ht="16.5" customHeight="1">
      <c r="A25" s="1"/>
      <c r="B25" s="2"/>
      <c r="C25" s="424"/>
      <c r="D25" s="424"/>
      <c r="E25" s="424"/>
      <c r="F25" s="425"/>
      <c r="G25" s="426"/>
      <c r="H25" s="427"/>
      <c r="I25" s="236">
        <f t="shared" si="0"/>
        <v>17.43</v>
      </c>
      <c r="J25" s="432"/>
      <c r="K25" s="432"/>
      <c r="L25" s="12">
        <f t="shared" si="1"/>
      </c>
      <c r="M25" s="13">
        <f t="shared" si="2"/>
      </c>
      <c r="N25" s="433"/>
      <c r="O25" s="627">
        <f t="shared" si="3"/>
      </c>
      <c r="P25" s="628" t="str">
        <f t="shared" si="4"/>
        <v>--</v>
      </c>
      <c r="Q25" s="629" t="str">
        <f t="shared" si="5"/>
        <v>--</v>
      </c>
      <c r="R25" s="630" t="str">
        <f t="shared" si="6"/>
        <v>--</v>
      </c>
      <c r="S25" s="631" t="str">
        <f t="shared" si="7"/>
        <v>--</v>
      </c>
      <c r="T25" s="632" t="str">
        <f t="shared" si="8"/>
        <v>--</v>
      </c>
      <c r="U25" s="633" t="str">
        <f t="shared" si="9"/>
        <v>--</v>
      </c>
      <c r="V25" s="634" t="str">
        <f t="shared" si="10"/>
        <v>--</v>
      </c>
      <c r="W25" s="635" t="str">
        <f t="shared" si="11"/>
        <v>--</v>
      </c>
      <c r="X25" s="636" t="str">
        <f t="shared" si="12"/>
        <v>--</v>
      </c>
      <c r="Y25" s="637" t="str">
        <f t="shared" si="13"/>
        <v>--</v>
      </c>
      <c r="Z25" s="638">
        <f t="shared" si="14"/>
      </c>
      <c r="AA25" s="50">
        <f t="shared" si="15"/>
      </c>
      <c r="AB25" s="3"/>
    </row>
    <row r="26" spans="1:28" ht="16.5" customHeight="1">
      <c r="A26" s="1"/>
      <c r="B26" s="2"/>
      <c r="C26" s="424"/>
      <c r="D26" s="424"/>
      <c r="E26" s="424"/>
      <c r="F26" s="425"/>
      <c r="G26" s="426"/>
      <c r="H26" s="427"/>
      <c r="I26" s="236">
        <f t="shared" si="0"/>
        <v>17.43</v>
      </c>
      <c r="J26" s="432"/>
      <c r="K26" s="432"/>
      <c r="L26" s="12">
        <f t="shared" si="1"/>
      </c>
      <c r="M26" s="13">
        <f t="shared" si="2"/>
      </c>
      <c r="N26" s="433"/>
      <c r="O26" s="627">
        <f t="shared" si="3"/>
      </c>
      <c r="P26" s="628" t="str">
        <f t="shared" si="4"/>
        <v>--</v>
      </c>
      <c r="Q26" s="629" t="str">
        <f t="shared" si="5"/>
        <v>--</v>
      </c>
      <c r="R26" s="630" t="str">
        <f t="shared" si="6"/>
        <v>--</v>
      </c>
      <c r="S26" s="631" t="str">
        <f t="shared" si="7"/>
        <v>--</v>
      </c>
      <c r="T26" s="632" t="str">
        <f t="shared" si="8"/>
        <v>--</v>
      </c>
      <c r="U26" s="633" t="str">
        <f t="shared" si="9"/>
        <v>--</v>
      </c>
      <c r="V26" s="634" t="str">
        <f t="shared" si="10"/>
        <v>--</v>
      </c>
      <c r="W26" s="635" t="str">
        <f t="shared" si="11"/>
        <v>--</v>
      </c>
      <c r="X26" s="636" t="str">
        <f t="shared" si="12"/>
        <v>--</v>
      </c>
      <c r="Y26" s="637" t="str">
        <f t="shared" si="13"/>
        <v>--</v>
      </c>
      <c r="Z26" s="638">
        <f t="shared" si="14"/>
      </c>
      <c r="AA26" s="50">
        <f t="shared" si="15"/>
      </c>
      <c r="AB26" s="3"/>
    </row>
    <row r="27" spans="1:28" ht="16.5" customHeight="1">
      <c r="A27" s="1"/>
      <c r="B27" s="2"/>
      <c r="C27" s="424"/>
      <c r="D27" s="424"/>
      <c r="E27" s="424"/>
      <c r="F27" s="425"/>
      <c r="G27" s="426"/>
      <c r="H27" s="427"/>
      <c r="I27" s="236">
        <f t="shared" si="0"/>
        <v>17.43</v>
      </c>
      <c r="J27" s="432"/>
      <c r="K27" s="432"/>
      <c r="L27" s="12">
        <f t="shared" si="1"/>
      </c>
      <c r="M27" s="13">
        <f t="shared" si="2"/>
      </c>
      <c r="N27" s="433"/>
      <c r="O27" s="627">
        <f t="shared" si="3"/>
      </c>
      <c r="P27" s="628" t="str">
        <f t="shared" si="4"/>
        <v>--</v>
      </c>
      <c r="Q27" s="629" t="str">
        <f t="shared" si="5"/>
        <v>--</v>
      </c>
      <c r="R27" s="630" t="str">
        <f t="shared" si="6"/>
        <v>--</v>
      </c>
      <c r="S27" s="631" t="str">
        <f t="shared" si="7"/>
        <v>--</v>
      </c>
      <c r="T27" s="632" t="str">
        <f t="shared" si="8"/>
        <v>--</v>
      </c>
      <c r="U27" s="633" t="str">
        <f t="shared" si="9"/>
        <v>--</v>
      </c>
      <c r="V27" s="634" t="str">
        <f t="shared" si="10"/>
        <v>--</v>
      </c>
      <c r="W27" s="635" t="str">
        <f t="shared" si="11"/>
        <v>--</v>
      </c>
      <c r="X27" s="636" t="str">
        <f t="shared" si="12"/>
        <v>--</v>
      </c>
      <c r="Y27" s="637" t="str">
        <f t="shared" si="13"/>
        <v>--</v>
      </c>
      <c r="Z27" s="638">
        <f t="shared" si="14"/>
      </c>
      <c r="AA27" s="50">
        <f t="shared" si="15"/>
      </c>
      <c r="AB27" s="3"/>
    </row>
    <row r="28" spans="1:28" ht="16.5" customHeight="1">
      <c r="A28" s="1"/>
      <c r="B28" s="2"/>
      <c r="C28" s="424"/>
      <c r="D28" s="424"/>
      <c r="E28" s="424"/>
      <c r="F28" s="425"/>
      <c r="G28" s="426"/>
      <c r="H28" s="427"/>
      <c r="I28" s="236">
        <f t="shared" si="0"/>
        <v>17.43</v>
      </c>
      <c r="J28" s="432"/>
      <c r="K28" s="432"/>
      <c r="L28" s="12">
        <f t="shared" si="1"/>
      </c>
      <c r="M28" s="13">
        <f t="shared" si="2"/>
      </c>
      <c r="N28" s="433"/>
      <c r="O28" s="627">
        <f t="shared" si="3"/>
      </c>
      <c r="P28" s="628" t="str">
        <f t="shared" si="4"/>
        <v>--</v>
      </c>
      <c r="Q28" s="629" t="str">
        <f t="shared" si="5"/>
        <v>--</v>
      </c>
      <c r="R28" s="630" t="str">
        <f t="shared" si="6"/>
        <v>--</v>
      </c>
      <c r="S28" s="631" t="str">
        <f t="shared" si="7"/>
        <v>--</v>
      </c>
      <c r="T28" s="632" t="str">
        <f t="shared" si="8"/>
        <v>--</v>
      </c>
      <c r="U28" s="633" t="str">
        <f t="shared" si="9"/>
        <v>--</v>
      </c>
      <c r="V28" s="634" t="str">
        <f t="shared" si="10"/>
        <v>--</v>
      </c>
      <c r="W28" s="635" t="str">
        <f t="shared" si="11"/>
        <v>--</v>
      </c>
      <c r="X28" s="636" t="str">
        <f t="shared" si="12"/>
        <v>--</v>
      </c>
      <c r="Y28" s="637" t="str">
        <f t="shared" si="13"/>
        <v>--</v>
      </c>
      <c r="Z28" s="638">
        <f t="shared" si="14"/>
      </c>
      <c r="AA28" s="50">
        <f t="shared" si="15"/>
      </c>
      <c r="AB28" s="3"/>
    </row>
    <row r="29" spans="1:28" ht="16.5" customHeight="1">
      <c r="A29" s="1"/>
      <c r="B29" s="2"/>
      <c r="C29" s="424"/>
      <c r="D29" s="424"/>
      <c r="E29" s="424"/>
      <c r="F29" s="425"/>
      <c r="G29" s="426"/>
      <c r="H29" s="427"/>
      <c r="I29" s="236">
        <f t="shared" si="0"/>
        <v>17.43</v>
      </c>
      <c r="J29" s="432"/>
      <c r="K29" s="432"/>
      <c r="L29" s="12">
        <f t="shared" si="1"/>
      </c>
      <c r="M29" s="13">
        <f t="shared" si="2"/>
      </c>
      <c r="N29" s="433"/>
      <c r="O29" s="627">
        <f t="shared" si="3"/>
      </c>
      <c r="P29" s="628" t="str">
        <f t="shared" si="4"/>
        <v>--</v>
      </c>
      <c r="Q29" s="629" t="str">
        <f t="shared" si="5"/>
        <v>--</v>
      </c>
      <c r="R29" s="630" t="str">
        <f t="shared" si="6"/>
        <v>--</v>
      </c>
      <c r="S29" s="631" t="str">
        <f t="shared" si="7"/>
        <v>--</v>
      </c>
      <c r="T29" s="632" t="str">
        <f t="shared" si="8"/>
        <v>--</v>
      </c>
      <c r="U29" s="633" t="str">
        <f t="shared" si="9"/>
        <v>--</v>
      </c>
      <c r="V29" s="634" t="str">
        <f t="shared" si="10"/>
        <v>--</v>
      </c>
      <c r="W29" s="635" t="str">
        <f t="shared" si="11"/>
        <v>--</v>
      </c>
      <c r="X29" s="636" t="str">
        <f t="shared" si="12"/>
        <v>--</v>
      </c>
      <c r="Y29" s="637" t="str">
        <f t="shared" si="13"/>
        <v>--</v>
      </c>
      <c r="Z29" s="638">
        <f t="shared" si="14"/>
      </c>
      <c r="AA29" s="50">
        <f t="shared" si="15"/>
      </c>
      <c r="AB29" s="3"/>
    </row>
    <row r="30" spans="1:28" ht="16.5" customHeight="1">
      <c r="A30" s="1"/>
      <c r="B30" s="2"/>
      <c r="C30" s="424"/>
      <c r="D30" s="424"/>
      <c r="E30" s="424"/>
      <c r="F30" s="425"/>
      <c r="G30" s="426"/>
      <c r="H30" s="427"/>
      <c r="I30" s="236">
        <f t="shared" si="0"/>
        <v>17.43</v>
      </c>
      <c r="J30" s="432"/>
      <c r="K30" s="432"/>
      <c r="L30" s="12">
        <f t="shared" si="1"/>
      </c>
      <c r="M30" s="13">
        <f t="shared" si="2"/>
      </c>
      <c r="N30" s="433"/>
      <c r="O30" s="627">
        <f t="shared" si="3"/>
      </c>
      <c r="P30" s="628" t="str">
        <f t="shared" si="4"/>
        <v>--</v>
      </c>
      <c r="Q30" s="629" t="str">
        <f t="shared" si="5"/>
        <v>--</v>
      </c>
      <c r="R30" s="630" t="str">
        <f t="shared" si="6"/>
        <v>--</v>
      </c>
      <c r="S30" s="631" t="str">
        <f t="shared" si="7"/>
        <v>--</v>
      </c>
      <c r="T30" s="632" t="str">
        <f t="shared" si="8"/>
        <v>--</v>
      </c>
      <c r="U30" s="633" t="str">
        <f t="shared" si="9"/>
        <v>--</v>
      </c>
      <c r="V30" s="634" t="str">
        <f t="shared" si="10"/>
        <v>--</v>
      </c>
      <c r="W30" s="635" t="str">
        <f t="shared" si="11"/>
        <v>--</v>
      </c>
      <c r="X30" s="636" t="str">
        <f t="shared" si="12"/>
        <v>--</v>
      </c>
      <c r="Y30" s="637" t="str">
        <f t="shared" si="13"/>
        <v>--</v>
      </c>
      <c r="Z30" s="638">
        <f t="shared" si="14"/>
      </c>
      <c r="AA30" s="50">
        <f t="shared" si="15"/>
      </c>
      <c r="AB30" s="3"/>
    </row>
    <row r="31" spans="1:28" ht="16.5" customHeight="1">
      <c r="A31" s="1"/>
      <c r="B31" s="2"/>
      <c r="C31" s="424"/>
      <c r="D31" s="424"/>
      <c r="E31" s="424"/>
      <c r="F31" s="425"/>
      <c r="G31" s="426"/>
      <c r="H31" s="427"/>
      <c r="I31" s="236">
        <f t="shared" si="0"/>
        <v>17.43</v>
      </c>
      <c r="J31" s="432"/>
      <c r="K31" s="432"/>
      <c r="L31" s="12">
        <f t="shared" si="1"/>
      </c>
      <c r="M31" s="13">
        <f t="shared" si="2"/>
      </c>
      <c r="N31" s="433"/>
      <c r="O31" s="627">
        <f t="shared" si="3"/>
      </c>
      <c r="P31" s="628" t="str">
        <f t="shared" si="4"/>
        <v>--</v>
      </c>
      <c r="Q31" s="629" t="str">
        <f t="shared" si="5"/>
        <v>--</v>
      </c>
      <c r="R31" s="630" t="str">
        <f t="shared" si="6"/>
        <v>--</v>
      </c>
      <c r="S31" s="631" t="str">
        <f t="shared" si="7"/>
        <v>--</v>
      </c>
      <c r="T31" s="632" t="str">
        <f t="shared" si="8"/>
        <v>--</v>
      </c>
      <c r="U31" s="633" t="str">
        <f t="shared" si="9"/>
        <v>--</v>
      </c>
      <c r="V31" s="634" t="str">
        <f t="shared" si="10"/>
        <v>--</v>
      </c>
      <c r="W31" s="635" t="str">
        <f t="shared" si="11"/>
        <v>--</v>
      </c>
      <c r="X31" s="636" t="str">
        <f t="shared" si="12"/>
        <v>--</v>
      </c>
      <c r="Y31" s="637" t="str">
        <f t="shared" si="13"/>
        <v>--</v>
      </c>
      <c r="Z31" s="638">
        <f t="shared" si="14"/>
      </c>
      <c r="AA31" s="50">
        <f t="shared" si="15"/>
      </c>
      <c r="AB31" s="3"/>
    </row>
    <row r="32" spans="1:28" ht="16.5" customHeight="1">
      <c r="A32" s="1"/>
      <c r="B32" s="2"/>
      <c r="C32" s="424"/>
      <c r="D32" s="424"/>
      <c r="E32" s="424"/>
      <c r="F32" s="425"/>
      <c r="G32" s="426"/>
      <c r="H32" s="427"/>
      <c r="I32" s="236">
        <f t="shared" si="0"/>
        <v>17.43</v>
      </c>
      <c r="J32" s="432"/>
      <c r="K32" s="432"/>
      <c r="L32" s="12">
        <f t="shared" si="1"/>
      </c>
      <c r="M32" s="13">
        <f t="shared" si="2"/>
      </c>
      <c r="N32" s="433"/>
      <c r="O32" s="627">
        <f t="shared" si="3"/>
      </c>
      <c r="P32" s="628" t="str">
        <f t="shared" si="4"/>
        <v>--</v>
      </c>
      <c r="Q32" s="629" t="str">
        <f t="shared" si="5"/>
        <v>--</v>
      </c>
      <c r="R32" s="630" t="str">
        <f t="shared" si="6"/>
        <v>--</v>
      </c>
      <c r="S32" s="631" t="str">
        <f t="shared" si="7"/>
        <v>--</v>
      </c>
      <c r="T32" s="632" t="str">
        <f t="shared" si="8"/>
        <v>--</v>
      </c>
      <c r="U32" s="633" t="str">
        <f t="shared" si="9"/>
        <v>--</v>
      </c>
      <c r="V32" s="634" t="str">
        <f t="shared" si="10"/>
        <v>--</v>
      </c>
      <c r="W32" s="635" t="str">
        <f t="shared" si="11"/>
        <v>--</v>
      </c>
      <c r="X32" s="636" t="str">
        <f t="shared" si="12"/>
        <v>--</v>
      </c>
      <c r="Y32" s="637" t="str">
        <f t="shared" si="13"/>
        <v>--</v>
      </c>
      <c r="Z32" s="638">
        <f t="shared" si="14"/>
      </c>
      <c r="AA32" s="50">
        <f t="shared" si="15"/>
      </c>
      <c r="AB32" s="3"/>
    </row>
    <row r="33" spans="1:28" ht="16.5" customHeight="1">
      <c r="A33" s="1"/>
      <c r="B33" s="2"/>
      <c r="C33" s="424"/>
      <c r="D33" s="424"/>
      <c r="E33" s="424"/>
      <c r="F33" s="425"/>
      <c r="G33" s="426"/>
      <c r="H33" s="427"/>
      <c r="I33" s="236">
        <f t="shared" si="0"/>
        <v>17.43</v>
      </c>
      <c r="J33" s="432"/>
      <c r="K33" s="432"/>
      <c r="L33" s="12">
        <f t="shared" si="1"/>
      </c>
      <c r="M33" s="13">
        <f t="shared" si="2"/>
      </c>
      <c r="N33" s="433"/>
      <c r="O33" s="627">
        <f t="shared" si="3"/>
      </c>
      <c r="P33" s="628" t="str">
        <f t="shared" si="4"/>
        <v>--</v>
      </c>
      <c r="Q33" s="629" t="str">
        <f t="shared" si="5"/>
        <v>--</v>
      </c>
      <c r="R33" s="630" t="str">
        <f t="shared" si="6"/>
        <v>--</v>
      </c>
      <c r="S33" s="631" t="str">
        <f t="shared" si="7"/>
        <v>--</v>
      </c>
      <c r="T33" s="632" t="str">
        <f t="shared" si="8"/>
        <v>--</v>
      </c>
      <c r="U33" s="633" t="str">
        <f t="shared" si="9"/>
        <v>--</v>
      </c>
      <c r="V33" s="634" t="str">
        <f t="shared" si="10"/>
        <v>--</v>
      </c>
      <c r="W33" s="635" t="str">
        <f t="shared" si="11"/>
        <v>--</v>
      </c>
      <c r="X33" s="636" t="str">
        <f t="shared" si="12"/>
        <v>--</v>
      </c>
      <c r="Y33" s="637" t="str">
        <f t="shared" si="13"/>
        <v>--</v>
      </c>
      <c r="Z33" s="638">
        <f t="shared" si="14"/>
      </c>
      <c r="AA33" s="50">
        <f t="shared" si="15"/>
      </c>
      <c r="AB33" s="3"/>
    </row>
    <row r="34" spans="1:28" ht="16.5" customHeight="1">
      <c r="A34" s="1"/>
      <c r="B34" s="2"/>
      <c r="C34" s="424"/>
      <c r="D34" s="424"/>
      <c r="E34" s="424"/>
      <c r="F34" s="425"/>
      <c r="G34" s="426"/>
      <c r="H34" s="427"/>
      <c r="I34" s="236">
        <f t="shared" si="0"/>
        <v>17.43</v>
      </c>
      <c r="J34" s="432"/>
      <c r="K34" s="432"/>
      <c r="L34" s="12">
        <f t="shared" si="1"/>
      </c>
      <c r="M34" s="13">
        <f t="shared" si="2"/>
      </c>
      <c r="N34" s="433"/>
      <c r="O34" s="627">
        <f t="shared" si="3"/>
      </c>
      <c r="P34" s="628" t="str">
        <f t="shared" si="4"/>
        <v>--</v>
      </c>
      <c r="Q34" s="629" t="str">
        <f t="shared" si="5"/>
        <v>--</v>
      </c>
      <c r="R34" s="630" t="str">
        <f t="shared" si="6"/>
        <v>--</v>
      </c>
      <c r="S34" s="631" t="str">
        <f t="shared" si="7"/>
        <v>--</v>
      </c>
      <c r="T34" s="632" t="str">
        <f t="shared" si="8"/>
        <v>--</v>
      </c>
      <c r="U34" s="633" t="str">
        <f t="shared" si="9"/>
        <v>--</v>
      </c>
      <c r="V34" s="634" t="str">
        <f t="shared" si="10"/>
        <v>--</v>
      </c>
      <c r="W34" s="635" t="str">
        <f t="shared" si="11"/>
        <v>--</v>
      </c>
      <c r="X34" s="636" t="str">
        <f t="shared" si="12"/>
        <v>--</v>
      </c>
      <c r="Y34" s="637" t="str">
        <f t="shared" si="13"/>
        <v>--</v>
      </c>
      <c r="Z34" s="638">
        <f t="shared" si="14"/>
      </c>
      <c r="AA34" s="50">
        <f t="shared" si="15"/>
      </c>
      <c r="AB34" s="3"/>
    </row>
    <row r="35" spans="1:28" ht="16.5" customHeight="1">
      <c r="A35" s="1"/>
      <c r="B35" s="2"/>
      <c r="C35" s="424"/>
      <c r="D35" s="424"/>
      <c r="E35" s="424"/>
      <c r="F35" s="425"/>
      <c r="G35" s="426"/>
      <c r="H35" s="427"/>
      <c r="I35" s="236">
        <f t="shared" si="0"/>
        <v>17.43</v>
      </c>
      <c r="J35" s="432"/>
      <c r="K35" s="432"/>
      <c r="L35" s="12">
        <f t="shared" si="1"/>
      </c>
      <c r="M35" s="13">
        <f t="shared" si="2"/>
      </c>
      <c r="N35" s="433"/>
      <c r="O35" s="627">
        <f t="shared" si="3"/>
      </c>
      <c r="P35" s="628" t="str">
        <f t="shared" si="4"/>
        <v>--</v>
      </c>
      <c r="Q35" s="629" t="str">
        <f t="shared" si="5"/>
        <v>--</v>
      </c>
      <c r="R35" s="630" t="str">
        <f t="shared" si="6"/>
        <v>--</v>
      </c>
      <c r="S35" s="631" t="str">
        <f t="shared" si="7"/>
        <v>--</v>
      </c>
      <c r="T35" s="632" t="str">
        <f t="shared" si="8"/>
        <v>--</v>
      </c>
      <c r="U35" s="633" t="str">
        <f t="shared" si="9"/>
        <v>--</v>
      </c>
      <c r="V35" s="634" t="str">
        <f t="shared" si="10"/>
        <v>--</v>
      </c>
      <c r="W35" s="635" t="str">
        <f t="shared" si="11"/>
        <v>--</v>
      </c>
      <c r="X35" s="636" t="str">
        <f t="shared" si="12"/>
        <v>--</v>
      </c>
      <c r="Y35" s="637" t="str">
        <f t="shared" si="13"/>
        <v>--</v>
      </c>
      <c r="Z35" s="638">
        <f t="shared" si="14"/>
      </c>
      <c r="AA35" s="50">
        <f t="shared" si="15"/>
      </c>
      <c r="AB35" s="3"/>
    </row>
    <row r="36" spans="1:28" ht="16.5" customHeight="1">
      <c r="A36" s="1"/>
      <c r="B36" s="2"/>
      <c r="C36" s="424"/>
      <c r="D36" s="424"/>
      <c r="E36" s="424"/>
      <c r="F36" s="425"/>
      <c r="G36" s="426"/>
      <c r="H36" s="427"/>
      <c r="I36" s="236">
        <f t="shared" si="0"/>
        <v>17.43</v>
      </c>
      <c r="J36" s="432"/>
      <c r="K36" s="432"/>
      <c r="L36" s="12">
        <f t="shared" si="1"/>
      </c>
      <c r="M36" s="13">
        <f t="shared" si="2"/>
      </c>
      <c r="N36" s="433"/>
      <c r="O36" s="627">
        <f t="shared" si="3"/>
      </c>
      <c r="P36" s="628" t="str">
        <f t="shared" si="4"/>
        <v>--</v>
      </c>
      <c r="Q36" s="629" t="str">
        <f t="shared" si="5"/>
        <v>--</v>
      </c>
      <c r="R36" s="630" t="str">
        <f t="shared" si="6"/>
        <v>--</v>
      </c>
      <c r="S36" s="631" t="str">
        <f t="shared" si="7"/>
        <v>--</v>
      </c>
      <c r="T36" s="632" t="str">
        <f t="shared" si="8"/>
        <v>--</v>
      </c>
      <c r="U36" s="633" t="str">
        <f t="shared" si="9"/>
        <v>--</v>
      </c>
      <c r="V36" s="634" t="str">
        <f t="shared" si="10"/>
        <v>--</v>
      </c>
      <c r="W36" s="635" t="str">
        <f t="shared" si="11"/>
        <v>--</v>
      </c>
      <c r="X36" s="636" t="str">
        <f t="shared" si="12"/>
        <v>--</v>
      </c>
      <c r="Y36" s="637" t="str">
        <f t="shared" si="13"/>
        <v>--</v>
      </c>
      <c r="Z36" s="638">
        <f t="shared" si="14"/>
      </c>
      <c r="AA36" s="50">
        <f t="shared" si="15"/>
      </c>
      <c r="AB36" s="3"/>
    </row>
    <row r="37" spans="1:28" ht="16.5" customHeight="1">
      <c r="A37" s="1"/>
      <c r="B37" s="2"/>
      <c r="C37" s="424"/>
      <c r="D37" s="424"/>
      <c r="E37" s="424"/>
      <c r="F37" s="425"/>
      <c r="G37" s="426"/>
      <c r="H37" s="427"/>
      <c r="I37" s="236">
        <f t="shared" si="0"/>
        <v>17.43</v>
      </c>
      <c r="J37" s="432"/>
      <c r="K37" s="432"/>
      <c r="L37" s="12">
        <f t="shared" si="1"/>
      </c>
      <c r="M37" s="13">
        <f t="shared" si="2"/>
      </c>
      <c r="N37" s="433"/>
      <c r="O37" s="627">
        <f t="shared" si="3"/>
      </c>
      <c r="P37" s="628" t="str">
        <f t="shared" si="4"/>
        <v>--</v>
      </c>
      <c r="Q37" s="629" t="str">
        <f t="shared" si="5"/>
        <v>--</v>
      </c>
      <c r="R37" s="630" t="str">
        <f t="shared" si="6"/>
        <v>--</v>
      </c>
      <c r="S37" s="631" t="str">
        <f t="shared" si="7"/>
        <v>--</v>
      </c>
      <c r="T37" s="632" t="str">
        <f t="shared" si="8"/>
        <v>--</v>
      </c>
      <c r="U37" s="633" t="str">
        <f t="shared" si="9"/>
        <v>--</v>
      </c>
      <c r="V37" s="634" t="str">
        <f t="shared" si="10"/>
        <v>--</v>
      </c>
      <c r="W37" s="635" t="str">
        <f t="shared" si="11"/>
        <v>--</v>
      </c>
      <c r="X37" s="636" t="str">
        <f t="shared" si="12"/>
        <v>--</v>
      </c>
      <c r="Y37" s="637" t="str">
        <f t="shared" si="13"/>
        <v>--</v>
      </c>
      <c r="Z37" s="638">
        <f t="shared" si="14"/>
      </c>
      <c r="AA37" s="50">
        <f t="shared" si="15"/>
      </c>
      <c r="AB37" s="3"/>
    </row>
    <row r="38" spans="2:28" ht="16.5" customHeight="1">
      <c r="B38" s="51"/>
      <c r="C38" s="424"/>
      <c r="D38" s="424"/>
      <c r="E38" s="424"/>
      <c r="F38" s="425"/>
      <c r="G38" s="426"/>
      <c r="H38" s="427"/>
      <c r="I38" s="236">
        <f t="shared" si="0"/>
        <v>17.43</v>
      </c>
      <c r="J38" s="432"/>
      <c r="K38" s="432"/>
      <c r="L38" s="12">
        <f t="shared" si="1"/>
      </c>
      <c r="M38" s="13">
        <f t="shared" si="2"/>
      </c>
      <c r="N38" s="433"/>
      <c r="O38" s="627">
        <f t="shared" si="3"/>
      </c>
      <c r="P38" s="628" t="str">
        <f t="shared" si="4"/>
        <v>--</v>
      </c>
      <c r="Q38" s="629" t="str">
        <f t="shared" si="5"/>
        <v>--</v>
      </c>
      <c r="R38" s="630" t="str">
        <f t="shared" si="6"/>
        <v>--</v>
      </c>
      <c r="S38" s="631" t="str">
        <f t="shared" si="7"/>
        <v>--</v>
      </c>
      <c r="T38" s="632" t="str">
        <f t="shared" si="8"/>
        <v>--</v>
      </c>
      <c r="U38" s="633" t="str">
        <f t="shared" si="9"/>
        <v>--</v>
      </c>
      <c r="V38" s="634" t="str">
        <f t="shared" si="10"/>
        <v>--</v>
      </c>
      <c r="W38" s="635" t="str">
        <f t="shared" si="11"/>
        <v>--</v>
      </c>
      <c r="X38" s="636" t="str">
        <f t="shared" si="12"/>
        <v>--</v>
      </c>
      <c r="Y38" s="637" t="str">
        <f t="shared" si="13"/>
        <v>--</v>
      </c>
      <c r="Z38" s="638">
        <f t="shared" si="14"/>
      </c>
      <c r="AA38" s="50">
        <f t="shared" si="15"/>
      </c>
      <c r="AB38" s="3"/>
    </row>
    <row r="39" spans="2:28" ht="16.5" customHeight="1">
      <c r="B39" s="51"/>
      <c r="C39" s="424"/>
      <c r="D39" s="424"/>
      <c r="E39" s="424"/>
      <c r="F39" s="425"/>
      <c r="G39" s="426"/>
      <c r="H39" s="427"/>
      <c r="I39" s="236">
        <f t="shared" si="0"/>
        <v>17.43</v>
      </c>
      <c r="J39" s="432"/>
      <c r="K39" s="432"/>
      <c r="L39" s="12">
        <f t="shared" si="1"/>
      </c>
      <c r="M39" s="13">
        <f t="shared" si="2"/>
      </c>
      <c r="N39" s="433"/>
      <c r="O39" s="627">
        <f t="shared" si="3"/>
      </c>
      <c r="P39" s="628" t="str">
        <f t="shared" si="4"/>
        <v>--</v>
      </c>
      <c r="Q39" s="629" t="str">
        <f t="shared" si="5"/>
        <v>--</v>
      </c>
      <c r="R39" s="630" t="str">
        <f t="shared" si="6"/>
        <v>--</v>
      </c>
      <c r="S39" s="631" t="str">
        <f t="shared" si="7"/>
        <v>--</v>
      </c>
      <c r="T39" s="632" t="str">
        <f t="shared" si="8"/>
        <v>--</v>
      </c>
      <c r="U39" s="633" t="str">
        <f t="shared" si="9"/>
        <v>--</v>
      </c>
      <c r="V39" s="634" t="str">
        <f t="shared" si="10"/>
        <v>--</v>
      </c>
      <c r="W39" s="635" t="str">
        <f t="shared" si="11"/>
        <v>--</v>
      </c>
      <c r="X39" s="636" t="str">
        <f t="shared" si="12"/>
        <v>--</v>
      </c>
      <c r="Y39" s="637" t="str">
        <f t="shared" si="13"/>
        <v>--</v>
      </c>
      <c r="Z39" s="638">
        <f t="shared" si="14"/>
      </c>
      <c r="AA39" s="50">
        <f t="shared" si="15"/>
      </c>
      <c r="AB39" s="3"/>
    </row>
    <row r="40" spans="2:28" ht="16.5" customHeight="1">
      <c r="B40" s="51"/>
      <c r="C40" s="424"/>
      <c r="D40" s="424"/>
      <c r="E40" s="424"/>
      <c r="F40" s="425"/>
      <c r="G40" s="426"/>
      <c r="H40" s="427"/>
      <c r="I40" s="236">
        <f t="shared" si="0"/>
        <v>17.43</v>
      </c>
      <c r="J40" s="432"/>
      <c r="K40" s="432"/>
      <c r="L40" s="12">
        <f t="shared" si="1"/>
      </c>
      <c r="M40" s="13">
        <f t="shared" si="2"/>
      </c>
      <c r="N40" s="433"/>
      <c r="O40" s="627">
        <f t="shared" si="3"/>
      </c>
      <c r="P40" s="628" t="str">
        <f t="shared" si="4"/>
        <v>--</v>
      </c>
      <c r="Q40" s="629" t="str">
        <f t="shared" si="5"/>
        <v>--</v>
      </c>
      <c r="R40" s="630" t="str">
        <f t="shared" si="6"/>
        <v>--</v>
      </c>
      <c r="S40" s="631" t="str">
        <f t="shared" si="7"/>
        <v>--</v>
      </c>
      <c r="T40" s="632" t="str">
        <f t="shared" si="8"/>
        <v>--</v>
      </c>
      <c r="U40" s="633" t="str">
        <f t="shared" si="9"/>
        <v>--</v>
      </c>
      <c r="V40" s="634" t="str">
        <f t="shared" si="10"/>
        <v>--</v>
      </c>
      <c r="W40" s="635" t="str">
        <f t="shared" si="11"/>
        <v>--</v>
      </c>
      <c r="X40" s="636" t="str">
        <f t="shared" si="12"/>
        <v>--</v>
      </c>
      <c r="Y40" s="637" t="str">
        <f t="shared" si="13"/>
        <v>--</v>
      </c>
      <c r="Z40" s="638">
        <f t="shared" si="14"/>
      </c>
      <c r="AA40" s="50">
        <f t="shared" si="15"/>
      </c>
      <c r="AB40" s="3"/>
    </row>
    <row r="41" spans="2:28" ht="16.5" customHeight="1">
      <c r="B41" s="51"/>
      <c r="C41" s="424"/>
      <c r="D41" s="424"/>
      <c r="E41" s="424"/>
      <c r="F41" s="425"/>
      <c r="G41" s="426"/>
      <c r="H41" s="427"/>
      <c r="I41" s="236">
        <f t="shared" si="0"/>
        <v>17.43</v>
      </c>
      <c r="J41" s="432"/>
      <c r="K41" s="432"/>
      <c r="L41" s="12">
        <f t="shared" si="1"/>
      </c>
      <c r="M41" s="13">
        <f t="shared" si="2"/>
      </c>
      <c r="N41" s="433"/>
      <c r="O41" s="627">
        <f t="shared" si="3"/>
      </c>
      <c r="P41" s="628" t="str">
        <f t="shared" si="4"/>
        <v>--</v>
      </c>
      <c r="Q41" s="629" t="str">
        <f t="shared" si="5"/>
        <v>--</v>
      </c>
      <c r="R41" s="630" t="str">
        <f t="shared" si="6"/>
        <v>--</v>
      </c>
      <c r="S41" s="631" t="str">
        <f t="shared" si="7"/>
        <v>--</v>
      </c>
      <c r="T41" s="632" t="str">
        <f t="shared" si="8"/>
        <v>--</v>
      </c>
      <c r="U41" s="633" t="str">
        <f t="shared" si="9"/>
        <v>--</v>
      </c>
      <c r="V41" s="634" t="str">
        <f t="shared" si="10"/>
        <v>--</v>
      </c>
      <c r="W41" s="635" t="str">
        <f t="shared" si="11"/>
        <v>--</v>
      </c>
      <c r="X41" s="636" t="str">
        <f t="shared" si="12"/>
        <v>--</v>
      </c>
      <c r="Y41" s="637" t="str">
        <f t="shared" si="13"/>
        <v>--</v>
      </c>
      <c r="Z41" s="638">
        <f t="shared" si="14"/>
      </c>
      <c r="AA41" s="50">
        <f t="shared" si="15"/>
      </c>
      <c r="AB41" s="3"/>
    </row>
    <row r="42" spans="1:28" ht="16.5" customHeight="1" thickBot="1">
      <c r="A42" s="1"/>
      <c r="B42" s="2"/>
      <c r="C42" s="428"/>
      <c r="D42" s="428"/>
      <c r="E42" s="428"/>
      <c r="F42" s="429"/>
      <c r="G42" s="430"/>
      <c r="H42" s="431"/>
      <c r="I42" s="237"/>
      <c r="J42" s="431"/>
      <c r="K42" s="431"/>
      <c r="L42" s="14"/>
      <c r="M42" s="14"/>
      <c r="N42" s="431"/>
      <c r="O42" s="434"/>
      <c r="P42" s="435"/>
      <c r="Q42" s="436"/>
      <c r="R42" s="437"/>
      <c r="S42" s="438"/>
      <c r="T42" s="439"/>
      <c r="U42" s="440"/>
      <c r="V42" s="441"/>
      <c r="W42" s="442"/>
      <c r="X42" s="443"/>
      <c r="Y42" s="444"/>
      <c r="Z42" s="445"/>
      <c r="AA42" s="52"/>
      <c r="AB42" s="3"/>
    </row>
    <row r="43" spans="1:28" ht="16.5" customHeight="1" thickBot="1" thickTop="1">
      <c r="A43" s="1"/>
      <c r="B43" s="2"/>
      <c r="C43" s="210" t="s">
        <v>66</v>
      </c>
      <c r="D43" s="654" t="s">
        <v>173</v>
      </c>
      <c r="E43" s="622"/>
      <c r="F43" s="211"/>
      <c r="G43" s="15"/>
      <c r="H43" s="16"/>
      <c r="I43" s="53"/>
      <c r="J43" s="53"/>
      <c r="K43" s="53"/>
      <c r="L43" s="53"/>
      <c r="M43" s="53"/>
      <c r="N43" s="53"/>
      <c r="O43" s="54"/>
      <c r="P43" s="293">
        <f aca="true" t="shared" si="16" ref="P43:Y43">ROUND(SUM(P20:P42),2)</f>
        <v>0</v>
      </c>
      <c r="Q43" s="294">
        <f t="shared" si="16"/>
        <v>0</v>
      </c>
      <c r="R43" s="295">
        <f t="shared" si="16"/>
        <v>8680.14</v>
      </c>
      <c r="S43" s="295">
        <f t="shared" si="16"/>
        <v>2256.84</v>
      </c>
      <c r="T43" s="296">
        <f t="shared" si="16"/>
        <v>0</v>
      </c>
      <c r="U43" s="297">
        <f t="shared" si="16"/>
        <v>0</v>
      </c>
      <c r="V43" s="297">
        <f t="shared" si="16"/>
        <v>0</v>
      </c>
      <c r="W43" s="298">
        <f t="shared" si="16"/>
        <v>0</v>
      </c>
      <c r="X43" s="299">
        <f t="shared" si="16"/>
        <v>0</v>
      </c>
      <c r="Y43" s="300">
        <f t="shared" si="16"/>
        <v>0</v>
      </c>
      <c r="Z43" s="55"/>
      <c r="AA43" s="626">
        <f>ROUND(SUM(AA20:AA42),2)</f>
        <v>10936.98</v>
      </c>
      <c r="AB43" s="56"/>
    </row>
    <row r="44" spans="1:28" s="225" customFormat="1" ht="9.75" thickTop="1">
      <c r="A44" s="214"/>
      <c r="B44" s="215"/>
      <c r="C44" s="212"/>
      <c r="D44" s="212"/>
      <c r="E44" s="212"/>
      <c r="F44" s="213"/>
      <c r="G44" s="216"/>
      <c r="H44" s="217"/>
      <c r="I44" s="218"/>
      <c r="J44" s="218"/>
      <c r="K44" s="218"/>
      <c r="L44" s="218"/>
      <c r="M44" s="218"/>
      <c r="N44" s="218"/>
      <c r="O44" s="219"/>
      <c r="P44" s="220"/>
      <c r="Q44" s="220"/>
      <c r="R44" s="221"/>
      <c r="S44" s="221"/>
      <c r="T44" s="222"/>
      <c r="U44" s="222"/>
      <c r="V44" s="222"/>
      <c r="W44" s="222"/>
      <c r="X44" s="222"/>
      <c r="Y44" s="222"/>
      <c r="Z44" s="222"/>
      <c r="AA44" s="223"/>
      <c r="AB44" s="224"/>
    </row>
    <row r="45" spans="1:28" s="9" customFormat="1" ht="16.5" customHeight="1" thickBot="1">
      <c r="A45" s="7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1">
    <mergeCell ref="G16:H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9" sqref="I19"/>
    </sheetView>
  </sheetViews>
  <sheetFormatPr defaultColWidth="11.421875" defaultRowHeight="12.75"/>
  <cols>
    <col min="1" max="2" width="4.140625" style="557" customWidth="1"/>
    <col min="3" max="3" width="5.57421875" style="557" customWidth="1"/>
    <col min="4" max="5" width="13.7109375" style="557" customWidth="1"/>
    <col min="6" max="7" width="25.7109375" style="557" customWidth="1"/>
    <col min="8" max="8" width="7.7109375" style="557" customWidth="1"/>
    <col min="9" max="9" width="12.7109375" style="557" customWidth="1"/>
    <col min="10" max="10" width="5.421875" style="557" hidden="1" customWidth="1"/>
    <col min="11" max="12" width="15.7109375" style="557" customWidth="1"/>
    <col min="13" max="15" width="9.7109375" style="557" customWidth="1"/>
    <col min="16" max="16" width="5.8515625" style="557" customWidth="1"/>
    <col min="17" max="18" width="7.00390625" style="557" customWidth="1"/>
    <col min="19" max="19" width="10.57421875" style="557" hidden="1" customWidth="1"/>
    <col min="20" max="21" width="12.57421875" style="557" hidden="1" customWidth="1"/>
    <col min="22" max="22" width="8.140625" style="557" hidden="1" customWidth="1"/>
    <col min="23" max="23" width="7.7109375" style="557" hidden="1" customWidth="1"/>
    <col min="24" max="25" width="8.140625" style="557" hidden="1" customWidth="1"/>
    <col min="26" max="27" width="12.00390625" style="557" hidden="1" customWidth="1"/>
    <col min="28" max="28" width="9.00390625" style="557" customWidth="1"/>
    <col min="29" max="29" width="15.7109375" style="557" customWidth="1"/>
    <col min="30" max="30" width="4.140625" style="557" customWidth="1"/>
    <col min="31" max="16384" width="11.421875" style="557" customWidth="1"/>
  </cols>
  <sheetData>
    <row r="1" spans="1:30" s="463" customFormat="1" ht="26.25">
      <c r="A1" s="101"/>
      <c r="B1" s="101"/>
      <c r="C1" s="101"/>
      <c r="D1" s="101"/>
      <c r="E1" s="101"/>
      <c r="F1" s="101"/>
      <c r="G1" s="10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2"/>
    </row>
    <row r="2" spans="1:30" s="463" customFormat="1" ht="26.25">
      <c r="A2" s="101"/>
      <c r="B2" s="102" t="str">
        <f>+'TOT-0614'!B2</f>
        <v>ANEXO VI al Memorándum  D.T.E.E.  N°  223 /2016         .-</v>
      </c>
      <c r="C2" s="103"/>
      <c r="D2" s="103"/>
      <c r="E2" s="103"/>
      <c r="F2" s="103"/>
      <c r="G2" s="103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</row>
    <row r="3" spans="1:30" s="466" customFormat="1" ht="12.75">
      <c r="A3" s="9"/>
      <c r="B3" s="9"/>
      <c r="C3" s="9"/>
      <c r="D3" s="9"/>
      <c r="E3" s="9"/>
      <c r="F3" s="9"/>
      <c r="G3" s="9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</row>
    <row r="4" spans="1:30" s="468" customFormat="1" ht="11.25">
      <c r="A4" s="625" t="s">
        <v>21</v>
      </c>
      <c r="B4" s="104"/>
      <c r="C4" s="624"/>
      <c r="D4" s="624"/>
      <c r="E4" s="624"/>
      <c r="F4" s="104"/>
      <c r="G4" s="104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</row>
    <row r="5" spans="1:30" s="468" customFormat="1" ht="11.25">
      <c r="A5" s="625" t="s">
        <v>147</v>
      </c>
      <c r="B5" s="104"/>
      <c r="C5" s="624"/>
      <c r="D5" s="624"/>
      <c r="E5" s="624"/>
      <c r="F5" s="104"/>
      <c r="G5" s="104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</row>
    <row r="6" spans="1:30" s="466" customFormat="1" ht="13.5" thickBo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</row>
    <row r="7" spans="1:30" s="466" customFormat="1" ht="13.5" thickTop="1">
      <c r="A7" s="465"/>
      <c r="B7" s="469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1"/>
    </row>
    <row r="8" spans="1:30" s="475" customFormat="1" ht="20.25">
      <c r="A8" s="472"/>
      <c r="B8" s="473"/>
      <c r="C8" s="170"/>
      <c r="D8" s="170"/>
      <c r="E8" s="170"/>
      <c r="F8" s="474" t="s">
        <v>42</v>
      </c>
      <c r="H8" s="170"/>
      <c r="I8" s="472"/>
      <c r="J8" s="47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476"/>
    </row>
    <row r="9" spans="1:30" s="466" customFormat="1" ht="12.75">
      <c r="A9" s="465"/>
      <c r="B9" s="477"/>
      <c r="C9" s="165"/>
      <c r="D9" s="165"/>
      <c r="E9" s="165"/>
      <c r="F9" s="165"/>
      <c r="G9" s="165"/>
      <c r="H9" s="165"/>
      <c r="I9" s="4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478"/>
    </row>
    <row r="10" spans="1:30" s="475" customFormat="1" ht="20.25">
      <c r="A10" s="472"/>
      <c r="B10" s="473"/>
      <c r="C10" s="170"/>
      <c r="D10" s="170"/>
      <c r="E10" s="170"/>
      <c r="F10" s="474" t="s">
        <v>67</v>
      </c>
      <c r="G10" s="170"/>
      <c r="H10" s="170"/>
      <c r="I10" s="472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476"/>
    </row>
    <row r="11" spans="1:30" s="466" customFormat="1" ht="12.75">
      <c r="A11" s="465"/>
      <c r="B11" s="477"/>
      <c r="C11" s="165"/>
      <c r="D11" s="165"/>
      <c r="E11" s="165"/>
      <c r="F11" s="479"/>
      <c r="G11" s="165"/>
      <c r="H11" s="165"/>
      <c r="I11" s="4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478"/>
    </row>
    <row r="12" spans="1:30" s="475" customFormat="1" ht="20.25">
      <c r="A12" s="472"/>
      <c r="B12" s="473"/>
      <c r="C12" s="170"/>
      <c r="D12" s="170"/>
      <c r="E12" s="170"/>
      <c r="F12" s="474" t="s">
        <v>68</v>
      </c>
      <c r="G12" s="480"/>
      <c r="H12" s="472"/>
      <c r="I12" s="472"/>
      <c r="J12" s="170"/>
      <c r="K12" s="170"/>
      <c r="L12" s="472"/>
      <c r="M12" s="47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476"/>
    </row>
    <row r="13" spans="1:30" s="466" customFormat="1" ht="12.75">
      <c r="A13" s="465"/>
      <c r="B13" s="477"/>
      <c r="C13" s="165"/>
      <c r="D13" s="165"/>
      <c r="E13" s="165"/>
      <c r="F13" s="481"/>
      <c r="G13" s="482"/>
      <c r="H13" s="465"/>
      <c r="I13" s="465"/>
      <c r="J13" s="165"/>
      <c r="K13" s="165"/>
      <c r="L13" s="465"/>
      <c r="M13" s="4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478"/>
    </row>
    <row r="14" spans="1:30" s="475" customFormat="1" ht="20.25">
      <c r="A14" s="472"/>
      <c r="B14" s="473"/>
      <c r="C14" s="170"/>
      <c r="D14" s="170"/>
      <c r="E14" s="170"/>
      <c r="F14" s="474" t="s">
        <v>69</v>
      </c>
      <c r="G14" s="171"/>
      <c r="H14" s="171"/>
      <c r="I14" s="172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476"/>
    </row>
    <row r="15" spans="1:30" s="466" customFormat="1" ht="12.75">
      <c r="A15" s="465"/>
      <c r="B15" s="477"/>
      <c r="C15" s="165"/>
      <c r="D15" s="165"/>
      <c r="E15" s="165"/>
      <c r="F15" s="483"/>
      <c r="G15" s="166"/>
      <c r="H15" s="166"/>
      <c r="I15" s="167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478"/>
    </row>
    <row r="16" spans="1:30" s="489" customFormat="1" ht="19.5">
      <c r="A16" s="484"/>
      <c r="B16" s="79" t="str">
        <f>+'TOT-0614'!B14</f>
        <v>Desde el 01 al 30 de junio de 2014</v>
      </c>
      <c r="C16" s="485"/>
      <c r="D16" s="485"/>
      <c r="E16" s="485"/>
      <c r="F16" s="485"/>
      <c r="G16" s="485"/>
      <c r="H16" s="485"/>
      <c r="I16" s="486"/>
      <c r="J16" s="485"/>
      <c r="K16" s="487"/>
      <c r="L16" s="487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8"/>
    </row>
    <row r="17" spans="1:30" s="466" customFormat="1" ht="14.25" thickBot="1">
      <c r="A17" s="465"/>
      <c r="B17" s="477"/>
      <c r="C17" s="165"/>
      <c r="D17" s="165"/>
      <c r="E17" s="165"/>
      <c r="F17" s="165"/>
      <c r="G17" s="165"/>
      <c r="H17" s="165"/>
      <c r="I17" s="32"/>
      <c r="J17" s="165"/>
      <c r="K17" s="490"/>
      <c r="L17" s="491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478"/>
    </row>
    <row r="18" spans="1:30" s="466" customFormat="1" ht="16.5" customHeight="1" thickBot="1" thickTop="1">
      <c r="A18" s="465"/>
      <c r="B18" s="477"/>
      <c r="C18" s="165"/>
      <c r="D18" s="165"/>
      <c r="E18" s="165"/>
      <c r="F18" s="174" t="s">
        <v>70</v>
      </c>
      <c r="G18" s="175"/>
      <c r="H18" s="492"/>
      <c r="I18" s="493">
        <v>0.66</v>
      </c>
      <c r="J18" s="4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478"/>
    </row>
    <row r="19" spans="1:30" s="466" customFormat="1" ht="16.5" customHeight="1" thickBot="1" thickTop="1">
      <c r="A19" s="465"/>
      <c r="B19" s="477"/>
      <c r="C19" s="165"/>
      <c r="D19" s="165"/>
      <c r="E19" s="165"/>
      <c r="F19" s="176" t="s">
        <v>71</v>
      </c>
      <c r="G19" s="177"/>
      <c r="H19" s="177"/>
      <c r="I19" s="178">
        <v>30</v>
      </c>
      <c r="J19" s="165"/>
      <c r="K19" s="206" t="str">
        <f>IF(I19=30," ",IF(I19=60,"Coeficiente duplicado por tasa de falla &gt;4 Sal. x año/100 km.","REVISAR COEFICIENTE"))</f>
        <v> 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494"/>
      <c r="X19" s="494"/>
      <c r="Y19" s="494"/>
      <c r="Z19" s="494"/>
      <c r="AA19" s="494"/>
      <c r="AB19" s="494"/>
      <c r="AC19" s="494"/>
      <c r="AD19" s="478"/>
    </row>
    <row r="20" spans="1:30" s="653" customFormat="1" ht="16.5" customHeight="1" thickBot="1" thickTop="1">
      <c r="A20" s="649"/>
      <c r="B20" s="650"/>
      <c r="C20" s="651">
        <v>3</v>
      </c>
      <c r="D20" s="651">
        <v>4</v>
      </c>
      <c r="E20" s="651">
        <v>5</v>
      </c>
      <c r="F20" s="651">
        <v>6</v>
      </c>
      <c r="G20" s="651">
        <v>7</v>
      </c>
      <c r="H20" s="651">
        <v>8</v>
      </c>
      <c r="I20" s="651">
        <v>9</v>
      </c>
      <c r="J20" s="651">
        <v>10</v>
      </c>
      <c r="K20" s="651">
        <v>11</v>
      </c>
      <c r="L20" s="651">
        <v>12</v>
      </c>
      <c r="M20" s="651">
        <v>13</v>
      </c>
      <c r="N20" s="651">
        <v>14</v>
      </c>
      <c r="O20" s="651">
        <v>15</v>
      </c>
      <c r="P20" s="651">
        <v>16</v>
      </c>
      <c r="Q20" s="651">
        <v>17</v>
      </c>
      <c r="R20" s="651">
        <v>18</v>
      </c>
      <c r="S20" s="651">
        <v>19</v>
      </c>
      <c r="T20" s="651">
        <v>20</v>
      </c>
      <c r="U20" s="651">
        <v>21</v>
      </c>
      <c r="V20" s="651">
        <v>22</v>
      </c>
      <c r="W20" s="651">
        <v>23</v>
      </c>
      <c r="X20" s="651">
        <v>24</v>
      </c>
      <c r="Y20" s="651">
        <v>25</v>
      </c>
      <c r="Z20" s="651">
        <v>26</v>
      </c>
      <c r="AA20" s="651">
        <v>27</v>
      </c>
      <c r="AB20" s="651">
        <v>28</v>
      </c>
      <c r="AC20" s="651">
        <v>29</v>
      </c>
      <c r="AD20" s="652"/>
    </row>
    <row r="21" spans="1:30" s="504" customFormat="1" ht="33.75" customHeight="1" thickBot="1" thickTop="1">
      <c r="A21" s="495"/>
      <c r="B21" s="496"/>
      <c r="C21" s="184" t="s">
        <v>48</v>
      </c>
      <c r="D21" s="93" t="s">
        <v>146</v>
      </c>
      <c r="E21" s="93" t="s">
        <v>145</v>
      </c>
      <c r="F21" s="183" t="s">
        <v>72</v>
      </c>
      <c r="G21" s="179" t="s">
        <v>19</v>
      </c>
      <c r="H21" s="180" t="s">
        <v>73</v>
      </c>
      <c r="I21" s="183" t="s">
        <v>49</v>
      </c>
      <c r="J21" s="233" t="s">
        <v>51</v>
      </c>
      <c r="K21" s="182" t="s">
        <v>74</v>
      </c>
      <c r="L21" s="182" t="s">
        <v>75</v>
      </c>
      <c r="M21" s="183" t="s">
        <v>76</v>
      </c>
      <c r="N21" s="183" t="s">
        <v>77</v>
      </c>
      <c r="O21" s="97" t="s">
        <v>56</v>
      </c>
      <c r="P21" s="184" t="s">
        <v>78</v>
      </c>
      <c r="Q21" s="183" t="s">
        <v>79</v>
      </c>
      <c r="R21" s="179" t="s">
        <v>80</v>
      </c>
      <c r="S21" s="301" t="s">
        <v>81</v>
      </c>
      <c r="T21" s="497" t="s">
        <v>58</v>
      </c>
      <c r="U21" s="498" t="s">
        <v>59</v>
      </c>
      <c r="V21" s="303" t="s">
        <v>82</v>
      </c>
      <c r="W21" s="499"/>
      <c r="X21" s="306" t="s">
        <v>82</v>
      </c>
      <c r="Y21" s="500"/>
      <c r="Z21" s="501" t="s">
        <v>62</v>
      </c>
      <c r="AA21" s="502" t="s">
        <v>63</v>
      </c>
      <c r="AB21" s="183" t="s">
        <v>64</v>
      </c>
      <c r="AC21" s="183" t="s">
        <v>65</v>
      </c>
      <c r="AD21" s="503"/>
    </row>
    <row r="22" spans="1:30" s="466" customFormat="1" ht="16.5" customHeight="1" thickTop="1">
      <c r="A22" s="465"/>
      <c r="B22" s="477"/>
      <c r="C22" s="505"/>
      <c r="D22" s="505"/>
      <c r="E22" s="505"/>
      <c r="F22" s="506"/>
      <c r="G22" s="507"/>
      <c r="H22" s="507"/>
      <c r="I22" s="507"/>
      <c r="J22" s="508"/>
      <c r="K22" s="506"/>
      <c r="L22" s="507"/>
      <c r="M22" s="506"/>
      <c r="N22" s="506"/>
      <c r="O22" s="507"/>
      <c r="P22" s="507"/>
      <c r="Q22" s="507"/>
      <c r="R22" s="507"/>
      <c r="S22" s="509"/>
      <c r="T22" s="510"/>
      <c r="U22" s="511"/>
      <c r="V22" s="512"/>
      <c r="W22" s="513"/>
      <c r="X22" s="514"/>
      <c r="Y22" s="515"/>
      <c r="Z22" s="516"/>
      <c r="AA22" s="517"/>
      <c r="AB22" s="507"/>
      <c r="AC22" s="518"/>
      <c r="AD22" s="478"/>
    </row>
    <row r="23" spans="1:30" s="466" customFormat="1" ht="16.5" customHeight="1">
      <c r="A23" s="465"/>
      <c r="B23" s="477"/>
      <c r="C23" s="505"/>
      <c r="D23" s="505"/>
      <c r="E23" s="505"/>
      <c r="F23" s="519"/>
      <c r="G23" s="519"/>
      <c r="H23" s="519"/>
      <c r="I23" s="519"/>
      <c r="J23" s="520"/>
      <c r="K23" s="521"/>
      <c r="L23" s="519"/>
      <c r="M23" s="521"/>
      <c r="N23" s="521"/>
      <c r="O23" s="519"/>
      <c r="P23" s="519"/>
      <c r="Q23" s="519"/>
      <c r="R23" s="519"/>
      <c r="S23" s="522"/>
      <c r="T23" s="523"/>
      <c r="U23" s="524"/>
      <c r="V23" s="525"/>
      <c r="W23" s="526"/>
      <c r="X23" s="527"/>
      <c r="Y23" s="528"/>
      <c r="Z23" s="529"/>
      <c r="AA23" s="530"/>
      <c r="AB23" s="519"/>
      <c r="AC23" s="531"/>
      <c r="AD23" s="478"/>
    </row>
    <row r="24" spans="1:30" s="466" customFormat="1" ht="16.5" customHeight="1">
      <c r="A24" s="465"/>
      <c r="B24" s="477"/>
      <c r="C24" s="560">
        <v>5</v>
      </c>
      <c r="D24" s="560">
        <v>275851</v>
      </c>
      <c r="E24" s="560">
        <v>1789</v>
      </c>
      <c r="F24" s="425" t="s">
        <v>159</v>
      </c>
      <c r="G24" s="424" t="s">
        <v>9</v>
      </c>
      <c r="H24" s="561">
        <v>9</v>
      </c>
      <c r="I24" s="619" t="s">
        <v>168</v>
      </c>
      <c r="J24" s="236">
        <f>H24*$I$18</f>
        <v>5.94</v>
      </c>
      <c r="K24" s="564">
        <v>41793.94097222222</v>
      </c>
      <c r="L24" s="564">
        <v>41793.95</v>
      </c>
      <c r="M24" s="22">
        <f>IF(F24="","",(L24-K24)*24)</f>
        <v>0.2166666666744277</v>
      </c>
      <c r="N24" s="23">
        <f>IF(F24="","",ROUND((L24-K24)*24*60,0))</f>
        <v>13</v>
      </c>
      <c r="O24" s="565" t="s">
        <v>155</v>
      </c>
      <c r="P24" s="21" t="str">
        <f>IF(F24="","",IF(OR(O24="P",O24="RP"),"--","NO"))</f>
        <v>NO</v>
      </c>
      <c r="Q24" s="639" t="str">
        <f>IF(F24="","","--")</f>
        <v>--</v>
      </c>
      <c r="R24" s="21" t="str">
        <f aca="true" t="shared" si="0" ref="R24:R31">IF(F24="","","NO")</f>
        <v>NO</v>
      </c>
      <c r="S24" s="302">
        <f aca="true" t="shared" si="1" ref="S24:S29">$I$19*IF(OR(O24="P",O24="RP"),0.1,1)*IF(R24="SI",1,0.1)</f>
        <v>3</v>
      </c>
      <c r="T24" s="640" t="str">
        <f aca="true" t="shared" si="2" ref="T24:T29">IF(O24="P",J24*S24*ROUND(N24/60,2),"--")</f>
        <v>--</v>
      </c>
      <c r="U24" s="641" t="str">
        <f aca="true" t="shared" si="3" ref="U24:U29">IF(O24="RP",J24*S24*ROUND(N24/60,2)*Q24/100,"--")</f>
        <v>--</v>
      </c>
      <c r="V24" s="304">
        <f aca="true" t="shared" si="4" ref="V24:V29">IF(AND(O24="F",P24="NO"),J24*S24,"--")</f>
        <v>17.82</v>
      </c>
      <c r="W24" s="305">
        <f aca="true" t="shared" si="5" ref="W24:W29">IF(O24="F",J24*S24*ROUND(N24/60,2),"--")</f>
        <v>3.9204</v>
      </c>
      <c r="X24" s="308" t="str">
        <f aca="true" t="shared" si="6" ref="X24:X29">IF(AND(O24="R",P24="NO"),J24*S24*Q24/100,"--")</f>
        <v>--</v>
      </c>
      <c r="Y24" s="309" t="str">
        <f aca="true" t="shared" si="7" ref="Y24:Y29">IF(O24="R",J24*S24*ROUND(N24/60,2)*Q24/100,"--")</f>
        <v>--</v>
      </c>
      <c r="Z24" s="310" t="str">
        <f aca="true" t="shared" si="8" ref="Z24:Z29">IF(O24="RF",J24*S24*ROUND(N24/60,2),"--")</f>
        <v>--</v>
      </c>
      <c r="AA24" s="311" t="str">
        <f aca="true" t="shared" si="9" ref="AA24:AA29">IF(O24="RR",J24*S24*ROUND(N24/60,2)*Q24/100,"--")</f>
        <v>--</v>
      </c>
      <c r="AB24" s="21" t="str">
        <f aca="true" t="shared" si="10" ref="AB24:AB29">IF(F24="","","SI")</f>
        <v>SI</v>
      </c>
      <c r="AC24" s="532">
        <f aca="true" t="shared" si="11" ref="AC24:AC29">IF(F24="","",SUM(T24:AA24)*IF(AB24="SI",1,2))</f>
        <v>21.7404</v>
      </c>
      <c r="AD24" s="533"/>
    </row>
    <row r="25" spans="1:30" s="466" customFormat="1" ht="16.5" customHeight="1">
      <c r="A25" s="465"/>
      <c r="B25" s="477"/>
      <c r="C25" s="560">
        <v>6</v>
      </c>
      <c r="D25" s="560">
        <v>276232</v>
      </c>
      <c r="E25" s="560">
        <v>1810</v>
      </c>
      <c r="F25" s="425" t="s">
        <v>169</v>
      </c>
      <c r="G25" s="424" t="s">
        <v>158</v>
      </c>
      <c r="H25" s="561">
        <v>30</v>
      </c>
      <c r="I25" s="619" t="s">
        <v>157</v>
      </c>
      <c r="J25" s="236">
        <f>H25*$I$18</f>
        <v>19.8</v>
      </c>
      <c r="K25" s="564">
        <v>41809.379166666666</v>
      </c>
      <c r="L25" s="564">
        <v>41809.66736111111</v>
      </c>
      <c r="M25" s="22">
        <f>IF(F25="","",(L25-K25)*24)</f>
        <v>6.916666666686069</v>
      </c>
      <c r="N25" s="23">
        <f>IF(F25="","",ROUND((L25-K25)*24*60,0))</f>
        <v>415</v>
      </c>
      <c r="O25" s="565" t="s">
        <v>151</v>
      </c>
      <c r="P25" s="21" t="str">
        <f>IF(F25="","",IF(OR(O25="P",O25="RP"),"--","NO"))</f>
        <v>--</v>
      </c>
      <c r="Q25" s="639" t="str">
        <f>IF(F25="","","--")</f>
        <v>--</v>
      </c>
      <c r="R25" s="21" t="str">
        <f t="shared" si="0"/>
        <v>NO</v>
      </c>
      <c r="S25" s="302">
        <f t="shared" si="1"/>
        <v>0.30000000000000004</v>
      </c>
      <c r="T25" s="640">
        <f t="shared" si="2"/>
        <v>41.10480000000001</v>
      </c>
      <c r="U25" s="641" t="str">
        <f t="shared" si="3"/>
        <v>--</v>
      </c>
      <c r="V25" s="304" t="str">
        <f t="shared" si="4"/>
        <v>--</v>
      </c>
      <c r="W25" s="305" t="str">
        <f t="shared" si="5"/>
        <v>--</v>
      </c>
      <c r="X25" s="308" t="str">
        <f t="shared" si="6"/>
        <v>--</v>
      </c>
      <c r="Y25" s="309" t="str">
        <f t="shared" si="7"/>
        <v>--</v>
      </c>
      <c r="Z25" s="310" t="str">
        <f t="shared" si="8"/>
        <v>--</v>
      </c>
      <c r="AA25" s="311" t="str">
        <f t="shared" si="9"/>
        <v>--</v>
      </c>
      <c r="AB25" s="21" t="str">
        <f t="shared" si="10"/>
        <v>SI</v>
      </c>
      <c r="AC25" s="532">
        <f t="shared" si="11"/>
        <v>41.10480000000001</v>
      </c>
      <c r="AD25" s="533"/>
    </row>
    <row r="26" spans="1:30" s="466" customFormat="1" ht="16.5" customHeight="1">
      <c r="A26" s="465"/>
      <c r="B26" s="477"/>
      <c r="C26" s="560"/>
      <c r="D26" s="560"/>
      <c r="E26" s="560"/>
      <c r="F26" s="425"/>
      <c r="G26" s="424"/>
      <c r="H26" s="561"/>
      <c r="I26" s="619"/>
      <c r="J26" s="236">
        <f aca="true" t="shared" si="12" ref="J26:J39">H26*$I$18</f>
        <v>0</v>
      </c>
      <c r="K26" s="564"/>
      <c r="L26" s="564"/>
      <c r="M26" s="22">
        <f aca="true" t="shared" si="13" ref="M26:M39">IF(F26="","",(L26-K26)*24)</f>
      </c>
      <c r="N26" s="23">
        <f aca="true" t="shared" si="14" ref="N26:N39">IF(F26="","",ROUND((L26-K26)*24*60,0))</f>
      </c>
      <c r="O26" s="565"/>
      <c r="P26" s="21">
        <f aca="true" t="shared" si="15" ref="P26:P43">IF(F26="","",IF(OR(O26="P",O26="RP"),"--","NO"))</f>
      </c>
      <c r="Q26" s="639">
        <f aca="true" t="shared" si="16" ref="Q26:Q43">IF(F26="","","--")</f>
      </c>
      <c r="R26" s="21">
        <f t="shared" si="0"/>
      </c>
      <c r="S26" s="302">
        <f t="shared" si="1"/>
        <v>3</v>
      </c>
      <c r="T26" s="640" t="str">
        <f t="shared" si="2"/>
        <v>--</v>
      </c>
      <c r="U26" s="641" t="str">
        <f t="shared" si="3"/>
        <v>--</v>
      </c>
      <c r="V26" s="304" t="str">
        <f t="shared" si="4"/>
        <v>--</v>
      </c>
      <c r="W26" s="305" t="str">
        <f t="shared" si="5"/>
        <v>--</v>
      </c>
      <c r="X26" s="308" t="str">
        <f t="shared" si="6"/>
        <v>--</v>
      </c>
      <c r="Y26" s="309" t="str">
        <f t="shared" si="7"/>
        <v>--</v>
      </c>
      <c r="Z26" s="310" t="str">
        <f t="shared" si="8"/>
        <v>--</v>
      </c>
      <c r="AA26" s="311" t="str">
        <f t="shared" si="9"/>
        <v>--</v>
      </c>
      <c r="AB26" s="21">
        <f t="shared" si="10"/>
      </c>
      <c r="AC26" s="532">
        <f t="shared" si="11"/>
      </c>
      <c r="AD26" s="533"/>
    </row>
    <row r="27" spans="1:30" s="466" customFormat="1" ht="16.5" customHeight="1">
      <c r="A27" s="465"/>
      <c r="B27" s="477"/>
      <c r="C27" s="560"/>
      <c r="D27" s="560"/>
      <c r="E27" s="560"/>
      <c r="F27" s="425"/>
      <c r="G27" s="424"/>
      <c r="H27" s="561"/>
      <c r="I27" s="619"/>
      <c r="J27" s="236">
        <f t="shared" si="12"/>
        <v>0</v>
      </c>
      <c r="K27" s="564"/>
      <c r="L27" s="564"/>
      <c r="M27" s="22">
        <f t="shared" si="13"/>
      </c>
      <c r="N27" s="23">
        <f t="shared" si="14"/>
      </c>
      <c r="O27" s="565"/>
      <c r="P27" s="21">
        <f t="shared" si="15"/>
      </c>
      <c r="Q27" s="639">
        <f t="shared" si="16"/>
      </c>
      <c r="R27" s="21">
        <f t="shared" si="0"/>
      </c>
      <c r="S27" s="302">
        <f t="shared" si="1"/>
        <v>3</v>
      </c>
      <c r="T27" s="640" t="str">
        <f t="shared" si="2"/>
        <v>--</v>
      </c>
      <c r="U27" s="641" t="str">
        <f t="shared" si="3"/>
        <v>--</v>
      </c>
      <c r="V27" s="304" t="str">
        <f t="shared" si="4"/>
        <v>--</v>
      </c>
      <c r="W27" s="305" t="str">
        <f t="shared" si="5"/>
        <v>--</v>
      </c>
      <c r="X27" s="308" t="str">
        <f t="shared" si="6"/>
        <v>--</v>
      </c>
      <c r="Y27" s="309" t="str">
        <f t="shared" si="7"/>
        <v>--</v>
      </c>
      <c r="Z27" s="310" t="str">
        <f t="shared" si="8"/>
        <v>--</v>
      </c>
      <c r="AA27" s="311" t="str">
        <f t="shared" si="9"/>
        <v>--</v>
      </c>
      <c r="AB27" s="21">
        <f t="shared" si="10"/>
      </c>
      <c r="AC27" s="532">
        <f t="shared" si="11"/>
      </c>
      <c r="AD27" s="533"/>
    </row>
    <row r="28" spans="1:30" s="466" customFormat="1" ht="16.5" customHeight="1">
      <c r="A28" s="465"/>
      <c r="B28" s="477"/>
      <c r="C28" s="560"/>
      <c r="D28" s="560"/>
      <c r="E28" s="560"/>
      <c r="F28" s="425"/>
      <c r="G28" s="424"/>
      <c r="H28" s="561"/>
      <c r="I28" s="619"/>
      <c r="J28" s="236">
        <f t="shared" si="12"/>
        <v>0</v>
      </c>
      <c r="K28" s="564"/>
      <c r="L28" s="564"/>
      <c r="M28" s="22">
        <f t="shared" si="13"/>
      </c>
      <c r="N28" s="23">
        <f t="shared" si="14"/>
      </c>
      <c r="O28" s="565"/>
      <c r="P28" s="21">
        <f t="shared" si="15"/>
      </c>
      <c r="Q28" s="639">
        <f t="shared" si="16"/>
      </c>
      <c r="R28" s="21">
        <f t="shared" si="0"/>
      </c>
      <c r="S28" s="302">
        <f t="shared" si="1"/>
        <v>3</v>
      </c>
      <c r="T28" s="640" t="str">
        <f t="shared" si="2"/>
        <v>--</v>
      </c>
      <c r="U28" s="641" t="str">
        <f t="shared" si="3"/>
        <v>--</v>
      </c>
      <c r="V28" s="304" t="str">
        <f t="shared" si="4"/>
        <v>--</v>
      </c>
      <c r="W28" s="305" t="str">
        <f t="shared" si="5"/>
        <v>--</v>
      </c>
      <c r="X28" s="308" t="str">
        <f t="shared" si="6"/>
        <v>--</v>
      </c>
      <c r="Y28" s="309" t="str">
        <f t="shared" si="7"/>
        <v>--</v>
      </c>
      <c r="Z28" s="310" t="str">
        <f t="shared" si="8"/>
        <v>--</v>
      </c>
      <c r="AA28" s="311" t="str">
        <f t="shared" si="9"/>
        <v>--</v>
      </c>
      <c r="AB28" s="21">
        <f t="shared" si="10"/>
      </c>
      <c r="AC28" s="532">
        <f t="shared" si="11"/>
      </c>
      <c r="AD28" s="533"/>
    </row>
    <row r="29" spans="1:30" s="466" customFormat="1" ht="16.5" customHeight="1">
      <c r="A29" s="465"/>
      <c r="B29" s="477"/>
      <c r="C29" s="560"/>
      <c r="D29" s="560"/>
      <c r="E29" s="560"/>
      <c r="F29" s="425"/>
      <c r="G29" s="424"/>
      <c r="H29" s="561"/>
      <c r="I29" s="562"/>
      <c r="J29" s="236">
        <f t="shared" si="12"/>
        <v>0</v>
      </c>
      <c r="K29" s="564"/>
      <c r="L29" s="564"/>
      <c r="M29" s="22">
        <f t="shared" si="13"/>
      </c>
      <c r="N29" s="23">
        <f t="shared" si="14"/>
      </c>
      <c r="O29" s="565"/>
      <c r="P29" s="21">
        <f t="shared" si="15"/>
      </c>
      <c r="Q29" s="639">
        <f t="shared" si="16"/>
      </c>
      <c r="R29" s="21">
        <f t="shared" si="0"/>
      </c>
      <c r="S29" s="302">
        <f t="shared" si="1"/>
        <v>3</v>
      </c>
      <c r="T29" s="640" t="str">
        <f t="shared" si="2"/>
        <v>--</v>
      </c>
      <c r="U29" s="641" t="str">
        <f t="shared" si="3"/>
        <v>--</v>
      </c>
      <c r="V29" s="304" t="str">
        <f t="shared" si="4"/>
        <v>--</v>
      </c>
      <c r="W29" s="305" t="str">
        <f t="shared" si="5"/>
        <v>--</v>
      </c>
      <c r="X29" s="308" t="str">
        <f t="shared" si="6"/>
        <v>--</v>
      </c>
      <c r="Y29" s="309" t="str">
        <f t="shared" si="7"/>
        <v>--</v>
      </c>
      <c r="Z29" s="310" t="str">
        <f t="shared" si="8"/>
        <v>--</v>
      </c>
      <c r="AA29" s="311" t="str">
        <f t="shared" si="9"/>
        <v>--</v>
      </c>
      <c r="AB29" s="21">
        <f t="shared" si="10"/>
      </c>
      <c r="AC29" s="532">
        <f t="shared" si="11"/>
      </c>
      <c r="AD29" s="533"/>
    </row>
    <row r="30" spans="1:30" s="466" customFormat="1" ht="16.5" customHeight="1">
      <c r="A30" s="465"/>
      <c r="B30" s="477"/>
      <c r="C30" s="560"/>
      <c r="D30" s="560"/>
      <c r="E30" s="560"/>
      <c r="F30" s="425"/>
      <c r="G30" s="424"/>
      <c r="H30" s="561"/>
      <c r="I30" s="619"/>
      <c r="J30" s="236">
        <f t="shared" si="12"/>
        <v>0</v>
      </c>
      <c r="K30" s="564"/>
      <c r="L30" s="564"/>
      <c r="M30" s="22">
        <f t="shared" si="13"/>
      </c>
      <c r="N30" s="23">
        <f t="shared" si="14"/>
      </c>
      <c r="O30" s="565"/>
      <c r="P30" s="21">
        <f t="shared" si="15"/>
      </c>
      <c r="Q30" s="639">
        <f t="shared" si="16"/>
      </c>
      <c r="R30" s="21">
        <f t="shared" si="0"/>
      </c>
      <c r="S30" s="302">
        <f aca="true" t="shared" si="17" ref="S30:S39">$I$19*IF(OR(O30="P",O30="RP"),0.1,1)*IF(R30="SI",1,0.1)</f>
        <v>3</v>
      </c>
      <c r="T30" s="640" t="str">
        <f aca="true" t="shared" si="18" ref="T30:T39">IF(O30="P",J30*S30*ROUND(N30/60,2),"--")</f>
        <v>--</v>
      </c>
      <c r="U30" s="641" t="str">
        <f aca="true" t="shared" si="19" ref="U30:U39">IF(O30="RP",J30*S30*ROUND(N30/60,2)*Q30/100,"--")</f>
        <v>--</v>
      </c>
      <c r="V30" s="304" t="str">
        <f aca="true" t="shared" si="20" ref="V30:V39">IF(AND(O30="F",P30="NO"),J30*S30,"--")</f>
        <v>--</v>
      </c>
      <c r="W30" s="305" t="str">
        <f aca="true" t="shared" si="21" ref="W30:W39">IF(O30="F",J30*S30*ROUND(N30/60,2),"--")</f>
        <v>--</v>
      </c>
      <c r="X30" s="308" t="str">
        <f aca="true" t="shared" si="22" ref="X30:X39">IF(AND(O30="R",P30="NO"),J30*S30*Q30/100,"--")</f>
        <v>--</v>
      </c>
      <c r="Y30" s="309" t="str">
        <f aca="true" t="shared" si="23" ref="Y30:Y39">IF(O30="R",J30*S30*ROUND(N30/60,2)*Q30/100,"--")</f>
        <v>--</v>
      </c>
      <c r="Z30" s="310" t="str">
        <f aca="true" t="shared" si="24" ref="Z30:Z39">IF(O30="RF",J30*S30*ROUND(N30/60,2),"--")</f>
        <v>--</v>
      </c>
      <c r="AA30" s="311" t="str">
        <f aca="true" t="shared" si="25" ref="AA30:AA39">IF(O30="RR",J30*S30*ROUND(N30/60,2)*Q30/100,"--")</f>
        <v>--</v>
      </c>
      <c r="AB30" s="21">
        <f aca="true" t="shared" si="26" ref="AB30:AB39">IF(F30="","","SI")</f>
      </c>
      <c r="AC30" s="532">
        <f aca="true" t="shared" si="27" ref="AC30:AC39">IF(F30="","",SUM(T30:AA30)*IF(AB30="SI",1,2))</f>
      </c>
      <c r="AD30" s="533"/>
    </row>
    <row r="31" spans="1:30" s="466" customFormat="1" ht="16.5" customHeight="1">
      <c r="A31" s="465"/>
      <c r="B31" s="477"/>
      <c r="C31" s="560"/>
      <c r="D31" s="560"/>
      <c r="E31" s="560"/>
      <c r="F31" s="425"/>
      <c r="G31" s="424"/>
      <c r="H31" s="561"/>
      <c r="I31" s="619"/>
      <c r="J31" s="236">
        <f t="shared" si="12"/>
        <v>0</v>
      </c>
      <c r="K31" s="564"/>
      <c r="L31" s="564"/>
      <c r="M31" s="22">
        <f t="shared" si="13"/>
      </c>
      <c r="N31" s="23">
        <f t="shared" si="14"/>
      </c>
      <c r="O31" s="565"/>
      <c r="P31" s="21">
        <f t="shared" si="15"/>
      </c>
      <c r="Q31" s="639">
        <f t="shared" si="16"/>
      </c>
      <c r="R31" s="21">
        <f t="shared" si="0"/>
      </c>
      <c r="S31" s="302">
        <f t="shared" si="17"/>
        <v>3</v>
      </c>
      <c r="T31" s="640" t="str">
        <f t="shared" si="18"/>
        <v>--</v>
      </c>
      <c r="U31" s="641" t="str">
        <f t="shared" si="19"/>
        <v>--</v>
      </c>
      <c r="V31" s="304" t="str">
        <f t="shared" si="20"/>
        <v>--</v>
      </c>
      <c r="W31" s="305" t="str">
        <f t="shared" si="21"/>
        <v>--</v>
      </c>
      <c r="X31" s="308" t="str">
        <f t="shared" si="22"/>
        <v>--</v>
      </c>
      <c r="Y31" s="309" t="str">
        <f t="shared" si="23"/>
        <v>--</v>
      </c>
      <c r="Z31" s="310" t="str">
        <f t="shared" si="24"/>
        <v>--</v>
      </c>
      <c r="AA31" s="311" t="str">
        <f t="shared" si="25"/>
        <v>--</v>
      </c>
      <c r="AB31" s="21">
        <f t="shared" si="26"/>
      </c>
      <c r="AC31" s="532">
        <f t="shared" si="27"/>
      </c>
      <c r="AD31" s="533"/>
    </row>
    <row r="32" spans="1:30" s="466" customFormat="1" ht="16.5" customHeight="1">
      <c r="A32" s="465"/>
      <c r="B32" s="477"/>
      <c r="C32" s="560"/>
      <c r="D32" s="560"/>
      <c r="E32" s="560"/>
      <c r="F32" s="425"/>
      <c r="G32" s="424"/>
      <c r="H32" s="561"/>
      <c r="I32" s="562"/>
      <c r="J32" s="236">
        <f t="shared" si="12"/>
        <v>0</v>
      </c>
      <c r="K32" s="564"/>
      <c r="L32" s="564"/>
      <c r="M32" s="22">
        <f t="shared" si="13"/>
      </c>
      <c r="N32" s="23">
        <f t="shared" si="14"/>
      </c>
      <c r="O32" s="565"/>
      <c r="P32" s="21">
        <f t="shared" si="15"/>
      </c>
      <c r="Q32" s="639">
        <f t="shared" si="16"/>
      </c>
      <c r="R32" s="21">
        <f aca="true" t="shared" si="28" ref="R32:R43">IF(F32="","","NO")</f>
      </c>
      <c r="S32" s="302">
        <f t="shared" si="17"/>
        <v>3</v>
      </c>
      <c r="T32" s="640" t="str">
        <f t="shared" si="18"/>
        <v>--</v>
      </c>
      <c r="U32" s="641" t="str">
        <f t="shared" si="19"/>
        <v>--</v>
      </c>
      <c r="V32" s="304" t="str">
        <f t="shared" si="20"/>
        <v>--</v>
      </c>
      <c r="W32" s="305" t="str">
        <f t="shared" si="21"/>
        <v>--</v>
      </c>
      <c r="X32" s="308" t="str">
        <f t="shared" si="22"/>
        <v>--</v>
      </c>
      <c r="Y32" s="309" t="str">
        <f t="shared" si="23"/>
        <v>--</v>
      </c>
      <c r="Z32" s="310" t="str">
        <f t="shared" si="24"/>
        <v>--</v>
      </c>
      <c r="AA32" s="311" t="str">
        <f t="shared" si="25"/>
        <v>--</v>
      </c>
      <c r="AB32" s="21">
        <f t="shared" si="26"/>
      </c>
      <c r="AC32" s="532">
        <f t="shared" si="27"/>
      </c>
      <c r="AD32" s="478"/>
    </row>
    <row r="33" spans="1:30" s="466" customFormat="1" ht="16.5" customHeight="1">
      <c r="A33" s="465"/>
      <c r="B33" s="477"/>
      <c r="C33" s="560"/>
      <c r="D33" s="560"/>
      <c r="E33" s="560"/>
      <c r="F33" s="425"/>
      <c r="G33" s="424"/>
      <c r="H33" s="561"/>
      <c r="I33" s="562"/>
      <c r="J33" s="236">
        <f t="shared" si="12"/>
        <v>0</v>
      </c>
      <c r="K33" s="564"/>
      <c r="L33" s="564"/>
      <c r="M33" s="22">
        <f t="shared" si="13"/>
      </c>
      <c r="N33" s="23">
        <f t="shared" si="14"/>
      </c>
      <c r="O33" s="565"/>
      <c r="P33" s="21">
        <f t="shared" si="15"/>
      </c>
      <c r="Q33" s="639">
        <f t="shared" si="16"/>
      </c>
      <c r="R33" s="21">
        <f t="shared" si="28"/>
      </c>
      <c r="S33" s="302">
        <f t="shared" si="17"/>
        <v>3</v>
      </c>
      <c r="T33" s="640" t="str">
        <f t="shared" si="18"/>
        <v>--</v>
      </c>
      <c r="U33" s="641" t="str">
        <f t="shared" si="19"/>
        <v>--</v>
      </c>
      <c r="V33" s="304" t="str">
        <f t="shared" si="20"/>
        <v>--</v>
      </c>
      <c r="W33" s="305" t="str">
        <f t="shared" si="21"/>
        <v>--</v>
      </c>
      <c r="X33" s="308" t="str">
        <f t="shared" si="22"/>
        <v>--</v>
      </c>
      <c r="Y33" s="309" t="str">
        <f t="shared" si="23"/>
        <v>--</v>
      </c>
      <c r="Z33" s="310" t="str">
        <f t="shared" si="24"/>
        <v>--</v>
      </c>
      <c r="AA33" s="311" t="str">
        <f t="shared" si="25"/>
        <v>--</v>
      </c>
      <c r="AB33" s="21">
        <f t="shared" si="26"/>
      </c>
      <c r="AC33" s="532">
        <f t="shared" si="27"/>
      </c>
      <c r="AD33" s="478"/>
    </row>
    <row r="34" spans="1:30" s="466" customFormat="1" ht="16.5" customHeight="1">
      <c r="A34" s="465"/>
      <c r="B34" s="477"/>
      <c r="C34" s="560"/>
      <c r="D34" s="560"/>
      <c r="E34" s="560"/>
      <c r="F34" s="425"/>
      <c r="G34" s="424"/>
      <c r="H34" s="561"/>
      <c r="I34" s="562"/>
      <c r="J34" s="236">
        <f t="shared" si="12"/>
        <v>0</v>
      </c>
      <c r="K34" s="564"/>
      <c r="L34" s="564"/>
      <c r="M34" s="22">
        <f t="shared" si="13"/>
      </c>
      <c r="N34" s="23">
        <f t="shared" si="14"/>
      </c>
      <c r="O34" s="565"/>
      <c r="P34" s="21">
        <f t="shared" si="15"/>
      </c>
      <c r="Q34" s="639">
        <f t="shared" si="16"/>
      </c>
      <c r="R34" s="21">
        <f t="shared" si="28"/>
      </c>
      <c r="S34" s="302">
        <f t="shared" si="17"/>
        <v>3</v>
      </c>
      <c r="T34" s="640" t="str">
        <f t="shared" si="18"/>
        <v>--</v>
      </c>
      <c r="U34" s="641" t="str">
        <f t="shared" si="19"/>
        <v>--</v>
      </c>
      <c r="V34" s="304" t="str">
        <f t="shared" si="20"/>
        <v>--</v>
      </c>
      <c r="W34" s="305" t="str">
        <f t="shared" si="21"/>
        <v>--</v>
      </c>
      <c r="X34" s="308" t="str">
        <f t="shared" si="22"/>
        <v>--</v>
      </c>
      <c r="Y34" s="309" t="str">
        <f t="shared" si="23"/>
        <v>--</v>
      </c>
      <c r="Z34" s="310" t="str">
        <f t="shared" si="24"/>
        <v>--</v>
      </c>
      <c r="AA34" s="311" t="str">
        <f t="shared" si="25"/>
        <v>--</v>
      </c>
      <c r="AB34" s="21">
        <f t="shared" si="26"/>
      </c>
      <c r="AC34" s="532">
        <f t="shared" si="27"/>
      </c>
      <c r="AD34" s="478"/>
    </row>
    <row r="35" spans="1:30" s="466" customFormat="1" ht="16.5" customHeight="1">
      <c r="A35" s="465"/>
      <c r="B35" s="477"/>
      <c r="C35" s="560"/>
      <c r="D35" s="560"/>
      <c r="E35" s="560"/>
      <c r="F35" s="425"/>
      <c r="G35" s="424"/>
      <c r="H35" s="561"/>
      <c r="I35" s="562"/>
      <c r="J35" s="236">
        <f t="shared" si="12"/>
        <v>0</v>
      </c>
      <c r="K35" s="564"/>
      <c r="L35" s="564"/>
      <c r="M35" s="22">
        <f t="shared" si="13"/>
      </c>
      <c r="N35" s="23">
        <f t="shared" si="14"/>
      </c>
      <c r="O35" s="565"/>
      <c r="P35" s="21">
        <f t="shared" si="15"/>
      </c>
      <c r="Q35" s="639">
        <f t="shared" si="16"/>
      </c>
      <c r="R35" s="21">
        <f t="shared" si="28"/>
      </c>
      <c r="S35" s="302">
        <f t="shared" si="17"/>
        <v>3</v>
      </c>
      <c r="T35" s="640" t="str">
        <f t="shared" si="18"/>
        <v>--</v>
      </c>
      <c r="U35" s="641" t="str">
        <f t="shared" si="19"/>
        <v>--</v>
      </c>
      <c r="V35" s="304" t="str">
        <f t="shared" si="20"/>
        <v>--</v>
      </c>
      <c r="W35" s="305" t="str">
        <f t="shared" si="21"/>
        <v>--</v>
      </c>
      <c r="X35" s="308" t="str">
        <f t="shared" si="22"/>
        <v>--</v>
      </c>
      <c r="Y35" s="309" t="str">
        <f t="shared" si="23"/>
        <v>--</v>
      </c>
      <c r="Z35" s="310" t="str">
        <f t="shared" si="24"/>
        <v>--</v>
      </c>
      <c r="AA35" s="311" t="str">
        <f t="shared" si="25"/>
        <v>--</v>
      </c>
      <c r="AB35" s="21">
        <f t="shared" si="26"/>
      </c>
      <c r="AC35" s="532">
        <f t="shared" si="27"/>
      </c>
      <c r="AD35" s="478"/>
    </row>
    <row r="36" spans="1:30" s="466" customFormat="1" ht="16.5" customHeight="1">
      <c r="A36" s="465"/>
      <c r="B36" s="477"/>
      <c r="C36" s="560"/>
      <c r="D36" s="560"/>
      <c r="E36" s="560"/>
      <c r="F36" s="425"/>
      <c r="G36" s="424"/>
      <c r="H36" s="561"/>
      <c r="I36" s="562"/>
      <c r="J36" s="236">
        <f t="shared" si="12"/>
        <v>0</v>
      </c>
      <c r="K36" s="564"/>
      <c r="L36" s="564"/>
      <c r="M36" s="22">
        <f t="shared" si="13"/>
      </c>
      <c r="N36" s="23">
        <f t="shared" si="14"/>
      </c>
      <c r="O36" s="565"/>
      <c r="P36" s="21">
        <f t="shared" si="15"/>
      </c>
      <c r="Q36" s="639">
        <f t="shared" si="16"/>
      </c>
      <c r="R36" s="21">
        <f t="shared" si="28"/>
      </c>
      <c r="S36" s="302">
        <f t="shared" si="17"/>
        <v>3</v>
      </c>
      <c r="T36" s="640" t="str">
        <f t="shared" si="18"/>
        <v>--</v>
      </c>
      <c r="U36" s="641" t="str">
        <f t="shared" si="19"/>
        <v>--</v>
      </c>
      <c r="V36" s="304" t="str">
        <f t="shared" si="20"/>
        <v>--</v>
      </c>
      <c r="W36" s="305" t="str">
        <f t="shared" si="21"/>
        <v>--</v>
      </c>
      <c r="X36" s="308" t="str">
        <f t="shared" si="22"/>
        <v>--</v>
      </c>
      <c r="Y36" s="309" t="str">
        <f t="shared" si="23"/>
        <v>--</v>
      </c>
      <c r="Z36" s="310" t="str">
        <f t="shared" si="24"/>
        <v>--</v>
      </c>
      <c r="AA36" s="311" t="str">
        <f t="shared" si="25"/>
        <v>--</v>
      </c>
      <c r="AB36" s="21">
        <f t="shared" si="26"/>
      </c>
      <c r="AC36" s="532">
        <f t="shared" si="27"/>
      </c>
      <c r="AD36" s="478"/>
    </row>
    <row r="37" spans="1:30" s="466" customFormat="1" ht="16.5" customHeight="1">
      <c r="A37" s="465"/>
      <c r="B37" s="477"/>
      <c r="C37" s="560"/>
      <c r="D37" s="560"/>
      <c r="E37" s="560"/>
      <c r="F37" s="425"/>
      <c r="G37" s="424"/>
      <c r="H37" s="561"/>
      <c r="I37" s="562"/>
      <c r="J37" s="236">
        <f t="shared" si="12"/>
        <v>0</v>
      </c>
      <c r="K37" s="564"/>
      <c r="L37" s="564"/>
      <c r="M37" s="22">
        <f t="shared" si="13"/>
      </c>
      <c r="N37" s="23">
        <f t="shared" si="14"/>
      </c>
      <c r="O37" s="565"/>
      <c r="P37" s="21">
        <f t="shared" si="15"/>
      </c>
      <c r="Q37" s="639">
        <f t="shared" si="16"/>
      </c>
      <c r="R37" s="21">
        <f t="shared" si="28"/>
      </c>
      <c r="S37" s="302">
        <f t="shared" si="17"/>
        <v>3</v>
      </c>
      <c r="T37" s="640" t="str">
        <f t="shared" si="18"/>
        <v>--</v>
      </c>
      <c r="U37" s="641" t="str">
        <f t="shared" si="19"/>
        <v>--</v>
      </c>
      <c r="V37" s="304" t="str">
        <f t="shared" si="20"/>
        <v>--</v>
      </c>
      <c r="W37" s="305" t="str">
        <f t="shared" si="21"/>
        <v>--</v>
      </c>
      <c r="X37" s="308" t="str">
        <f t="shared" si="22"/>
        <v>--</v>
      </c>
      <c r="Y37" s="309" t="str">
        <f t="shared" si="23"/>
        <v>--</v>
      </c>
      <c r="Z37" s="310" t="str">
        <f t="shared" si="24"/>
        <v>--</v>
      </c>
      <c r="AA37" s="311" t="str">
        <f t="shared" si="25"/>
        <v>--</v>
      </c>
      <c r="AB37" s="21">
        <f t="shared" si="26"/>
      </c>
      <c r="AC37" s="532">
        <f t="shared" si="27"/>
      </c>
      <c r="AD37" s="478"/>
    </row>
    <row r="38" spans="1:30" s="466" customFormat="1" ht="16.5" customHeight="1">
      <c r="A38" s="465"/>
      <c r="B38" s="477"/>
      <c r="C38" s="560"/>
      <c r="D38" s="560"/>
      <c r="E38" s="560"/>
      <c r="F38" s="425"/>
      <c r="G38" s="424"/>
      <c r="H38" s="561"/>
      <c r="I38" s="562"/>
      <c r="J38" s="236">
        <f t="shared" si="12"/>
        <v>0</v>
      </c>
      <c r="K38" s="564"/>
      <c r="L38" s="564"/>
      <c r="M38" s="22">
        <f t="shared" si="13"/>
      </c>
      <c r="N38" s="23">
        <f t="shared" si="14"/>
      </c>
      <c r="O38" s="565"/>
      <c r="P38" s="21">
        <f t="shared" si="15"/>
      </c>
      <c r="Q38" s="639">
        <f t="shared" si="16"/>
      </c>
      <c r="R38" s="21">
        <f t="shared" si="28"/>
      </c>
      <c r="S38" s="302">
        <f t="shared" si="17"/>
        <v>3</v>
      </c>
      <c r="T38" s="640" t="str">
        <f t="shared" si="18"/>
        <v>--</v>
      </c>
      <c r="U38" s="641" t="str">
        <f t="shared" si="19"/>
        <v>--</v>
      </c>
      <c r="V38" s="304" t="str">
        <f t="shared" si="20"/>
        <v>--</v>
      </c>
      <c r="W38" s="305" t="str">
        <f t="shared" si="21"/>
        <v>--</v>
      </c>
      <c r="X38" s="308" t="str">
        <f t="shared" si="22"/>
        <v>--</v>
      </c>
      <c r="Y38" s="309" t="str">
        <f t="shared" si="23"/>
        <v>--</v>
      </c>
      <c r="Z38" s="310" t="str">
        <f t="shared" si="24"/>
        <v>--</v>
      </c>
      <c r="AA38" s="311" t="str">
        <f t="shared" si="25"/>
        <v>--</v>
      </c>
      <c r="AB38" s="21">
        <f t="shared" si="26"/>
      </c>
      <c r="AC38" s="532">
        <f t="shared" si="27"/>
      </c>
      <c r="AD38" s="478"/>
    </row>
    <row r="39" spans="1:30" s="466" customFormat="1" ht="16.5" customHeight="1">
      <c r="A39" s="465"/>
      <c r="B39" s="477"/>
      <c r="C39" s="560"/>
      <c r="D39" s="560"/>
      <c r="E39" s="560"/>
      <c r="F39" s="425"/>
      <c r="G39" s="424"/>
      <c r="H39" s="561"/>
      <c r="I39" s="562"/>
      <c r="J39" s="236">
        <f t="shared" si="12"/>
        <v>0</v>
      </c>
      <c r="K39" s="564"/>
      <c r="L39" s="564"/>
      <c r="M39" s="22">
        <f t="shared" si="13"/>
      </c>
      <c r="N39" s="23">
        <f t="shared" si="14"/>
      </c>
      <c r="O39" s="565"/>
      <c r="P39" s="21">
        <f t="shared" si="15"/>
      </c>
      <c r="Q39" s="639">
        <f t="shared" si="16"/>
      </c>
      <c r="R39" s="21">
        <f t="shared" si="28"/>
      </c>
      <c r="S39" s="302">
        <f t="shared" si="17"/>
        <v>3</v>
      </c>
      <c r="T39" s="640" t="str">
        <f t="shared" si="18"/>
        <v>--</v>
      </c>
      <c r="U39" s="641" t="str">
        <f t="shared" si="19"/>
        <v>--</v>
      </c>
      <c r="V39" s="304" t="str">
        <f t="shared" si="20"/>
        <v>--</v>
      </c>
      <c r="W39" s="305" t="str">
        <f t="shared" si="21"/>
        <v>--</v>
      </c>
      <c r="X39" s="308" t="str">
        <f t="shared" si="22"/>
        <v>--</v>
      </c>
      <c r="Y39" s="309" t="str">
        <f t="shared" si="23"/>
        <v>--</v>
      </c>
      <c r="Z39" s="310" t="str">
        <f t="shared" si="24"/>
        <v>--</v>
      </c>
      <c r="AA39" s="311" t="str">
        <f t="shared" si="25"/>
        <v>--</v>
      </c>
      <c r="AB39" s="21">
        <f t="shared" si="26"/>
      </c>
      <c r="AC39" s="532">
        <f t="shared" si="27"/>
      </c>
      <c r="AD39" s="478"/>
    </row>
    <row r="40" spans="1:30" s="466" customFormat="1" ht="16.5" customHeight="1">
      <c r="A40" s="465"/>
      <c r="B40" s="477"/>
      <c r="C40" s="560"/>
      <c r="D40" s="560"/>
      <c r="E40" s="560"/>
      <c r="F40" s="425"/>
      <c r="G40" s="424"/>
      <c r="H40" s="561"/>
      <c r="I40" s="562"/>
      <c r="J40" s="236">
        <f>H40*$I$18</f>
        <v>0</v>
      </c>
      <c r="K40" s="564"/>
      <c r="L40" s="564"/>
      <c r="M40" s="22">
        <f>IF(F40="","",(L40-K40)*24)</f>
      </c>
      <c r="N40" s="23">
        <f>IF(F40="","",ROUND((L40-K40)*24*60,0))</f>
      </c>
      <c r="O40" s="565"/>
      <c r="P40" s="21">
        <f t="shared" si="15"/>
      </c>
      <c r="Q40" s="639">
        <f t="shared" si="16"/>
      </c>
      <c r="R40" s="21">
        <f t="shared" si="28"/>
      </c>
      <c r="S40" s="302">
        <f>$I$19*IF(OR(O40="P",O40="RP"),0.1,1)*IF(R40="SI",1,0.1)</f>
        <v>3</v>
      </c>
      <c r="T40" s="640" t="str">
        <f>IF(O40="P",J40*S40*ROUND(N40/60,2),"--")</f>
        <v>--</v>
      </c>
      <c r="U40" s="641" t="str">
        <f>IF(O40="RP",J40*S40*ROUND(N40/60,2)*Q40/100,"--")</f>
        <v>--</v>
      </c>
      <c r="V40" s="304" t="str">
        <f>IF(AND(O40="F",P40="NO"),J40*S40,"--")</f>
        <v>--</v>
      </c>
      <c r="W40" s="305" t="str">
        <f>IF(O40="F",J40*S40*ROUND(N40/60,2),"--")</f>
        <v>--</v>
      </c>
      <c r="X40" s="308" t="str">
        <f>IF(AND(O40="R",P40="NO"),J40*S40*Q40/100,"--")</f>
        <v>--</v>
      </c>
      <c r="Y40" s="309" t="str">
        <f>IF(O40="R",J40*S40*ROUND(N40/60,2)*Q40/100,"--")</f>
        <v>--</v>
      </c>
      <c r="Z40" s="310" t="str">
        <f>IF(O40="RF",J40*S40*ROUND(N40/60,2),"--")</f>
        <v>--</v>
      </c>
      <c r="AA40" s="311" t="str">
        <f>IF(O40="RR",J40*S40*ROUND(N40/60,2)*Q40/100,"--")</f>
        <v>--</v>
      </c>
      <c r="AB40" s="21">
        <f>IF(F40="","","SI")</f>
      </c>
      <c r="AC40" s="532">
        <f>IF(F40="","",SUM(T40:AA40)*IF(AB40="SI",1,2))</f>
      </c>
      <c r="AD40" s="478"/>
    </row>
    <row r="41" spans="1:30" s="466" customFormat="1" ht="16.5" customHeight="1">
      <c r="A41" s="465"/>
      <c r="B41" s="477"/>
      <c r="C41" s="560"/>
      <c r="D41" s="560"/>
      <c r="E41" s="560"/>
      <c r="F41" s="425"/>
      <c r="G41" s="424"/>
      <c r="H41" s="561"/>
      <c r="I41" s="562"/>
      <c r="J41" s="236">
        <f>H41*$I$18</f>
        <v>0</v>
      </c>
      <c r="K41" s="564"/>
      <c r="L41" s="564"/>
      <c r="M41" s="22">
        <f>IF(F41="","",(L41-K41)*24)</f>
      </c>
      <c r="N41" s="23">
        <f>IF(F41="","",ROUND((L41-K41)*24*60,0))</f>
      </c>
      <c r="O41" s="565"/>
      <c r="P41" s="21">
        <f t="shared" si="15"/>
      </c>
      <c r="Q41" s="639">
        <f t="shared" si="16"/>
      </c>
      <c r="R41" s="21">
        <f t="shared" si="28"/>
      </c>
      <c r="S41" s="302">
        <f>$I$19*IF(OR(O41="P",O41="RP"),0.1,1)*IF(R41="SI",1,0.1)</f>
        <v>3</v>
      </c>
      <c r="T41" s="640" t="str">
        <f>IF(O41="P",J41*S41*ROUND(N41/60,2),"--")</f>
        <v>--</v>
      </c>
      <c r="U41" s="641" t="str">
        <f>IF(O41="RP",J41*S41*ROUND(N41/60,2)*Q41/100,"--")</f>
        <v>--</v>
      </c>
      <c r="V41" s="304" t="str">
        <f>IF(AND(O41="F",P41="NO"),J41*S41,"--")</f>
        <v>--</v>
      </c>
      <c r="W41" s="305" t="str">
        <f>IF(O41="F",J41*S41*ROUND(N41/60,2),"--")</f>
        <v>--</v>
      </c>
      <c r="X41" s="308" t="str">
        <f>IF(AND(O41="R",P41="NO"),J41*S41*Q41/100,"--")</f>
        <v>--</v>
      </c>
      <c r="Y41" s="309" t="str">
        <f>IF(O41="R",J41*S41*ROUND(N41/60,2)*Q41/100,"--")</f>
        <v>--</v>
      </c>
      <c r="Z41" s="310" t="str">
        <f>IF(O41="RF",J41*S41*ROUND(N41/60,2),"--")</f>
        <v>--</v>
      </c>
      <c r="AA41" s="311" t="str">
        <f>IF(O41="RR",J41*S41*ROUND(N41/60,2)*Q41/100,"--")</f>
        <v>--</v>
      </c>
      <c r="AB41" s="21">
        <f>IF(F41="","","SI")</f>
      </c>
      <c r="AC41" s="532">
        <f>IF(F41="","",SUM(T41:AA41)*IF(AB41="SI",1,2))</f>
      </c>
      <c r="AD41" s="478"/>
    </row>
    <row r="42" spans="1:30" s="466" customFormat="1" ht="16.5" customHeight="1">
      <c r="A42" s="465"/>
      <c r="B42" s="477"/>
      <c r="C42" s="560"/>
      <c r="D42" s="560"/>
      <c r="E42" s="560"/>
      <c r="F42" s="425"/>
      <c r="G42" s="424"/>
      <c r="H42" s="561"/>
      <c r="I42" s="562"/>
      <c r="J42" s="236">
        <f>H42*$I$18</f>
        <v>0</v>
      </c>
      <c r="K42" s="564"/>
      <c r="L42" s="564"/>
      <c r="M42" s="22">
        <f>IF(F42="","",(L42-K42)*24)</f>
      </c>
      <c r="N42" s="23">
        <f>IF(F42="","",ROUND((L42-K42)*24*60,0))</f>
      </c>
      <c r="O42" s="565"/>
      <c r="P42" s="21">
        <f t="shared" si="15"/>
      </c>
      <c r="Q42" s="639">
        <f t="shared" si="16"/>
      </c>
      <c r="R42" s="21">
        <f t="shared" si="28"/>
      </c>
      <c r="S42" s="302">
        <f>$I$19*IF(OR(O42="P",O42="RP"),0.1,1)*IF(R42="SI",1,0.1)</f>
        <v>3</v>
      </c>
      <c r="T42" s="640" t="str">
        <f>IF(O42="P",J42*S42*ROUND(N42/60,2),"--")</f>
        <v>--</v>
      </c>
      <c r="U42" s="641" t="str">
        <f>IF(O42="RP",J42*S42*ROUND(N42/60,2)*Q42/100,"--")</f>
        <v>--</v>
      </c>
      <c r="V42" s="304" t="str">
        <f>IF(AND(O42="F",P42="NO"),J42*S42,"--")</f>
        <v>--</v>
      </c>
      <c r="W42" s="305" t="str">
        <f>IF(O42="F",J42*S42*ROUND(N42/60,2),"--")</f>
        <v>--</v>
      </c>
      <c r="X42" s="308" t="str">
        <f>IF(AND(O42="R",P42="NO"),J42*S42*Q42/100,"--")</f>
        <v>--</v>
      </c>
      <c r="Y42" s="309" t="str">
        <f>IF(O42="R",J42*S42*ROUND(N42/60,2)*Q42/100,"--")</f>
        <v>--</v>
      </c>
      <c r="Z42" s="310" t="str">
        <f>IF(O42="RF",J42*S42*ROUND(N42/60,2),"--")</f>
        <v>--</v>
      </c>
      <c r="AA42" s="311" t="str">
        <f>IF(O42="RR",J42*S42*ROUND(N42/60,2)*Q42/100,"--")</f>
        <v>--</v>
      </c>
      <c r="AB42" s="21">
        <f>IF(F42="","","SI")</f>
      </c>
      <c r="AC42" s="532">
        <f>IF(F42="","",SUM(T42:AA42)*IF(AB42="SI",1,2))</f>
      </c>
      <c r="AD42" s="478"/>
    </row>
    <row r="43" spans="1:30" s="466" customFormat="1" ht="16.5" customHeight="1">
      <c r="A43" s="465"/>
      <c r="B43" s="477"/>
      <c r="C43" s="560"/>
      <c r="D43" s="560"/>
      <c r="E43" s="560"/>
      <c r="F43" s="425"/>
      <c r="G43" s="424"/>
      <c r="H43" s="561"/>
      <c r="I43" s="562"/>
      <c r="J43" s="236">
        <f>H43*$I$18</f>
        <v>0</v>
      </c>
      <c r="K43" s="564"/>
      <c r="L43" s="564"/>
      <c r="M43" s="22">
        <f>IF(F43="","",(L43-K43)*24)</f>
      </c>
      <c r="N43" s="23">
        <f>IF(F43="","",ROUND((L43-K43)*24*60,0))</f>
      </c>
      <c r="O43" s="565"/>
      <c r="P43" s="21">
        <f t="shared" si="15"/>
      </c>
      <c r="Q43" s="639">
        <f t="shared" si="16"/>
      </c>
      <c r="R43" s="21">
        <f t="shared" si="28"/>
      </c>
      <c r="S43" s="302">
        <f>$I$19*IF(OR(O43="P",O43="RP"),0.1,1)*IF(R43="SI",1,0.1)</f>
        <v>3</v>
      </c>
      <c r="T43" s="640" t="str">
        <f>IF(O43="P",J43*S43*ROUND(N43/60,2),"--")</f>
        <v>--</v>
      </c>
      <c r="U43" s="641" t="str">
        <f>IF(O43="RP",J43*S43*ROUND(N43/60,2)*Q43/100,"--")</f>
        <v>--</v>
      </c>
      <c r="V43" s="304" t="str">
        <f>IF(AND(O43="F",P43="NO"),J43*S43,"--")</f>
        <v>--</v>
      </c>
      <c r="W43" s="305" t="str">
        <f>IF(O43="F",J43*S43*ROUND(N43/60,2),"--")</f>
        <v>--</v>
      </c>
      <c r="X43" s="308" t="str">
        <f>IF(AND(O43="R",P43="NO"),J43*S43*Q43/100,"--")</f>
        <v>--</v>
      </c>
      <c r="Y43" s="309" t="str">
        <f>IF(O43="R",J43*S43*ROUND(N43/60,2)*Q43/100,"--")</f>
        <v>--</v>
      </c>
      <c r="Z43" s="310" t="str">
        <f>IF(O43="RF",J43*S43*ROUND(N43/60,2),"--")</f>
        <v>--</v>
      </c>
      <c r="AA43" s="311" t="str">
        <f>IF(O43="RR",J43*S43*ROUND(N43/60,2)*Q43/100,"--")</f>
        <v>--</v>
      </c>
      <c r="AB43" s="21">
        <f>IF(F43="","","SI")</f>
      </c>
      <c r="AC43" s="532">
        <f>IF(F43="","",SUM(T43:AA43)*IF(AB43="SI",1,2))</f>
      </c>
      <c r="AD43" s="478"/>
    </row>
    <row r="44" spans="1:30" s="466" customFormat="1" ht="16.5" customHeight="1" thickBot="1">
      <c r="A44" s="465"/>
      <c r="B44" s="477"/>
      <c r="C44" s="563"/>
      <c r="D44" s="563"/>
      <c r="E44" s="563"/>
      <c r="F44" s="563"/>
      <c r="G44" s="563"/>
      <c r="H44" s="563"/>
      <c r="I44" s="563"/>
      <c r="J44" s="535"/>
      <c r="K44" s="563"/>
      <c r="L44" s="563"/>
      <c r="M44" s="534"/>
      <c r="N44" s="534"/>
      <c r="O44" s="563"/>
      <c r="P44" s="563"/>
      <c r="Q44" s="563"/>
      <c r="R44" s="563"/>
      <c r="S44" s="566"/>
      <c r="T44" s="567"/>
      <c r="U44" s="568"/>
      <c r="V44" s="569"/>
      <c r="W44" s="570"/>
      <c r="X44" s="571"/>
      <c r="Y44" s="572"/>
      <c r="Z44" s="573"/>
      <c r="AA44" s="574"/>
      <c r="AB44" s="563"/>
      <c r="AC44" s="536"/>
      <c r="AD44" s="478"/>
    </row>
    <row r="45" spans="1:30" s="466" customFormat="1" ht="16.5" customHeight="1" thickBot="1" thickTop="1">
      <c r="A45" s="465"/>
      <c r="B45" s="477"/>
      <c r="C45" s="537" t="s">
        <v>66</v>
      </c>
      <c r="D45" s="655" t="s">
        <v>174</v>
      </c>
      <c r="E45" s="216"/>
      <c r="F45" s="211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538">
        <f aca="true" t="shared" si="29" ref="T45:AA45">SUM(T22:T44)</f>
        <v>41.10480000000001</v>
      </c>
      <c r="U45" s="539">
        <f t="shared" si="29"/>
        <v>0</v>
      </c>
      <c r="V45" s="540">
        <f t="shared" si="29"/>
        <v>17.82</v>
      </c>
      <c r="W45" s="540">
        <f t="shared" si="29"/>
        <v>3.9204</v>
      </c>
      <c r="X45" s="541">
        <f t="shared" si="29"/>
        <v>0</v>
      </c>
      <c r="Y45" s="541">
        <f t="shared" si="29"/>
        <v>0</v>
      </c>
      <c r="Z45" s="542">
        <f t="shared" si="29"/>
        <v>0</v>
      </c>
      <c r="AA45" s="543">
        <f t="shared" si="29"/>
        <v>0</v>
      </c>
      <c r="AB45" s="544"/>
      <c r="AC45" s="545">
        <f>ROUND(SUM(AC22:AC44),2)</f>
        <v>62.85</v>
      </c>
      <c r="AD45" s="478"/>
    </row>
    <row r="46" spans="1:30" s="553" customFormat="1" ht="9.75" thickTop="1">
      <c r="A46" s="546"/>
      <c r="B46" s="547"/>
      <c r="C46" s="548"/>
      <c r="D46" s="548"/>
      <c r="E46" s="548"/>
      <c r="F46" s="213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50"/>
      <c r="U46" s="550"/>
      <c r="V46" s="550"/>
      <c r="W46" s="550"/>
      <c r="X46" s="550"/>
      <c r="Y46" s="550"/>
      <c r="Z46" s="550"/>
      <c r="AA46" s="550"/>
      <c r="AB46" s="549"/>
      <c r="AC46" s="551"/>
      <c r="AD46" s="552"/>
    </row>
    <row r="47" spans="1:30" s="466" customFormat="1" ht="16.5" customHeight="1" thickBot="1">
      <c r="A47" s="465"/>
      <c r="B47" s="554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6"/>
    </row>
    <row r="48" spans="2:30" ht="16.5" customHeight="1" thickTop="1"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1" customFormat="1" ht="26.25">
      <c r="W1" s="336"/>
    </row>
    <row r="2" spans="2:23" s="101" customFormat="1" ht="26.25">
      <c r="B2" s="102" t="str">
        <f>+'TOT-0614'!B2</f>
        <v>ANEXO VI al Memorándum  D.T.E.E.  N°  223 /2016         .-</v>
      </c>
      <c r="C2" s="103"/>
      <c r="D2" s="103"/>
      <c r="E2" s="103"/>
      <c r="F2" s="103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="9" customFormat="1" ht="12.75"/>
    <row r="4" spans="1:4" s="104" customFormat="1" ht="11.25">
      <c r="A4" s="625" t="s">
        <v>21</v>
      </c>
      <c r="C4" s="624"/>
      <c r="D4" s="624"/>
    </row>
    <row r="5" spans="1:4" s="104" customFormat="1" ht="11.25">
      <c r="A5" s="625" t="s">
        <v>147</v>
      </c>
      <c r="C5" s="624"/>
      <c r="D5" s="624"/>
    </row>
    <row r="6" s="9" customFormat="1" ht="13.5" thickBot="1"/>
    <row r="7" spans="2:23" s="9" customFormat="1" ht="13.5" thickTop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s="106" customFormat="1" ht="20.25">
      <c r="B8" s="105"/>
      <c r="C8" s="40"/>
      <c r="D8" s="40"/>
      <c r="E8" s="40"/>
      <c r="F8" s="19" t="s">
        <v>42</v>
      </c>
      <c r="P8" s="40"/>
      <c r="Q8" s="40"/>
      <c r="R8" s="40"/>
      <c r="S8" s="40"/>
      <c r="T8" s="40"/>
      <c r="U8" s="40"/>
      <c r="V8" s="40"/>
      <c r="W8" s="107"/>
    </row>
    <row r="9" spans="2:23" s="9" customFormat="1" ht="12.75">
      <c r="B9" s="39"/>
      <c r="C9" s="7"/>
      <c r="D9" s="7"/>
      <c r="E9" s="7"/>
      <c r="F9" s="7"/>
      <c r="G9" s="7"/>
      <c r="H9" s="7"/>
      <c r="I9" s="115"/>
      <c r="J9" s="115"/>
      <c r="K9" s="115"/>
      <c r="L9" s="115"/>
      <c r="M9" s="115"/>
      <c r="P9" s="7"/>
      <c r="Q9" s="7"/>
      <c r="R9" s="7"/>
      <c r="S9" s="7"/>
      <c r="T9" s="7"/>
      <c r="U9" s="7"/>
      <c r="V9" s="7"/>
      <c r="W9" s="10"/>
    </row>
    <row r="10" spans="2:23" s="106" customFormat="1" ht="20.25">
      <c r="B10" s="105"/>
      <c r="C10" s="40"/>
      <c r="D10" s="40"/>
      <c r="E10" s="40"/>
      <c r="F10" s="19" t="s">
        <v>171</v>
      </c>
      <c r="G10" s="19"/>
      <c r="H10" s="40"/>
      <c r="I10" s="19"/>
      <c r="J10" s="19"/>
      <c r="K10" s="19"/>
      <c r="L10" s="19"/>
      <c r="M10" s="19"/>
      <c r="P10" s="40"/>
      <c r="Q10" s="40"/>
      <c r="R10" s="40"/>
      <c r="S10" s="40"/>
      <c r="T10" s="40"/>
      <c r="U10" s="40"/>
      <c r="V10" s="40"/>
      <c r="W10" s="107"/>
    </row>
    <row r="11" spans="2:23" s="9" customFormat="1" ht="12.75">
      <c r="B11" s="39"/>
      <c r="C11" s="7"/>
      <c r="D11" s="7"/>
      <c r="E11" s="7"/>
      <c r="F11" s="117"/>
      <c r="G11" s="115"/>
      <c r="H11" s="7"/>
      <c r="I11" s="115"/>
      <c r="J11" s="115"/>
      <c r="K11" s="115"/>
      <c r="L11" s="115"/>
      <c r="M11" s="115"/>
      <c r="P11" s="7"/>
      <c r="Q11" s="7"/>
      <c r="R11" s="7"/>
      <c r="S11" s="7"/>
      <c r="T11" s="7"/>
      <c r="U11" s="7"/>
      <c r="V11" s="7"/>
      <c r="W11" s="10"/>
    </row>
    <row r="12" spans="2:23" s="113" customFormat="1" ht="19.5">
      <c r="B12" s="79" t="str">
        <f>+'TOT-0614'!B14</f>
        <v>Desde el 01 al 30 de junio de 2014</v>
      </c>
      <c r="C12" s="109"/>
      <c r="D12" s="109"/>
      <c r="E12" s="109"/>
      <c r="F12" s="109"/>
      <c r="G12" s="109"/>
      <c r="H12" s="78"/>
      <c r="I12" s="109"/>
      <c r="J12" s="110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2"/>
    </row>
    <row r="13" spans="2:23" s="113" customFormat="1" ht="7.5" customHeight="1">
      <c r="B13" s="79"/>
      <c r="C13" s="109"/>
      <c r="D13" s="109"/>
      <c r="E13" s="109"/>
      <c r="F13" s="109"/>
      <c r="G13" s="109"/>
      <c r="H13" s="78"/>
      <c r="I13" s="109"/>
      <c r="J13" s="110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2"/>
    </row>
    <row r="14" spans="2:23" s="9" customFormat="1" ht="7.5" customHeight="1" thickBot="1">
      <c r="B14" s="39"/>
      <c r="C14" s="7"/>
      <c r="D14" s="7"/>
      <c r="E14" s="7"/>
      <c r="I14" s="114"/>
      <c r="K14" s="7"/>
      <c r="L14" s="7"/>
      <c r="M14" s="7"/>
      <c r="N14" s="114"/>
      <c r="O14" s="114"/>
      <c r="P14" s="114"/>
      <c r="Q14" s="7"/>
      <c r="R14" s="7"/>
      <c r="S14" s="7"/>
      <c r="T14" s="7"/>
      <c r="U14" s="7"/>
      <c r="V14" s="7"/>
      <c r="W14" s="10"/>
    </row>
    <row r="15" spans="2:23" s="9" customFormat="1" ht="16.5" customHeight="1" thickBot="1" thickTop="1">
      <c r="B15" s="39"/>
      <c r="C15" s="7"/>
      <c r="D15" s="7"/>
      <c r="E15" s="7"/>
      <c r="F15" s="190" t="s">
        <v>83</v>
      </c>
      <c r="G15" s="191" t="s">
        <v>176</v>
      </c>
      <c r="H15" s="85">
        <f>60*'TOT-0614'!B13</f>
        <v>60</v>
      </c>
      <c r="I15" s="114"/>
      <c r="J15" s="206" t="str">
        <f>IF(H15=60," ",IF(H15=120,"Coeficiente duplicado por tasa de falla &gt;4 Sal. x año/100 km.","REVISAR COEFICIENTE"))</f>
        <v> </v>
      </c>
      <c r="K15" s="7"/>
      <c r="L15" s="7"/>
      <c r="M15" s="7"/>
      <c r="N15" s="114"/>
      <c r="O15" s="114"/>
      <c r="P15" s="114"/>
      <c r="Q15" s="7"/>
      <c r="R15" s="7"/>
      <c r="S15" s="7"/>
      <c r="T15" s="7"/>
      <c r="U15" s="7"/>
      <c r="V15" s="7"/>
      <c r="W15" s="10"/>
    </row>
    <row r="16" spans="2:23" s="9" customFormat="1" ht="16.5" customHeight="1" thickBot="1" thickTop="1">
      <c r="B16" s="39"/>
      <c r="C16" s="7"/>
      <c r="D16" s="7"/>
      <c r="E16" s="7"/>
      <c r="F16" s="190" t="s">
        <v>84</v>
      </c>
      <c r="G16" s="191">
        <v>3.243</v>
      </c>
      <c r="H16" s="85">
        <f>50*'TOT-0614'!B13</f>
        <v>50</v>
      </c>
      <c r="J16" s="206" t="str">
        <f>IF(H16=50," ",IF(H16=100,"Coeficiente duplicado por tasa de falla &gt;4 Sal. x año/100 km.","REVISAR COEFICIENTE"))</f>
        <v> </v>
      </c>
      <c r="Q16" s="240"/>
      <c r="S16" s="7"/>
      <c r="T16" s="7"/>
      <c r="U16" s="7"/>
      <c r="V16" s="187"/>
      <c r="W16" s="10"/>
    </row>
    <row r="17" spans="2:23" s="9" customFormat="1" ht="16.5" customHeight="1" thickBot="1" thickTop="1">
      <c r="B17" s="39"/>
      <c r="C17" s="7"/>
      <c r="D17" s="7"/>
      <c r="E17" s="7"/>
      <c r="F17" s="192" t="s">
        <v>85</v>
      </c>
      <c r="G17" s="193">
        <v>2.433</v>
      </c>
      <c r="H17" s="194">
        <f>25*'TOT-0614'!B13</f>
        <v>25</v>
      </c>
      <c r="J17" s="206" t="str">
        <f>IF(H17=25," ",IF(H17=50,"Coeficiente duplicado por tasa de falla &gt;4 Sal. x año/100 km.","REVISAR COEFICIENTE"))</f>
        <v> </v>
      </c>
      <c r="K17" s="159"/>
      <c r="L17" s="159"/>
      <c r="M17" s="7"/>
      <c r="P17" s="188"/>
      <c r="Q17" s="189"/>
      <c r="R17" s="31"/>
      <c r="S17" s="7"/>
      <c r="T17" s="7"/>
      <c r="U17" s="7"/>
      <c r="V17" s="187"/>
      <c r="W17" s="10"/>
    </row>
    <row r="18" spans="2:23" s="9" customFormat="1" ht="16.5" customHeight="1" thickBot="1" thickTop="1">
      <c r="B18" s="39"/>
      <c r="C18" s="7"/>
      <c r="D18" s="7"/>
      <c r="E18" s="7"/>
      <c r="F18" s="195" t="s">
        <v>86</v>
      </c>
      <c r="G18" s="193">
        <v>2.433</v>
      </c>
      <c r="H18" s="196">
        <f>20*'TOT-0614'!B13</f>
        <v>20</v>
      </c>
      <c r="J18" s="206" t="str">
        <f>IF(H18=20," ",IF(H18=40,"Coeficiente duplicado por tasa de falla &gt;4 Sal. x año/100 km.","REVISAR COEFICIENTE"))</f>
        <v> </v>
      </c>
      <c r="K18" s="159"/>
      <c r="L18" s="159"/>
      <c r="M18" s="7"/>
      <c r="P18" s="188"/>
      <c r="Q18" s="189"/>
      <c r="R18" s="31"/>
      <c r="S18" s="7"/>
      <c r="T18" s="7"/>
      <c r="U18" s="7"/>
      <c r="V18" s="187"/>
      <c r="W18" s="10"/>
    </row>
    <row r="19" spans="2:23" s="9" customFormat="1" ht="7.5" customHeight="1" thickTop="1">
      <c r="B19" s="39"/>
      <c r="C19" s="7"/>
      <c r="D19" s="7"/>
      <c r="E19" s="7"/>
      <c r="F19" s="90"/>
      <c r="G19" s="617"/>
      <c r="H19" s="618"/>
      <c r="J19" s="206"/>
      <c r="K19" s="159"/>
      <c r="L19" s="159"/>
      <c r="M19" s="7"/>
      <c r="P19" s="188"/>
      <c r="Q19" s="189"/>
      <c r="R19" s="31"/>
      <c r="S19" s="7"/>
      <c r="T19" s="7"/>
      <c r="U19" s="7"/>
      <c r="V19" s="187"/>
      <c r="W19" s="10"/>
    </row>
    <row r="20" spans="2:23" s="648" customFormat="1" ht="15" customHeight="1" thickBot="1">
      <c r="B20" s="645"/>
      <c r="C20" s="644">
        <v>3</v>
      </c>
      <c r="D20" s="644">
        <v>4</v>
      </c>
      <c r="E20" s="644">
        <v>5</v>
      </c>
      <c r="F20" s="644">
        <v>6</v>
      </c>
      <c r="G20" s="644">
        <v>7</v>
      </c>
      <c r="H20" s="644">
        <v>8</v>
      </c>
      <c r="I20" s="644">
        <v>9</v>
      </c>
      <c r="J20" s="644">
        <v>10</v>
      </c>
      <c r="K20" s="644">
        <v>11</v>
      </c>
      <c r="L20" s="644">
        <v>12</v>
      </c>
      <c r="M20" s="644">
        <v>13</v>
      </c>
      <c r="N20" s="644">
        <v>14</v>
      </c>
      <c r="O20" s="644">
        <v>15</v>
      </c>
      <c r="P20" s="644">
        <v>16</v>
      </c>
      <c r="Q20" s="644">
        <v>17</v>
      </c>
      <c r="R20" s="644">
        <v>18</v>
      </c>
      <c r="S20" s="644">
        <v>19</v>
      </c>
      <c r="T20" s="644">
        <v>20</v>
      </c>
      <c r="U20" s="644">
        <v>21</v>
      </c>
      <c r="V20" s="644">
        <v>22</v>
      </c>
      <c r="W20" s="647"/>
    </row>
    <row r="21" spans="2:23" s="9" customFormat="1" ht="33.75" customHeight="1" thickBot="1" thickTop="1">
      <c r="B21" s="39"/>
      <c r="C21" s="185" t="s">
        <v>48</v>
      </c>
      <c r="D21" s="93" t="s">
        <v>146</v>
      </c>
      <c r="E21" s="93" t="s">
        <v>145</v>
      </c>
      <c r="F21" s="183" t="s">
        <v>72</v>
      </c>
      <c r="G21" s="197" t="s">
        <v>19</v>
      </c>
      <c r="H21" s="200" t="s">
        <v>49</v>
      </c>
      <c r="I21" s="233" t="s">
        <v>51</v>
      </c>
      <c r="J21" s="179" t="s">
        <v>52</v>
      </c>
      <c r="K21" s="197" t="s">
        <v>53</v>
      </c>
      <c r="L21" s="199" t="s">
        <v>76</v>
      </c>
      <c r="M21" s="199" t="s">
        <v>77</v>
      </c>
      <c r="N21" s="97" t="s">
        <v>56</v>
      </c>
      <c r="O21" s="184" t="s">
        <v>78</v>
      </c>
      <c r="P21" s="313" t="s">
        <v>87</v>
      </c>
      <c r="Q21" s="286" t="s">
        <v>58</v>
      </c>
      <c r="R21" s="306" t="s">
        <v>82</v>
      </c>
      <c r="S21" s="307"/>
      <c r="T21" s="323" t="s">
        <v>62</v>
      </c>
      <c r="U21" s="181" t="s">
        <v>64</v>
      </c>
      <c r="V21" s="181" t="s">
        <v>65</v>
      </c>
      <c r="W21" s="33"/>
    </row>
    <row r="22" spans="2:23" s="9" customFormat="1" ht="16.5" customHeight="1" thickTop="1">
      <c r="B22" s="39"/>
      <c r="C22" s="18"/>
      <c r="D22" s="17"/>
      <c r="E22" s="17"/>
      <c r="F22" s="27"/>
      <c r="G22" s="27"/>
      <c r="H22" s="11"/>
      <c r="I22" s="239"/>
      <c r="J22" s="28"/>
      <c r="K22" s="29"/>
      <c r="L22" s="30"/>
      <c r="M22" s="57"/>
      <c r="N22" s="315"/>
      <c r="O22" s="315"/>
      <c r="P22" s="316"/>
      <c r="Q22" s="318"/>
      <c r="R22" s="320"/>
      <c r="S22" s="321"/>
      <c r="T22" s="324"/>
      <c r="U22" s="322"/>
      <c r="V22" s="317"/>
      <c r="W22" s="33"/>
    </row>
    <row r="23" spans="2:23" s="9" customFormat="1" ht="16.5" customHeight="1">
      <c r="B23" s="39"/>
      <c r="C23" s="18"/>
      <c r="D23" s="17"/>
      <c r="E23" s="17"/>
      <c r="F23" s="27"/>
      <c r="G23" s="27"/>
      <c r="H23" s="11"/>
      <c r="I23" s="239"/>
      <c r="J23" s="28"/>
      <c r="K23" s="29"/>
      <c r="L23" s="30"/>
      <c r="M23" s="57"/>
      <c r="N23" s="24"/>
      <c r="O23" s="24"/>
      <c r="P23" s="314"/>
      <c r="Q23" s="319"/>
      <c r="R23" s="308"/>
      <c r="S23" s="309"/>
      <c r="T23" s="325"/>
      <c r="U23" s="21"/>
      <c r="V23" s="198"/>
      <c r="W23" s="33"/>
    </row>
    <row r="24" spans="2:23" s="9" customFormat="1" ht="16.5" customHeight="1">
      <c r="B24" s="39"/>
      <c r="C24" s="575">
        <v>7</v>
      </c>
      <c r="D24" s="560">
        <v>276419</v>
      </c>
      <c r="E24" s="560">
        <v>1760</v>
      </c>
      <c r="F24" s="576" t="s">
        <v>164</v>
      </c>
      <c r="G24" s="576" t="s">
        <v>165</v>
      </c>
      <c r="H24" s="582">
        <v>132</v>
      </c>
      <c r="I24" s="239">
        <f aca="true" t="shared" si="0" ref="I24:I43">IF(H24=330,$G$15,IF(AND(H24&lt;=132,H24&gt;=66),$G$16,IF(AND(H24&lt;66,H24&gt;=33),$G$17,$G$18)))</f>
        <v>3.243</v>
      </c>
      <c r="J24" s="577">
        <v>41813.96319444444</v>
      </c>
      <c r="K24" s="578">
        <v>41814.00069444445</v>
      </c>
      <c r="L24" s="30">
        <f aca="true" t="shared" si="1" ref="L24:L43">IF(F24="","",(K24-J24)*24)</f>
        <v>0.9000000001396984</v>
      </c>
      <c r="M24" s="57">
        <f aca="true" t="shared" si="2" ref="M24:M43">IF(F24="","",ROUND((K24-J24)*24*60,0))</f>
        <v>54</v>
      </c>
      <c r="N24" s="579" t="s">
        <v>155</v>
      </c>
      <c r="O24" s="24" t="str">
        <f aca="true" t="shared" si="3" ref="O24:O43">IF(F24="","",IF(N24="P","--","NO"))</f>
        <v>NO</v>
      </c>
      <c r="P24" s="314">
        <f aca="true" t="shared" si="4" ref="P24:P43">IF(H24=330,$H$15,IF(AND(H24&lt;=132,H24&gt;=66),$H$16,IF(AND(H24&lt;66,H24&gt;13.2),$H$17,$H$18)))</f>
        <v>50</v>
      </c>
      <c r="Q24" s="642" t="str">
        <f aca="true" t="shared" si="5" ref="Q24:Q43">IF(N24="P",I24*P24*ROUND(M24/60,2)*0.1,"--")</f>
        <v>--</v>
      </c>
      <c r="R24" s="308">
        <f aca="true" t="shared" si="6" ref="R24:R43">IF(AND(N24="F",O24="NO"),I24*P24,"--")</f>
        <v>162.15</v>
      </c>
      <c r="S24" s="309">
        <f aca="true" t="shared" si="7" ref="S24:S43">IF(N24="F",I24*P24*ROUND(M24/60,2),"--")</f>
        <v>145.935</v>
      </c>
      <c r="T24" s="325" t="str">
        <f>IF(N24="RF",I24*P24*ROUND(M24/60,2),"--")</f>
        <v>--</v>
      </c>
      <c r="U24" s="21" t="str">
        <f aca="true" t="shared" si="8" ref="U24:U43">IF(F24="","","SI")</f>
        <v>SI</v>
      </c>
      <c r="V24" s="58">
        <f aca="true" t="shared" si="9" ref="V24:V43">IF(F24="","",SUM(Q24:T24)*IF(U24="SI",1,2)*IF(H24="500/220",0,1))</f>
        <v>308.08500000000004</v>
      </c>
      <c r="W24" s="33"/>
    </row>
    <row r="25" spans="2:23" s="9" customFormat="1" ht="16.5" customHeight="1">
      <c r="B25" s="39"/>
      <c r="C25" s="575"/>
      <c r="D25" s="560"/>
      <c r="E25" s="560"/>
      <c r="F25" s="576"/>
      <c r="G25" s="576"/>
      <c r="H25" s="582"/>
      <c r="I25" s="239">
        <f t="shared" si="0"/>
        <v>2.433</v>
      </c>
      <c r="J25" s="577"/>
      <c r="K25" s="578"/>
      <c r="L25" s="30">
        <f t="shared" si="1"/>
      </c>
      <c r="M25" s="57">
        <f t="shared" si="2"/>
      </c>
      <c r="N25" s="579"/>
      <c r="O25" s="24">
        <f t="shared" si="3"/>
      </c>
      <c r="P25" s="314">
        <f t="shared" si="4"/>
        <v>20</v>
      </c>
      <c r="Q25" s="642" t="str">
        <f t="shared" si="5"/>
        <v>--</v>
      </c>
      <c r="R25" s="308" t="str">
        <f t="shared" si="6"/>
        <v>--</v>
      </c>
      <c r="S25" s="309" t="str">
        <f t="shared" si="7"/>
        <v>--</v>
      </c>
      <c r="T25" s="325" t="str">
        <f aca="true" t="shared" si="10" ref="T25:T40">IF(N25="RF",I25*P25*ROUND(M25/60,2),"--")</f>
        <v>--</v>
      </c>
      <c r="U25" s="21">
        <f t="shared" si="8"/>
      </c>
      <c r="V25" s="58">
        <f t="shared" si="9"/>
      </c>
      <c r="W25" s="33"/>
    </row>
    <row r="26" spans="2:23" s="9" customFormat="1" ht="16.5" customHeight="1">
      <c r="B26" s="39"/>
      <c r="C26" s="575"/>
      <c r="D26" s="560"/>
      <c r="E26" s="560"/>
      <c r="F26" s="576"/>
      <c r="G26" s="576"/>
      <c r="H26" s="582"/>
      <c r="I26" s="239">
        <f t="shared" si="0"/>
        <v>2.433</v>
      </c>
      <c r="J26" s="577"/>
      <c r="K26" s="578"/>
      <c r="L26" s="30">
        <f t="shared" si="1"/>
      </c>
      <c r="M26" s="57">
        <f t="shared" si="2"/>
      </c>
      <c r="N26" s="579"/>
      <c r="O26" s="24">
        <f t="shared" si="3"/>
      </c>
      <c r="P26" s="314">
        <f t="shared" si="4"/>
        <v>20</v>
      </c>
      <c r="Q26" s="642" t="str">
        <f t="shared" si="5"/>
        <v>--</v>
      </c>
      <c r="R26" s="308" t="str">
        <f t="shared" si="6"/>
        <v>--</v>
      </c>
      <c r="S26" s="309" t="str">
        <f t="shared" si="7"/>
        <v>--</v>
      </c>
      <c r="T26" s="325" t="str">
        <f t="shared" si="10"/>
        <v>--</v>
      </c>
      <c r="U26" s="21">
        <f t="shared" si="8"/>
      </c>
      <c r="V26" s="58">
        <f t="shared" si="9"/>
      </c>
      <c r="W26" s="33"/>
    </row>
    <row r="27" spans="2:23" s="9" customFormat="1" ht="16.5" customHeight="1">
      <c r="B27" s="39"/>
      <c r="C27" s="575"/>
      <c r="D27" s="560"/>
      <c r="E27" s="560"/>
      <c r="F27" s="576"/>
      <c r="G27" s="576"/>
      <c r="H27" s="582"/>
      <c r="I27" s="239">
        <f t="shared" si="0"/>
        <v>2.433</v>
      </c>
      <c r="J27" s="577"/>
      <c r="K27" s="578"/>
      <c r="L27" s="30">
        <f t="shared" si="1"/>
      </c>
      <c r="M27" s="57">
        <f t="shared" si="2"/>
      </c>
      <c r="N27" s="579"/>
      <c r="O27" s="24">
        <f t="shared" si="3"/>
      </c>
      <c r="P27" s="314">
        <f t="shared" si="4"/>
        <v>20</v>
      </c>
      <c r="Q27" s="642" t="str">
        <f t="shared" si="5"/>
        <v>--</v>
      </c>
      <c r="R27" s="308" t="str">
        <f t="shared" si="6"/>
        <v>--</v>
      </c>
      <c r="S27" s="309" t="str">
        <f t="shared" si="7"/>
        <v>--</v>
      </c>
      <c r="T27" s="325" t="str">
        <f t="shared" si="10"/>
        <v>--</v>
      </c>
      <c r="U27" s="21">
        <f t="shared" si="8"/>
      </c>
      <c r="V27" s="58">
        <f t="shared" si="9"/>
      </c>
      <c r="W27" s="33"/>
    </row>
    <row r="28" spans="2:23" s="9" customFormat="1" ht="16.5" customHeight="1">
      <c r="B28" s="39"/>
      <c r="C28" s="575"/>
      <c r="D28" s="560"/>
      <c r="E28" s="560"/>
      <c r="F28" s="576"/>
      <c r="G28" s="576"/>
      <c r="H28" s="582"/>
      <c r="I28" s="239">
        <f t="shared" si="0"/>
        <v>2.433</v>
      </c>
      <c r="J28" s="577"/>
      <c r="K28" s="578"/>
      <c r="L28" s="30">
        <f t="shared" si="1"/>
      </c>
      <c r="M28" s="57">
        <f t="shared" si="2"/>
      </c>
      <c r="N28" s="579"/>
      <c r="O28" s="24">
        <f t="shared" si="3"/>
      </c>
      <c r="P28" s="314">
        <f t="shared" si="4"/>
        <v>20</v>
      </c>
      <c r="Q28" s="642" t="str">
        <f t="shared" si="5"/>
        <v>--</v>
      </c>
      <c r="R28" s="308" t="str">
        <f t="shared" si="6"/>
        <v>--</v>
      </c>
      <c r="S28" s="309" t="str">
        <f t="shared" si="7"/>
        <v>--</v>
      </c>
      <c r="T28" s="325" t="str">
        <f t="shared" si="10"/>
        <v>--</v>
      </c>
      <c r="U28" s="21">
        <f t="shared" si="8"/>
      </c>
      <c r="V28" s="58">
        <f t="shared" si="9"/>
      </c>
      <c r="W28" s="33"/>
    </row>
    <row r="29" spans="2:23" s="9" customFormat="1" ht="16.5" customHeight="1">
      <c r="B29" s="39"/>
      <c r="C29" s="575"/>
      <c r="D29" s="560"/>
      <c r="E29" s="560"/>
      <c r="F29" s="576"/>
      <c r="G29" s="576"/>
      <c r="H29" s="582"/>
      <c r="I29" s="239">
        <f t="shared" si="0"/>
        <v>2.433</v>
      </c>
      <c r="J29" s="577"/>
      <c r="K29" s="578"/>
      <c r="L29" s="30">
        <f t="shared" si="1"/>
      </c>
      <c r="M29" s="57">
        <f t="shared" si="2"/>
      </c>
      <c r="N29" s="579"/>
      <c r="O29" s="24">
        <f t="shared" si="3"/>
      </c>
      <c r="P29" s="314">
        <f t="shared" si="4"/>
        <v>20</v>
      </c>
      <c r="Q29" s="642" t="str">
        <f t="shared" si="5"/>
        <v>--</v>
      </c>
      <c r="R29" s="308" t="str">
        <f t="shared" si="6"/>
        <v>--</v>
      </c>
      <c r="S29" s="309" t="str">
        <f t="shared" si="7"/>
        <v>--</v>
      </c>
      <c r="T29" s="325" t="str">
        <f t="shared" si="10"/>
        <v>--</v>
      </c>
      <c r="U29" s="21">
        <f t="shared" si="8"/>
      </c>
      <c r="V29" s="58">
        <f t="shared" si="9"/>
      </c>
      <c r="W29" s="33"/>
    </row>
    <row r="30" spans="2:23" s="9" customFormat="1" ht="16.5" customHeight="1">
      <c r="B30" s="39"/>
      <c r="C30" s="575"/>
      <c r="D30" s="560"/>
      <c r="E30" s="560"/>
      <c r="F30" s="576"/>
      <c r="G30" s="576"/>
      <c r="H30" s="582"/>
      <c r="I30" s="239">
        <f t="shared" si="0"/>
        <v>2.433</v>
      </c>
      <c r="J30" s="577"/>
      <c r="K30" s="578"/>
      <c r="L30" s="30">
        <f t="shared" si="1"/>
      </c>
      <c r="M30" s="57">
        <f t="shared" si="2"/>
      </c>
      <c r="N30" s="579"/>
      <c r="O30" s="24">
        <f t="shared" si="3"/>
      </c>
      <c r="P30" s="314">
        <f t="shared" si="4"/>
        <v>20</v>
      </c>
      <c r="Q30" s="642" t="str">
        <f t="shared" si="5"/>
        <v>--</v>
      </c>
      <c r="R30" s="308" t="str">
        <f t="shared" si="6"/>
        <v>--</v>
      </c>
      <c r="S30" s="309" t="str">
        <f t="shared" si="7"/>
        <v>--</v>
      </c>
      <c r="T30" s="325" t="str">
        <f t="shared" si="10"/>
        <v>--</v>
      </c>
      <c r="U30" s="21">
        <f t="shared" si="8"/>
      </c>
      <c r="V30" s="58">
        <f t="shared" si="9"/>
      </c>
      <c r="W30" s="33"/>
    </row>
    <row r="31" spans="2:23" s="9" customFormat="1" ht="16.5" customHeight="1">
      <c r="B31" s="39"/>
      <c r="C31" s="575"/>
      <c r="D31" s="560"/>
      <c r="E31" s="560"/>
      <c r="F31" s="576"/>
      <c r="G31" s="576"/>
      <c r="H31" s="582"/>
      <c r="I31" s="239">
        <f t="shared" si="0"/>
        <v>2.433</v>
      </c>
      <c r="J31" s="577"/>
      <c r="K31" s="578"/>
      <c r="L31" s="30">
        <f t="shared" si="1"/>
      </c>
      <c r="M31" s="57">
        <f t="shared" si="2"/>
      </c>
      <c r="N31" s="579"/>
      <c r="O31" s="24">
        <f t="shared" si="3"/>
      </c>
      <c r="P31" s="314">
        <f t="shared" si="4"/>
        <v>20</v>
      </c>
      <c r="Q31" s="642" t="str">
        <f t="shared" si="5"/>
        <v>--</v>
      </c>
      <c r="R31" s="308" t="str">
        <f t="shared" si="6"/>
        <v>--</v>
      </c>
      <c r="S31" s="309" t="str">
        <f t="shared" si="7"/>
        <v>--</v>
      </c>
      <c r="T31" s="325" t="str">
        <f t="shared" si="10"/>
        <v>--</v>
      </c>
      <c r="U31" s="21">
        <f t="shared" si="8"/>
      </c>
      <c r="V31" s="58">
        <f t="shared" si="9"/>
      </c>
      <c r="W31" s="33"/>
    </row>
    <row r="32" spans="2:23" s="9" customFormat="1" ht="16.5" customHeight="1">
      <c r="B32" s="39"/>
      <c r="C32" s="575"/>
      <c r="D32" s="560"/>
      <c r="E32" s="560"/>
      <c r="F32" s="576"/>
      <c r="G32" s="576"/>
      <c r="H32" s="582"/>
      <c r="I32" s="239">
        <f t="shared" si="0"/>
        <v>2.433</v>
      </c>
      <c r="J32" s="577"/>
      <c r="K32" s="578"/>
      <c r="L32" s="30">
        <f t="shared" si="1"/>
      </c>
      <c r="M32" s="57">
        <f t="shared" si="2"/>
      </c>
      <c r="N32" s="579"/>
      <c r="O32" s="24">
        <f t="shared" si="3"/>
      </c>
      <c r="P32" s="314">
        <f t="shared" si="4"/>
        <v>20</v>
      </c>
      <c r="Q32" s="642" t="str">
        <f t="shared" si="5"/>
        <v>--</v>
      </c>
      <c r="R32" s="308" t="str">
        <f t="shared" si="6"/>
        <v>--</v>
      </c>
      <c r="S32" s="309" t="str">
        <f t="shared" si="7"/>
        <v>--</v>
      </c>
      <c r="T32" s="325" t="str">
        <f t="shared" si="10"/>
        <v>--</v>
      </c>
      <c r="U32" s="21">
        <f t="shared" si="8"/>
      </c>
      <c r="V32" s="58">
        <f t="shared" si="9"/>
      </c>
      <c r="W32" s="33"/>
    </row>
    <row r="33" spans="2:23" s="9" customFormat="1" ht="16.5" customHeight="1">
      <c r="B33" s="39"/>
      <c r="C33" s="575"/>
      <c r="D33" s="560"/>
      <c r="E33" s="560"/>
      <c r="F33" s="576"/>
      <c r="G33" s="576"/>
      <c r="H33" s="582"/>
      <c r="I33" s="239">
        <f t="shared" si="0"/>
        <v>2.433</v>
      </c>
      <c r="J33" s="577"/>
      <c r="K33" s="578"/>
      <c r="L33" s="30">
        <f t="shared" si="1"/>
      </c>
      <c r="M33" s="57">
        <f t="shared" si="2"/>
      </c>
      <c r="N33" s="579"/>
      <c r="O33" s="24">
        <f t="shared" si="3"/>
      </c>
      <c r="P33" s="314">
        <f t="shared" si="4"/>
        <v>20</v>
      </c>
      <c r="Q33" s="642" t="str">
        <f t="shared" si="5"/>
        <v>--</v>
      </c>
      <c r="R33" s="308" t="str">
        <f t="shared" si="6"/>
        <v>--</v>
      </c>
      <c r="S33" s="309" t="str">
        <f t="shared" si="7"/>
        <v>--</v>
      </c>
      <c r="T33" s="325" t="str">
        <f t="shared" si="10"/>
        <v>--</v>
      </c>
      <c r="U33" s="21">
        <f t="shared" si="8"/>
      </c>
      <c r="V33" s="58">
        <f t="shared" si="9"/>
      </c>
      <c r="W33" s="33"/>
    </row>
    <row r="34" spans="2:23" s="9" customFormat="1" ht="16.5" customHeight="1">
      <c r="B34" s="39"/>
      <c r="C34" s="575"/>
      <c r="D34" s="560"/>
      <c r="E34" s="560"/>
      <c r="F34" s="576"/>
      <c r="G34" s="576"/>
      <c r="H34" s="582"/>
      <c r="I34" s="239">
        <f t="shared" si="0"/>
        <v>2.433</v>
      </c>
      <c r="J34" s="577"/>
      <c r="K34" s="578"/>
      <c r="L34" s="30">
        <f t="shared" si="1"/>
      </c>
      <c r="M34" s="57">
        <f t="shared" si="2"/>
      </c>
      <c r="N34" s="579"/>
      <c r="O34" s="24">
        <f t="shared" si="3"/>
      </c>
      <c r="P34" s="314">
        <f t="shared" si="4"/>
        <v>20</v>
      </c>
      <c r="Q34" s="642" t="str">
        <f t="shared" si="5"/>
        <v>--</v>
      </c>
      <c r="R34" s="308" t="str">
        <f t="shared" si="6"/>
        <v>--</v>
      </c>
      <c r="S34" s="309" t="str">
        <f t="shared" si="7"/>
        <v>--</v>
      </c>
      <c r="T34" s="325" t="str">
        <f t="shared" si="10"/>
        <v>--</v>
      </c>
      <c r="U34" s="21">
        <f t="shared" si="8"/>
      </c>
      <c r="V34" s="58">
        <f t="shared" si="9"/>
      </c>
      <c r="W34" s="33"/>
    </row>
    <row r="35" spans="2:23" s="9" customFormat="1" ht="16.5" customHeight="1">
      <c r="B35" s="39"/>
      <c r="C35" s="575"/>
      <c r="D35" s="560"/>
      <c r="E35" s="560"/>
      <c r="F35" s="576"/>
      <c r="G35" s="576"/>
      <c r="H35" s="582"/>
      <c r="I35" s="239">
        <f t="shared" si="0"/>
        <v>2.433</v>
      </c>
      <c r="J35" s="577"/>
      <c r="K35" s="578"/>
      <c r="L35" s="30">
        <f t="shared" si="1"/>
      </c>
      <c r="M35" s="57">
        <f t="shared" si="2"/>
      </c>
      <c r="N35" s="579"/>
      <c r="O35" s="24">
        <f t="shared" si="3"/>
      </c>
      <c r="P35" s="314">
        <f t="shared" si="4"/>
        <v>20</v>
      </c>
      <c r="Q35" s="642" t="str">
        <f t="shared" si="5"/>
        <v>--</v>
      </c>
      <c r="R35" s="308" t="str">
        <f t="shared" si="6"/>
        <v>--</v>
      </c>
      <c r="S35" s="309" t="str">
        <f t="shared" si="7"/>
        <v>--</v>
      </c>
      <c r="T35" s="325" t="str">
        <f t="shared" si="10"/>
        <v>--</v>
      </c>
      <c r="U35" s="21">
        <f t="shared" si="8"/>
      </c>
      <c r="V35" s="58">
        <f t="shared" si="9"/>
      </c>
      <c r="W35" s="33"/>
    </row>
    <row r="36" spans="2:23" s="9" customFormat="1" ht="16.5" customHeight="1">
      <c r="B36" s="39"/>
      <c r="C36" s="575"/>
      <c r="D36" s="560"/>
      <c r="E36" s="560"/>
      <c r="F36" s="576"/>
      <c r="G36" s="576"/>
      <c r="H36" s="582"/>
      <c r="I36" s="239">
        <f t="shared" si="0"/>
        <v>2.433</v>
      </c>
      <c r="J36" s="577"/>
      <c r="K36" s="578"/>
      <c r="L36" s="30">
        <f t="shared" si="1"/>
      </c>
      <c r="M36" s="57">
        <f t="shared" si="2"/>
      </c>
      <c r="N36" s="579"/>
      <c r="O36" s="24">
        <f t="shared" si="3"/>
      </c>
      <c r="P36" s="314">
        <f t="shared" si="4"/>
        <v>20</v>
      </c>
      <c r="Q36" s="642" t="str">
        <f t="shared" si="5"/>
        <v>--</v>
      </c>
      <c r="R36" s="308" t="str">
        <f t="shared" si="6"/>
        <v>--</v>
      </c>
      <c r="S36" s="309" t="str">
        <f t="shared" si="7"/>
        <v>--</v>
      </c>
      <c r="T36" s="325" t="str">
        <f t="shared" si="10"/>
        <v>--</v>
      </c>
      <c r="U36" s="21">
        <f t="shared" si="8"/>
      </c>
      <c r="V36" s="58">
        <f t="shared" si="9"/>
      </c>
      <c r="W36" s="33"/>
    </row>
    <row r="37" spans="2:23" s="9" customFormat="1" ht="16.5" customHeight="1">
      <c r="B37" s="39"/>
      <c r="C37" s="575"/>
      <c r="D37" s="560"/>
      <c r="E37" s="560"/>
      <c r="F37" s="576"/>
      <c r="G37" s="576"/>
      <c r="H37" s="582"/>
      <c r="I37" s="239">
        <f t="shared" si="0"/>
        <v>2.433</v>
      </c>
      <c r="J37" s="577"/>
      <c r="K37" s="578"/>
      <c r="L37" s="30">
        <f t="shared" si="1"/>
      </c>
      <c r="M37" s="57">
        <f t="shared" si="2"/>
      </c>
      <c r="N37" s="579"/>
      <c r="O37" s="24">
        <f t="shared" si="3"/>
      </c>
      <c r="P37" s="314">
        <f t="shared" si="4"/>
        <v>20</v>
      </c>
      <c r="Q37" s="642" t="str">
        <f t="shared" si="5"/>
        <v>--</v>
      </c>
      <c r="R37" s="308" t="str">
        <f t="shared" si="6"/>
        <v>--</v>
      </c>
      <c r="S37" s="309" t="str">
        <f t="shared" si="7"/>
        <v>--</v>
      </c>
      <c r="T37" s="325" t="str">
        <f t="shared" si="10"/>
        <v>--</v>
      </c>
      <c r="U37" s="21">
        <f t="shared" si="8"/>
      </c>
      <c r="V37" s="58">
        <f t="shared" si="9"/>
      </c>
      <c r="W37" s="33"/>
    </row>
    <row r="38" spans="2:23" s="9" customFormat="1" ht="16.5" customHeight="1">
      <c r="B38" s="39"/>
      <c r="C38" s="575"/>
      <c r="D38" s="560"/>
      <c r="E38" s="560"/>
      <c r="F38" s="576"/>
      <c r="G38" s="576"/>
      <c r="H38" s="582"/>
      <c r="I38" s="239">
        <f t="shared" si="0"/>
        <v>2.433</v>
      </c>
      <c r="J38" s="577"/>
      <c r="K38" s="578"/>
      <c r="L38" s="30">
        <f t="shared" si="1"/>
      </c>
      <c r="M38" s="57">
        <f t="shared" si="2"/>
      </c>
      <c r="N38" s="579"/>
      <c r="O38" s="24">
        <f t="shared" si="3"/>
      </c>
      <c r="P38" s="314">
        <f t="shared" si="4"/>
        <v>20</v>
      </c>
      <c r="Q38" s="642" t="str">
        <f t="shared" si="5"/>
        <v>--</v>
      </c>
      <c r="R38" s="308" t="str">
        <f t="shared" si="6"/>
        <v>--</v>
      </c>
      <c r="S38" s="309" t="str">
        <f t="shared" si="7"/>
        <v>--</v>
      </c>
      <c r="T38" s="325" t="str">
        <f t="shared" si="10"/>
        <v>--</v>
      </c>
      <c r="U38" s="21">
        <f t="shared" si="8"/>
      </c>
      <c r="V38" s="58">
        <f t="shared" si="9"/>
      </c>
      <c r="W38" s="33"/>
    </row>
    <row r="39" spans="2:23" s="9" customFormat="1" ht="16.5" customHeight="1">
      <c r="B39" s="39"/>
      <c r="C39" s="575"/>
      <c r="D39" s="560"/>
      <c r="E39" s="560"/>
      <c r="F39" s="576"/>
      <c r="G39" s="576"/>
      <c r="H39" s="582"/>
      <c r="I39" s="239">
        <f t="shared" si="0"/>
        <v>2.433</v>
      </c>
      <c r="J39" s="577"/>
      <c r="K39" s="578"/>
      <c r="L39" s="30">
        <f t="shared" si="1"/>
      </c>
      <c r="M39" s="57">
        <f t="shared" si="2"/>
      </c>
      <c r="N39" s="579"/>
      <c r="O39" s="24">
        <f t="shared" si="3"/>
      </c>
      <c r="P39" s="314">
        <f t="shared" si="4"/>
        <v>20</v>
      </c>
      <c r="Q39" s="642" t="str">
        <f t="shared" si="5"/>
        <v>--</v>
      </c>
      <c r="R39" s="308" t="str">
        <f t="shared" si="6"/>
        <v>--</v>
      </c>
      <c r="S39" s="309" t="str">
        <f t="shared" si="7"/>
        <v>--</v>
      </c>
      <c r="T39" s="325" t="str">
        <f t="shared" si="10"/>
        <v>--</v>
      </c>
      <c r="U39" s="21">
        <f t="shared" si="8"/>
      </c>
      <c r="V39" s="58">
        <f t="shared" si="9"/>
      </c>
      <c r="W39" s="33"/>
    </row>
    <row r="40" spans="2:23" s="9" customFormat="1" ht="16.5" customHeight="1">
      <c r="B40" s="39"/>
      <c r="C40" s="575"/>
      <c r="D40" s="560"/>
      <c r="E40" s="560"/>
      <c r="F40" s="576"/>
      <c r="G40" s="576"/>
      <c r="H40" s="582"/>
      <c r="I40" s="239">
        <f t="shared" si="0"/>
        <v>2.433</v>
      </c>
      <c r="J40" s="577"/>
      <c r="K40" s="578"/>
      <c r="L40" s="30">
        <f t="shared" si="1"/>
      </c>
      <c r="M40" s="57">
        <f t="shared" si="2"/>
      </c>
      <c r="N40" s="579"/>
      <c r="O40" s="24">
        <f t="shared" si="3"/>
      </c>
      <c r="P40" s="314">
        <f t="shared" si="4"/>
        <v>20</v>
      </c>
      <c r="Q40" s="642" t="str">
        <f t="shared" si="5"/>
        <v>--</v>
      </c>
      <c r="R40" s="308" t="str">
        <f t="shared" si="6"/>
        <v>--</v>
      </c>
      <c r="S40" s="309" t="str">
        <f t="shared" si="7"/>
        <v>--</v>
      </c>
      <c r="T40" s="325" t="str">
        <f t="shared" si="10"/>
        <v>--</v>
      </c>
      <c r="U40" s="21">
        <f t="shared" si="8"/>
      </c>
      <c r="V40" s="58">
        <f t="shared" si="9"/>
      </c>
      <c r="W40" s="33"/>
    </row>
    <row r="41" spans="2:23" s="9" customFormat="1" ht="16.5" customHeight="1">
      <c r="B41" s="39"/>
      <c r="C41" s="575"/>
      <c r="D41" s="560"/>
      <c r="E41" s="560"/>
      <c r="F41" s="576"/>
      <c r="G41" s="576"/>
      <c r="H41" s="582"/>
      <c r="I41" s="239">
        <f t="shared" si="0"/>
        <v>2.433</v>
      </c>
      <c r="J41" s="577"/>
      <c r="K41" s="578"/>
      <c r="L41" s="30">
        <f t="shared" si="1"/>
      </c>
      <c r="M41" s="57">
        <f t="shared" si="2"/>
      </c>
      <c r="N41" s="579"/>
      <c r="O41" s="24">
        <f t="shared" si="3"/>
      </c>
      <c r="P41" s="314">
        <f t="shared" si="4"/>
        <v>20</v>
      </c>
      <c r="Q41" s="642" t="str">
        <f t="shared" si="5"/>
        <v>--</v>
      </c>
      <c r="R41" s="308" t="str">
        <f t="shared" si="6"/>
        <v>--</v>
      </c>
      <c r="S41" s="309" t="str">
        <f t="shared" si="7"/>
        <v>--</v>
      </c>
      <c r="T41" s="325" t="str">
        <f>IF(N41="RF",I41*P41*ROUND(M41/60,2),"--")</f>
        <v>--</v>
      </c>
      <c r="U41" s="21">
        <f t="shared" si="8"/>
      </c>
      <c r="V41" s="58">
        <f t="shared" si="9"/>
      </c>
      <c r="W41" s="33"/>
    </row>
    <row r="42" spans="2:23" s="9" customFormat="1" ht="16.5" customHeight="1">
      <c r="B42" s="39"/>
      <c r="C42" s="575"/>
      <c r="D42" s="560"/>
      <c r="E42" s="560"/>
      <c r="F42" s="576"/>
      <c r="G42" s="576"/>
      <c r="H42" s="582"/>
      <c r="I42" s="239">
        <f t="shared" si="0"/>
        <v>2.433</v>
      </c>
      <c r="J42" s="577"/>
      <c r="K42" s="578"/>
      <c r="L42" s="30">
        <f t="shared" si="1"/>
      </c>
      <c r="M42" s="57">
        <f t="shared" si="2"/>
      </c>
      <c r="N42" s="579"/>
      <c r="O42" s="24">
        <f t="shared" si="3"/>
      </c>
      <c r="P42" s="314">
        <f t="shared" si="4"/>
        <v>20</v>
      </c>
      <c r="Q42" s="642" t="str">
        <f t="shared" si="5"/>
        <v>--</v>
      </c>
      <c r="R42" s="308" t="str">
        <f t="shared" si="6"/>
        <v>--</v>
      </c>
      <c r="S42" s="309" t="str">
        <f t="shared" si="7"/>
        <v>--</v>
      </c>
      <c r="T42" s="325" t="str">
        <f>IF(N42="RF",I42*P42*ROUND(M42/60,2),"--")</f>
        <v>--</v>
      </c>
      <c r="U42" s="21">
        <f t="shared" si="8"/>
      </c>
      <c r="V42" s="58">
        <f t="shared" si="9"/>
      </c>
      <c r="W42" s="33"/>
    </row>
    <row r="43" spans="2:23" s="9" customFormat="1" ht="16.5" customHeight="1">
      <c r="B43" s="39"/>
      <c r="C43" s="575"/>
      <c r="D43" s="560"/>
      <c r="E43" s="560"/>
      <c r="F43" s="576"/>
      <c r="G43" s="576"/>
      <c r="H43" s="582"/>
      <c r="I43" s="239">
        <f t="shared" si="0"/>
        <v>2.433</v>
      </c>
      <c r="J43" s="577"/>
      <c r="K43" s="578"/>
      <c r="L43" s="30">
        <f t="shared" si="1"/>
      </c>
      <c r="M43" s="57">
        <f t="shared" si="2"/>
      </c>
      <c r="N43" s="579"/>
      <c r="O43" s="24">
        <f t="shared" si="3"/>
      </c>
      <c r="P43" s="314">
        <f t="shared" si="4"/>
        <v>20</v>
      </c>
      <c r="Q43" s="642" t="str">
        <f t="shared" si="5"/>
        <v>--</v>
      </c>
      <c r="R43" s="308" t="str">
        <f t="shared" si="6"/>
        <v>--</v>
      </c>
      <c r="S43" s="309" t="str">
        <f t="shared" si="7"/>
        <v>--</v>
      </c>
      <c r="T43" s="325" t="str">
        <f>IF(N43="RF",I43*P43*ROUND(M43/60,2),"--")</f>
        <v>--</v>
      </c>
      <c r="U43" s="21">
        <f t="shared" si="8"/>
      </c>
      <c r="V43" s="58">
        <f t="shared" si="9"/>
      </c>
      <c r="W43" s="33"/>
    </row>
    <row r="44" spans="2:23" s="9" customFormat="1" ht="16.5" customHeight="1" thickBot="1">
      <c r="B44" s="39"/>
      <c r="C44" s="563"/>
      <c r="D44" s="563"/>
      <c r="E44" s="563"/>
      <c r="F44" s="563"/>
      <c r="G44" s="563"/>
      <c r="H44" s="563"/>
      <c r="I44" s="238"/>
      <c r="J44" s="563"/>
      <c r="K44" s="563"/>
      <c r="L44" s="25"/>
      <c r="M44" s="25"/>
      <c r="N44" s="563"/>
      <c r="O44" s="563"/>
      <c r="P44" s="580"/>
      <c r="Q44" s="581"/>
      <c r="R44" s="571"/>
      <c r="S44" s="572"/>
      <c r="T44" s="566"/>
      <c r="U44" s="563"/>
      <c r="V44" s="186"/>
      <c r="W44" s="33"/>
    </row>
    <row r="45" spans="2:23" s="9" customFormat="1" ht="16.5" customHeight="1" thickBot="1" thickTop="1">
      <c r="B45" s="39"/>
      <c r="C45" s="210" t="s">
        <v>66</v>
      </c>
      <c r="D45" s="654" t="s">
        <v>175</v>
      </c>
      <c r="E45" s="622"/>
      <c r="F45" s="21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26">
        <f>ROUND(SUM(Q22:Q44),2)</f>
        <v>0</v>
      </c>
      <c r="R45" s="293">
        <f>SUM(R22:R44)</f>
        <v>162.15</v>
      </c>
      <c r="S45" s="293">
        <f>SUM(S22:S44)</f>
        <v>145.935</v>
      </c>
      <c r="T45" s="327">
        <f>SUM(T22:T44)</f>
        <v>0</v>
      </c>
      <c r="U45" s="59"/>
      <c r="V45" s="226">
        <f>SUM(V22:V44)</f>
        <v>308.08500000000004</v>
      </c>
      <c r="W45" s="33"/>
    </row>
    <row r="46" spans="2:23" s="228" customFormat="1" ht="9.75" thickTop="1">
      <c r="B46" s="227"/>
      <c r="C46" s="212"/>
      <c r="D46" s="212"/>
      <c r="E46" s="212"/>
      <c r="F46" s="213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  <c r="V46" s="231"/>
      <c r="W46" s="232"/>
    </row>
    <row r="47" spans="1:23" s="9" customFormat="1" ht="16.5" customHeight="1" thickBot="1">
      <c r="A47" s="10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9"/>
    </row>
    <row r="48" spans="1:23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6" ht="12.75">
      <c r="C49" s="5"/>
      <c r="D49" s="5"/>
      <c r="E49" s="5"/>
      <c r="F49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1" customFormat="1" ht="26.25">
      <c r="W1" s="336"/>
    </row>
    <row r="2" spans="2:23" s="101" customFormat="1" ht="26.25">
      <c r="B2" s="102" t="str">
        <f>+'TOT-0614'!B2</f>
        <v>ANEXO VI al Memorándum  D.T.E.E.  N°  223 /2016         .-</v>
      </c>
      <c r="C2" s="103"/>
      <c r="D2" s="103"/>
      <c r="E2" s="103"/>
      <c r="F2" s="103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="9" customFormat="1" ht="12.75"/>
    <row r="4" spans="1:4" s="104" customFormat="1" ht="11.25">
      <c r="A4" s="625" t="s">
        <v>21</v>
      </c>
      <c r="C4" s="624"/>
      <c r="D4" s="624"/>
    </row>
    <row r="5" spans="1:4" s="104" customFormat="1" ht="11.25">
      <c r="A5" s="625" t="s">
        <v>147</v>
      </c>
      <c r="C5" s="624"/>
      <c r="D5" s="624"/>
    </row>
    <row r="6" s="9" customFormat="1" ht="13.5" thickBot="1"/>
    <row r="7" spans="2:23" s="9" customFormat="1" ht="13.5" thickTop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s="106" customFormat="1" ht="20.25">
      <c r="B8" s="105"/>
      <c r="C8" s="40"/>
      <c r="D8" s="40"/>
      <c r="E8" s="40"/>
      <c r="F8" s="19" t="s">
        <v>42</v>
      </c>
      <c r="P8" s="40"/>
      <c r="Q8" s="40"/>
      <c r="R8" s="40"/>
      <c r="S8" s="40"/>
      <c r="T8" s="40"/>
      <c r="U8" s="40"/>
      <c r="V8" s="40"/>
      <c r="W8" s="107"/>
    </row>
    <row r="9" spans="2:23" s="9" customFormat="1" ht="12.75">
      <c r="B9" s="39"/>
      <c r="C9" s="7"/>
      <c r="D9" s="7"/>
      <c r="E9" s="7"/>
      <c r="F9" s="7"/>
      <c r="G9" s="7"/>
      <c r="H9" s="7"/>
      <c r="I9" s="115"/>
      <c r="J9" s="115"/>
      <c r="K9" s="115"/>
      <c r="L9" s="115"/>
      <c r="M9" s="115"/>
      <c r="P9" s="7"/>
      <c r="Q9" s="7"/>
      <c r="R9" s="7"/>
      <c r="S9" s="7"/>
      <c r="T9" s="7"/>
      <c r="U9" s="7"/>
      <c r="V9" s="7"/>
      <c r="W9" s="10"/>
    </row>
    <row r="10" spans="2:23" s="106" customFormat="1" ht="20.25">
      <c r="B10" s="105"/>
      <c r="C10" s="40"/>
      <c r="D10" s="40"/>
      <c r="E10" s="40"/>
      <c r="F10" s="19" t="s">
        <v>172</v>
      </c>
      <c r="G10" s="19"/>
      <c r="H10" s="40"/>
      <c r="I10" s="19"/>
      <c r="J10" s="19"/>
      <c r="K10" s="19"/>
      <c r="L10" s="19"/>
      <c r="M10" s="19"/>
      <c r="P10" s="40"/>
      <c r="Q10" s="40"/>
      <c r="R10" s="40"/>
      <c r="S10" s="40"/>
      <c r="T10" s="40"/>
      <c r="U10" s="40"/>
      <c r="V10" s="40"/>
      <c r="W10" s="107"/>
    </row>
    <row r="11" spans="2:23" s="9" customFormat="1" ht="12.75">
      <c r="B11" s="39"/>
      <c r="C11" s="7"/>
      <c r="D11" s="7"/>
      <c r="E11" s="7"/>
      <c r="F11" s="117"/>
      <c r="G11" s="115"/>
      <c r="H11" s="7"/>
      <c r="I11" s="115"/>
      <c r="J11" s="115"/>
      <c r="K11" s="115"/>
      <c r="L11" s="115"/>
      <c r="M11" s="115"/>
      <c r="P11" s="7"/>
      <c r="Q11" s="7"/>
      <c r="R11" s="7"/>
      <c r="S11" s="7"/>
      <c r="T11" s="7"/>
      <c r="U11" s="7"/>
      <c r="V11" s="7"/>
      <c r="W11" s="10"/>
    </row>
    <row r="12" spans="2:23" s="113" customFormat="1" ht="19.5">
      <c r="B12" s="79" t="str">
        <f>+'TOT-0614'!B14</f>
        <v>Desde el 01 al 30 de junio de 2014</v>
      </c>
      <c r="C12" s="109"/>
      <c r="D12" s="109"/>
      <c r="E12" s="109"/>
      <c r="F12" s="109"/>
      <c r="G12" s="109"/>
      <c r="H12" s="78"/>
      <c r="I12" s="109"/>
      <c r="J12" s="110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2"/>
    </row>
    <row r="13" spans="2:23" s="113" customFormat="1" ht="7.5" customHeight="1">
      <c r="B13" s="79"/>
      <c r="C13" s="109"/>
      <c r="D13" s="109"/>
      <c r="E13" s="109"/>
      <c r="F13" s="109"/>
      <c r="G13" s="109"/>
      <c r="H13" s="78"/>
      <c r="I13" s="109"/>
      <c r="J13" s="110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2"/>
    </row>
    <row r="14" spans="2:23" s="9" customFormat="1" ht="7.5" customHeight="1" thickBot="1">
      <c r="B14" s="39"/>
      <c r="C14" s="7"/>
      <c r="D14" s="7"/>
      <c r="E14" s="7"/>
      <c r="I14" s="114"/>
      <c r="K14" s="7"/>
      <c r="L14" s="7"/>
      <c r="M14" s="7"/>
      <c r="N14" s="114"/>
      <c r="O14" s="114"/>
      <c r="P14" s="114"/>
      <c r="Q14" s="7"/>
      <c r="R14" s="7"/>
      <c r="S14" s="7"/>
      <c r="T14" s="7"/>
      <c r="U14" s="7"/>
      <c r="V14" s="7"/>
      <c r="W14" s="10"/>
    </row>
    <row r="15" spans="2:23" s="9" customFormat="1" ht="16.5" customHeight="1" thickBot="1" thickTop="1">
      <c r="B15" s="39"/>
      <c r="C15" s="7"/>
      <c r="D15" s="7"/>
      <c r="E15" s="7"/>
      <c r="F15" s="190" t="s">
        <v>83</v>
      </c>
      <c r="G15" s="191" t="s">
        <v>176</v>
      </c>
      <c r="H15" s="85">
        <f>60*'TOT-0614'!B13</f>
        <v>60</v>
      </c>
      <c r="I15" s="114"/>
      <c r="J15" s="206" t="str">
        <f>IF(H15=60," ",IF(H15=120,"Coeficiente duplicado por tasa de falla &gt;4 Sal. x año/100 km.","REVISAR COEFICIENTE"))</f>
        <v> </v>
      </c>
      <c r="K15" s="7"/>
      <c r="L15" s="7"/>
      <c r="M15" s="7"/>
      <c r="N15" s="114"/>
      <c r="O15" s="114"/>
      <c r="P15" s="114"/>
      <c r="Q15" s="7"/>
      <c r="R15" s="7"/>
      <c r="S15" s="7"/>
      <c r="T15" s="7"/>
      <c r="U15" s="7"/>
      <c r="V15" s="7"/>
      <c r="W15" s="10"/>
    </row>
    <row r="16" spans="2:23" s="9" customFormat="1" ht="16.5" customHeight="1" thickBot="1" thickTop="1">
      <c r="B16" s="39"/>
      <c r="C16" s="7"/>
      <c r="D16" s="7"/>
      <c r="E16" s="7"/>
      <c r="F16" s="190" t="s">
        <v>84</v>
      </c>
      <c r="G16" s="191">
        <v>3.243</v>
      </c>
      <c r="H16" s="85">
        <f>50*'TOT-0614'!B13</f>
        <v>50</v>
      </c>
      <c r="J16" s="206" t="str">
        <f>IF(H16=50," ",IF(H16=100,"Coeficiente duplicado por tasa de falla &gt;4 Sal. x año/100 km.","REVISAR COEFICIENTE"))</f>
        <v> </v>
      </c>
      <c r="Q16" s="240"/>
      <c r="S16" s="7"/>
      <c r="T16" s="7"/>
      <c r="U16" s="7"/>
      <c r="V16" s="187"/>
      <c r="W16" s="10"/>
    </row>
    <row r="17" spans="2:23" s="9" customFormat="1" ht="16.5" customHeight="1" thickBot="1" thickTop="1">
      <c r="B17" s="39"/>
      <c r="C17" s="7"/>
      <c r="D17" s="7"/>
      <c r="E17" s="7"/>
      <c r="F17" s="192" t="s">
        <v>85</v>
      </c>
      <c r="G17" s="193">
        <v>2.433</v>
      </c>
      <c r="H17" s="194">
        <f>25*'TOT-0614'!B13</f>
        <v>25</v>
      </c>
      <c r="J17" s="206" t="str">
        <f>IF(H17=25," ",IF(H17=50,"Coeficiente duplicado por tasa de falla &gt;4 Sal. x año/100 km.","REVISAR COEFICIENTE"))</f>
        <v> </v>
      </c>
      <c r="K17" s="159"/>
      <c r="L17" s="159"/>
      <c r="M17" s="7"/>
      <c r="P17" s="188"/>
      <c r="Q17" s="189"/>
      <c r="R17" s="31"/>
      <c r="S17" s="7"/>
      <c r="T17" s="7"/>
      <c r="U17" s="7"/>
      <c r="V17" s="187"/>
      <c r="W17" s="10"/>
    </row>
    <row r="18" spans="2:23" s="9" customFormat="1" ht="16.5" customHeight="1" thickBot="1" thickTop="1">
      <c r="B18" s="39"/>
      <c r="C18" s="7"/>
      <c r="D18" s="7"/>
      <c r="E18" s="7"/>
      <c r="F18" s="195" t="s">
        <v>86</v>
      </c>
      <c r="G18" s="193">
        <v>2.433</v>
      </c>
      <c r="H18" s="196">
        <f>20*'TOT-0614'!B13</f>
        <v>20</v>
      </c>
      <c r="J18" s="206" t="str">
        <f>IF(H18=20," ",IF(H18=40,"Coeficiente duplicado por tasa de falla &gt;4 Sal. x año/100 km.","REVISAR COEFICIENTE"))</f>
        <v> </v>
      </c>
      <c r="K18" s="159"/>
      <c r="L18" s="159"/>
      <c r="M18" s="7"/>
      <c r="P18" s="188"/>
      <c r="Q18" s="189"/>
      <c r="R18" s="31"/>
      <c r="S18" s="7"/>
      <c r="T18" s="7"/>
      <c r="U18" s="7"/>
      <c r="V18" s="187"/>
      <c r="W18" s="10"/>
    </row>
    <row r="19" spans="2:23" s="9" customFormat="1" ht="7.5" customHeight="1" thickTop="1">
      <c r="B19" s="39"/>
      <c r="C19" s="7"/>
      <c r="D19" s="7"/>
      <c r="E19" s="7"/>
      <c r="F19" s="90"/>
      <c r="G19" s="617"/>
      <c r="H19" s="618"/>
      <c r="J19" s="206"/>
      <c r="K19" s="159"/>
      <c r="L19" s="159"/>
      <c r="M19" s="7"/>
      <c r="P19" s="188"/>
      <c r="Q19" s="189"/>
      <c r="R19" s="31"/>
      <c r="S19" s="7"/>
      <c r="T19" s="7"/>
      <c r="U19" s="7"/>
      <c r="V19" s="187"/>
      <c r="W19" s="10"/>
    </row>
    <row r="20" spans="2:23" s="648" customFormat="1" ht="15" customHeight="1" thickBot="1">
      <c r="B20" s="645"/>
      <c r="C20" s="644">
        <v>3</v>
      </c>
      <c r="D20" s="644">
        <v>4</v>
      </c>
      <c r="E20" s="644">
        <v>5</v>
      </c>
      <c r="F20" s="644">
        <v>6</v>
      </c>
      <c r="G20" s="644">
        <v>7</v>
      </c>
      <c r="H20" s="644">
        <v>8</v>
      </c>
      <c r="I20" s="644">
        <v>9</v>
      </c>
      <c r="J20" s="644">
        <v>10</v>
      </c>
      <c r="K20" s="644">
        <v>11</v>
      </c>
      <c r="L20" s="644">
        <v>12</v>
      </c>
      <c r="M20" s="644">
        <v>13</v>
      </c>
      <c r="N20" s="644">
        <v>14</v>
      </c>
      <c r="O20" s="644">
        <v>15</v>
      </c>
      <c r="P20" s="644">
        <v>16</v>
      </c>
      <c r="Q20" s="644">
        <v>17</v>
      </c>
      <c r="R20" s="644">
        <v>18</v>
      </c>
      <c r="S20" s="644">
        <v>19</v>
      </c>
      <c r="T20" s="644">
        <v>20</v>
      </c>
      <c r="U20" s="644">
        <v>21</v>
      </c>
      <c r="V20" s="644">
        <v>22</v>
      </c>
      <c r="W20" s="647"/>
    </row>
    <row r="21" spans="2:23" s="9" customFormat="1" ht="33.75" customHeight="1" thickBot="1" thickTop="1">
      <c r="B21" s="39"/>
      <c r="C21" s="185" t="s">
        <v>48</v>
      </c>
      <c r="D21" s="93" t="s">
        <v>146</v>
      </c>
      <c r="E21" s="93" t="s">
        <v>145</v>
      </c>
      <c r="F21" s="183" t="s">
        <v>72</v>
      </c>
      <c r="G21" s="197" t="s">
        <v>19</v>
      </c>
      <c r="H21" s="200" t="s">
        <v>49</v>
      </c>
      <c r="I21" s="233" t="s">
        <v>51</v>
      </c>
      <c r="J21" s="179" t="s">
        <v>52</v>
      </c>
      <c r="K21" s="197" t="s">
        <v>53</v>
      </c>
      <c r="L21" s="199" t="s">
        <v>76</v>
      </c>
      <c r="M21" s="199" t="s">
        <v>77</v>
      </c>
      <c r="N21" s="97" t="s">
        <v>56</v>
      </c>
      <c r="O21" s="184" t="s">
        <v>78</v>
      </c>
      <c r="P21" s="313" t="s">
        <v>87</v>
      </c>
      <c r="Q21" s="286" t="s">
        <v>58</v>
      </c>
      <c r="R21" s="306" t="s">
        <v>82</v>
      </c>
      <c r="S21" s="307"/>
      <c r="T21" s="323" t="s">
        <v>62</v>
      </c>
      <c r="U21" s="181" t="s">
        <v>64</v>
      </c>
      <c r="V21" s="181" t="s">
        <v>65</v>
      </c>
      <c r="W21" s="33"/>
    </row>
    <row r="22" spans="2:23" s="9" customFormat="1" ht="16.5" customHeight="1" thickTop="1">
      <c r="B22" s="39"/>
      <c r="C22" s="18"/>
      <c r="D22" s="17"/>
      <c r="E22" s="17"/>
      <c r="F22" s="27"/>
      <c r="G22" s="27"/>
      <c r="H22" s="11"/>
      <c r="I22" s="239"/>
      <c r="J22" s="28"/>
      <c r="K22" s="29"/>
      <c r="L22" s="30"/>
      <c r="M22" s="57"/>
      <c r="N22" s="315"/>
      <c r="O22" s="315"/>
      <c r="P22" s="316"/>
      <c r="Q22" s="318"/>
      <c r="R22" s="320"/>
      <c r="S22" s="321"/>
      <c r="T22" s="324"/>
      <c r="U22" s="322"/>
      <c r="V22" s="317"/>
      <c r="W22" s="33"/>
    </row>
    <row r="23" spans="2:23" s="9" customFormat="1" ht="16.5" customHeight="1">
      <c r="B23" s="39"/>
      <c r="C23" s="18"/>
      <c r="D23" s="17"/>
      <c r="E23" s="17"/>
      <c r="F23" s="27"/>
      <c r="G23" s="27"/>
      <c r="H23" s="11"/>
      <c r="I23" s="239"/>
      <c r="J23" s="28"/>
      <c r="K23" s="29"/>
      <c r="L23" s="30"/>
      <c r="M23" s="57"/>
      <c r="N23" s="24"/>
      <c r="O23" s="24"/>
      <c r="P23" s="314"/>
      <c r="Q23" s="319"/>
      <c r="R23" s="308"/>
      <c r="S23" s="309"/>
      <c r="T23" s="325"/>
      <c r="U23" s="21"/>
      <c r="V23" s="198"/>
      <c r="W23" s="33"/>
    </row>
    <row r="24" spans="2:23" s="9" customFormat="1" ht="16.5" customHeight="1">
      <c r="B24" s="39"/>
      <c r="C24" s="575">
        <v>8</v>
      </c>
      <c r="D24" s="560">
        <v>275583</v>
      </c>
      <c r="E24" s="560">
        <v>4588</v>
      </c>
      <c r="F24" s="576" t="s">
        <v>166</v>
      </c>
      <c r="G24" s="576" t="s">
        <v>167</v>
      </c>
      <c r="H24" s="582">
        <v>33</v>
      </c>
      <c r="I24" s="239">
        <f aca="true" t="shared" si="0" ref="I24:I43">IF(H24=330,$G$15,IF(AND(H24&lt;=132,H24&gt;=66),$G$16,IF(AND(H24&lt;66,H24&gt;=33),$G$17,$G$18)))</f>
        <v>2.433</v>
      </c>
      <c r="J24" s="577">
        <v>41791.407638888886</v>
      </c>
      <c r="K24" s="578">
        <v>41791.45972222222</v>
      </c>
      <c r="L24" s="30">
        <f aca="true" t="shared" si="1" ref="L24:L43">IF(F24="","",(K24-J24)*24)</f>
        <v>1.2500000000582077</v>
      </c>
      <c r="M24" s="57">
        <f aca="true" t="shared" si="2" ref="M24:M43">IF(F24="","",ROUND((K24-J24)*24*60,0))</f>
        <v>75</v>
      </c>
      <c r="N24" s="579" t="s">
        <v>155</v>
      </c>
      <c r="O24" s="24" t="str">
        <f aca="true" t="shared" si="3" ref="O24:O43">IF(F24="","",IF(N24="P","--","NO"))</f>
        <v>NO</v>
      </c>
      <c r="P24" s="314">
        <f aca="true" t="shared" si="4" ref="P24:P43">IF(H24=330,$H$15,IF(AND(H24&lt;=132,H24&gt;=66),$H$16,IF(AND(H24&lt;66,H24&gt;13.2),$H$17,$H$18)))</f>
        <v>25</v>
      </c>
      <c r="Q24" s="642" t="str">
        <f aca="true" t="shared" si="5" ref="Q24:Q43">IF(N24="P",I24*P24*ROUND(M24/60,2)*0.1,"--")</f>
        <v>--</v>
      </c>
      <c r="R24" s="308">
        <f aca="true" t="shared" si="6" ref="R24:R43">IF(AND(N24="F",O24="NO"),I24*P24,"--")</f>
        <v>60.824999999999996</v>
      </c>
      <c r="S24" s="309">
        <f aca="true" t="shared" si="7" ref="S24:S43">IF(N24="F",I24*P24*ROUND(M24/60,2),"--")</f>
        <v>76.03125</v>
      </c>
      <c r="T24" s="325" t="str">
        <f aca="true" t="shared" si="8" ref="T24:T43">IF(N24="RF",I24*P24*ROUND(M24/60,2),"--")</f>
        <v>--</v>
      </c>
      <c r="U24" s="21" t="str">
        <f aca="true" t="shared" si="9" ref="U24:U43">IF(F24="","","SI")</f>
        <v>SI</v>
      </c>
      <c r="V24" s="58">
        <f aca="true" t="shared" si="10" ref="V24:V43">IF(F24="","",SUM(Q24:T24)*IF(U24="SI",1,2)*IF(H24="500/220",0,1))</f>
        <v>136.85625</v>
      </c>
      <c r="W24" s="33"/>
    </row>
    <row r="25" spans="2:23" s="9" customFormat="1" ht="16.5" customHeight="1">
      <c r="B25" s="39"/>
      <c r="C25" s="575"/>
      <c r="D25" s="560"/>
      <c r="E25" s="560"/>
      <c r="F25" s="576"/>
      <c r="G25" s="576"/>
      <c r="H25" s="582"/>
      <c r="I25" s="239">
        <f t="shared" si="0"/>
        <v>2.433</v>
      </c>
      <c r="J25" s="577"/>
      <c r="K25" s="578"/>
      <c r="L25" s="30">
        <f t="shared" si="1"/>
      </c>
      <c r="M25" s="57">
        <f t="shared" si="2"/>
      </c>
      <c r="N25" s="579"/>
      <c r="O25" s="24">
        <f t="shared" si="3"/>
      </c>
      <c r="P25" s="314">
        <f t="shared" si="4"/>
        <v>20</v>
      </c>
      <c r="Q25" s="642" t="str">
        <f t="shared" si="5"/>
        <v>--</v>
      </c>
      <c r="R25" s="308" t="str">
        <f t="shared" si="6"/>
        <v>--</v>
      </c>
      <c r="S25" s="309" t="str">
        <f t="shared" si="7"/>
        <v>--</v>
      </c>
      <c r="T25" s="325" t="str">
        <f t="shared" si="8"/>
        <v>--</v>
      </c>
      <c r="U25" s="21">
        <f t="shared" si="9"/>
      </c>
      <c r="V25" s="58">
        <f t="shared" si="10"/>
      </c>
      <c r="W25" s="33"/>
    </row>
    <row r="26" spans="2:23" s="9" customFormat="1" ht="16.5" customHeight="1">
      <c r="B26" s="39"/>
      <c r="C26" s="575"/>
      <c r="D26" s="560"/>
      <c r="E26" s="560"/>
      <c r="F26" s="576"/>
      <c r="G26" s="576"/>
      <c r="H26" s="582"/>
      <c r="I26" s="239">
        <f t="shared" si="0"/>
        <v>2.433</v>
      </c>
      <c r="J26" s="577"/>
      <c r="K26" s="578"/>
      <c r="L26" s="30">
        <f t="shared" si="1"/>
      </c>
      <c r="M26" s="57">
        <f t="shared" si="2"/>
      </c>
      <c r="N26" s="579"/>
      <c r="O26" s="24">
        <f t="shared" si="3"/>
      </c>
      <c r="P26" s="314">
        <f t="shared" si="4"/>
        <v>20</v>
      </c>
      <c r="Q26" s="642" t="str">
        <f t="shared" si="5"/>
        <v>--</v>
      </c>
      <c r="R26" s="308" t="str">
        <f t="shared" si="6"/>
        <v>--</v>
      </c>
      <c r="S26" s="309" t="str">
        <f t="shared" si="7"/>
        <v>--</v>
      </c>
      <c r="T26" s="325" t="str">
        <f t="shared" si="8"/>
        <v>--</v>
      </c>
      <c r="U26" s="21">
        <f t="shared" si="9"/>
      </c>
      <c r="V26" s="58">
        <f t="shared" si="10"/>
      </c>
      <c r="W26" s="33"/>
    </row>
    <row r="27" spans="2:23" s="9" customFormat="1" ht="16.5" customHeight="1">
      <c r="B27" s="39"/>
      <c r="C27" s="575"/>
      <c r="D27" s="560"/>
      <c r="E27" s="560"/>
      <c r="F27" s="576"/>
      <c r="G27" s="576"/>
      <c r="H27" s="582"/>
      <c r="I27" s="239">
        <f t="shared" si="0"/>
        <v>2.433</v>
      </c>
      <c r="J27" s="577"/>
      <c r="K27" s="578"/>
      <c r="L27" s="30">
        <f t="shared" si="1"/>
      </c>
      <c r="M27" s="57">
        <f t="shared" si="2"/>
      </c>
      <c r="N27" s="579"/>
      <c r="O27" s="24">
        <f t="shared" si="3"/>
      </c>
      <c r="P27" s="314">
        <f t="shared" si="4"/>
        <v>20</v>
      </c>
      <c r="Q27" s="642" t="str">
        <f t="shared" si="5"/>
        <v>--</v>
      </c>
      <c r="R27" s="308" t="str">
        <f t="shared" si="6"/>
        <v>--</v>
      </c>
      <c r="S27" s="309" t="str">
        <f t="shared" si="7"/>
        <v>--</v>
      </c>
      <c r="T27" s="325" t="str">
        <f t="shared" si="8"/>
        <v>--</v>
      </c>
      <c r="U27" s="21">
        <f t="shared" si="9"/>
      </c>
      <c r="V27" s="58">
        <f t="shared" si="10"/>
      </c>
      <c r="W27" s="33"/>
    </row>
    <row r="28" spans="2:23" s="9" customFormat="1" ht="16.5" customHeight="1">
      <c r="B28" s="39"/>
      <c r="C28" s="575"/>
      <c r="D28" s="560"/>
      <c r="E28" s="560"/>
      <c r="F28" s="576"/>
      <c r="G28" s="576"/>
      <c r="H28" s="582"/>
      <c r="I28" s="239">
        <f t="shared" si="0"/>
        <v>2.433</v>
      </c>
      <c r="J28" s="577"/>
      <c r="K28" s="578"/>
      <c r="L28" s="30">
        <f t="shared" si="1"/>
      </c>
      <c r="M28" s="57">
        <f t="shared" si="2"/>
      </c>
      <c r="N28" s="579"/>
      <c r="O28" s="24">
        <f t="shared" si="3"/>
      </c>
      <c r="P28" s="314">
        <f t="shared" si="4"/>
        <v>20</v>
      </c>
      <c r="Q28" s="642" t="str">
        <f t="shared" si="5"/>
        <v>--</v>
      </c>
      <c r="R28" s="308" t="str">
        <f t="shared" si="6"/>
        <v>--</v>
      </c>
      <c r="S28" s="309" t="str">
        <f t="shared" si="7"/>
        <v>--</v>
      </c>
      <c r="T28" s="325" t="str">
        <f t="shared" si="8"/>
        <v>--</v>
      </c>
      <c r="U28" s="21">
        <f t="shared" si="9"/>
      </c>
      <c r="V28" s="58">
        <f t="shared" si="10"/>
      </c>
      <c r="W28" s="33"/>
    </row>
    <row r="29" spans="2:23" s="9" customFormat="1" ht="16.5" customHeight="1">
      <c r="B29" s="39"/>
      <c r="C29" s="575"/>
      <c r="D29" s="560"/>
      <c r="E29" s="560"/>
      <c r="F29" s="576"/>
      <c r="G29" s="576"/>
      <c r="H29" s="582"/>
      <c r="I29" s="239">
        <f t="shared" si="0"/>
        <v>2.433</v>
      </c>
      <c r="J29" s="577"/>
      <c r="K29" s="578"/>
      <c r="L29" s="30">
        <f t="shared" si="1"/>
      </c>
      <c r="M29" s="57">
        <f t="shared" si="2"/>
      </c>
      <c r="N29" s="579"/>
      <c r="O29" s="24">
        <f t="shared" si="3"/>
      </c>
      <c r="P29" s="314">
        <f t="shared" si="4"/>
        <v>20</v>
      </c>
      <c r="Q29" s="642" t="str">
        <f t="shared" si="5"/>
        <v>--</v>
      </c>
      <c r="R29" s="308" t="str">
        <f t="shared" si="6"/>
        <v>--</v>
      </c>
      <c r="S29" s="309" t="str">
        <f t="shared" si="7"/>
        <v>--</v>
      </c>
      <c r="T29" s="325" t="str">
        <f t="shared" si="8"/>
        <v>--</v>
      </c>
      <c r="U29" s="21">
        <f t="shared" si="9"/>
      </c>
      <c r="V29" s="58">
        <f t="shared" si="10"/>
      </c>
      <c r="W29" s="33"/>
    </row>
    <row r="30" spans="2:23" s="9" customFormat="1" ht="16.5" customHeight="1">
      <c r="B30" s="39"/>
      <c r="C30" s="575"/>
      <c r="D30" s="560"/>
      <c r="E30" s="560"/>
      <c r="F30" s="576"/>
      <c r="G30" s="576"/>
      <c r="H30" s="582"/>
      <c r="I30" s="239">
        <f t="shared" si="0"/>
        <v>2.433</v>
      </c>
      <c r="J30" s="577"/>
      <c r="K30" s="578"/>
      <c r="L30" s="30">
        <f t="shared" si="1"/>
      </c>
      <c r="M30" s="57">
        <f t="shared" si="2"/>
      </c>
      <c r="N30" s="579"/>
      <c r="O30" s="24">
        <f t="shared" si="3"/>
      </c>
      <c r="P30" s="314">
        <f t="shared" si="4"/>
        <v>20</v>
      </c>
      <c r="Q30" s="642" t="str">
        <f t="shared" si="5"/>
        <v>--</v>
      </c>
      <c r="R30" s="308" t="str">
        <f t="shared" si="6"/>
        <v>--</v>
      </c>
      <c r="S30" s="309" t="str">
        <f t="shared" si="7"/>
        <v>--</v>
      </c>
      <c r="T30" s="325" t="str">
        <f t="shared" si="8"/>
        <v>--</v>
      </c>
      <c r="U30" s="21">
        <f t="shared" si="9"/>
      </c>
      <c r="V30" s="58">
        <f t="shared" si="10"/>
      </c>
      <c r="W30" s="33"/>
    </row>
    <row r="31" spans="2:23" s="9" customFormat="1" ht="16.5" customHeight="1">
      <c r="B31" s="39"/>
      <c r="C31" s="575"/>
      <c r="D31" s="560"/>
      <c r="E31" s="560"/>
      <c r="F31" s="576"/>
      <c r="G31" s="576"/>
      <c r="H31" s="582"/>
      <c r="I31" s="239">
        <f t="shared" si="0"/>
        <v>2.433</v>
      </c>
      <c r="J31" s="577"/>
      <c r="K31" s="578"/>
      <c r="L31" s="30">
        <f t="shared" si="1"/>
      </c>
      <c r="M31" s="57">
        <f t="shared" si="2"/>
      </c>
      <c r="N31" s="579"/>
      <c r="O31" s="24">
        <f t="shared" si="3"/>
      </c>
      <c r="P31" s="314">
        <f t="shared" si="4"/>
        <v>20</v>
      </c>
      <c r="Q31" s="642" t="str">
        <f t="shared" si="5"/>
        <v>--</v>
      </c>
      <c r="R31" s="308" t="str">
        <f t="shared" si="6"/>
        <v>--</v>
      </c>
      <c r="S31" s="309" t="str">
        <f t="shared" si="7"/>
        <v>--</v>
      </c>
      <c r="T31" s="325" t="str">
        <f t="shared" si="8"/>
        <v>--</v>
      </c>
      <c r="U31" s="21">
        <f t="shared" si="9"/>
      </c>
      <c r="V31" s="58">
        <f t="shared" si="10"/>
      </c>
      <c r="W31" s="33"/>
    </row>
    <row r="32" spans="2:23" s="9" customFormat="1" ht="16.5" customHeight="1">
      <c r="B32" s="39"/>
      <c r="C32" s="575"/>
      <c r="D32" s="560"/>
      <c r="E32" s="560"/>
      <c r="F32" s="576"/>
      <c r="G32" s="576"/>
      <c r="H32" s="582"/>
      <c r="I32" s="239">
        <f t="shared" si="0"/>
        <v>2.433</v>
      </c>
      <c r="J32" s="577"/>
      <c r="K32" s="578"/>
      <c r="L32" s="30">
        <f t="shared" si="1"/>
      </c>
      <c r="M32" s="57">
        <f t="shared" si="2"/>
      </c>
      <c r="N32" s="579"/>
      <c r="O32" s="24">
        <f t="shared" si="3"/>
      </c>
      <c r="P32" s="314">
        <f t="shared" si="4"/>
        <v>20</v>
      </c>
      <c r="Q32" s="642" t="str">
        <f t="shared" si="5"/>
        <v>--</v>
      </c>
      <c r="R32" s="308" t="str">
        <f t="shared" si="6"/>
        <v>--</v>
      </c>
      <c r="S32" s="309" t="str">
        <f t="shared" si="7"/>
        <v>--</v>
      </c>
      <c r="T32" s="325" t="str">
        <f t="shared" si="8"/>
        <v>--</v>
      </c>
      <c r="U32" s="21">
        <f t="shared" si="9"/>
      </c>
      <c r="V32" s="58">
        <f t="shared" si="10"/>
      </c>
      <c r="W32" s="33"/>
    </row>
    <row r="33" spans="2:23" s="9" customFormat="1" ht="16.5" customHeight="1">
      <c r="B33" s="39"/>
      <c r="C33" s="575"/>
      <c r="D33" s="560"/>
      <c r="E33" s="560"/>
      <c r="F33" s="576"/>
      <c r="G33" s="576"/>
      <c r="H33" s="582"/>
      <c r="I33" s="239">
        <f t="shared" si="0"/>
        <v>2.433</v>
      </c>
      <c r="J33" s="577"/>
      <c r="K33" s="578"/>
      <c r="L33" s="30">
        <f t="shared" si="1"/>
      </c>
      <c r="M33" s="57">
        <f t="shared" si="2"/>
      </c>
      <c r="N33" s="579"/>
      <c r="O33" s="24">
        <f t="shared" si="3"/>
      </c>
      <c r="P33" s="314">
        <f t="shared" si="4"/>
        <v>20</v>
      </c>
      <c r="Q33" s="642" t="str">
        <f t="shared" si="5"/>
        <v>--</v>
      </c>
      <c r="R33" s="308" t="str">
        <f t="shared" si="6"/>
        <v>--</v>
      </c>
      <c r="S33" s="309" t="str">
        <f t="shared" si="7"/>
        <v>--</v>
      </c>
      <c r="T33" s="325" t="str">
        <f t="shared" si="8"/>
        <v>--</v>
      </c>
      <c r="U33" s="21">
        <f t="shared" si="9"/>
      </c>
      <c r="V33" s="58">
        <f t="shared" si="10"/>
      </c>
      <c r="W33" s="33"/>
    </row>
    <row r="34" spans="2:23" s="9" customFormat="1" ht="16.5" customHeight="1">
      <c r="B34" s="39"/>
      <c r="C34" s="575"/>
      <c r="D34" s="560"/>
      <c r="E34" s="560"/>
      <c r="F34" s="576"/>
      <c r="G34" s="576"/>
      <c r="H34" s="582"/>
      <c r="I34" s="239">
        <f t="shared" si="0"/>
        <v>2.433</v>
      </c>
      <c r="J34" s="577"/>
      <c r="K34" s="578"/>
      <c r="L34" s="30">
        <f t="shared" si="1"/>
      </c>
      <c r="M34" s="57">
        <f t="shared" si="2"/>
      </c>
      <c r="N34" s="579"/>
      <c r="O34" s="24">
        <f t="shared" si="3"/>
      </c>
      <c r="P34" s="314">
        <f t="shared" si="4"/>
        <v>20</v>
      </c>
      <c r="Q34" s="642" t="str">
        <f t="shared" si="5"/>
        <v>--</v>
      </c>
      <c r="R34" s="308" t="str">
        <f t="shared" si="6"/>
        <v>--</v>
      </c>
      <c r="S34" s="309" t="str">
        <f t="shared" si="7"/>
        <v>--</v>
      </c>
      <c r="T34" s="325" t="str">
        <f t="shared" si="8"/>
        <v>--</v>
      </c>
      <c r="U34" s="21">
        <f t="shared" si="9"/>
      </c>
      <c r="V34" s="58">
        <f t="shared" si="10"/>
      </c>
      <c r="W34" s="33"/>
    </row>
    <row r="35" spans="2:23" s="9" customFormat="1" ht="16.5" customHeight="1">
      <c r="B35" s="39"/>
      <c r="C35" s="575"/>
      <c r="D35" s="560"/>
      <c r="E35" s="560"/>
      <c r="F35" s="576"/>
      <c r="G35" s="576"/>
      <c r="H35" s="582"/>
      <c r="I35" s="239">
        <f t="shared" si="0"/>
        <v>2.433</v>
      </c>
      <c r="J35" s="577"/>
      <c r="K35" s="578"/>
      <c r="L35" s="30">
        <f t="shared" si="1"/>
      </c>
      <c r="M35" s="57">
        <f t="shared" si="2"/>
      </c>
      <c r="N35" s="579"/>
      <c r="O35" s="24">
        <f t="shared" si="3"/>
      </c>
      <c r="P35" s="314">
        <f t="shared" si="4"/>
        <v>20</v>
      </c>
      <c r="Q35" s="642" t="str">
        <f t="shared" si="5"/>
        <v>--</v>
      </c>
      <c r="R35" s="308" t="str">
        <f t="shared" si="6"/>
        <v>--</v>
      </c>
      <c r="S35" s="309" t="str">
        <f t="shared" si="7"/>
        <v>--</v>
      </c>
      <c r="T35" s="325" t="str">
        <f t="shared" si="8"/>
        <v>--</v>
      </c>
      <c r="U35" s="21">
        <f t="shared" si="9"/>
      </c>
      <c r="V35" s="58">
        <f t="shared" si="10"/>
      </c>
      <c r="W35" s="33"/>
    </row>
    <row r="36" spans="2:23" s="9" customFormat="1" ht="16.5" customHeight="1">
      <c r="B36" s="39"/>
      <c r="C36" s="575"/>
      <c r="D36" s="560"/>
      <c r="E36" s="560"/>
      <c r="F36" s="576"/>
      <c r="G36" s="576"/>
      <c r="H36" s="582"/>
      <c r="I36" s="239">
        <f t="shared" si="0"/>
        <v>2.433</v>
      </c>
      <c r="J36" s="577"/>
      <c r="K36" s="578"/>
      <c r="L36" s="30">
        <f t="shared" si="1"/>
      </c>
      <c r="M36" s="57">
        <f t="shared" si="2"/>
      </c>
      <c r="N36" s="579"/>
      <c r="O36" s="24">
        <f t="shared" si="3"/>
      </c>
      <c r="P36" s="314">
        <f t="shared" si="4"/>
        <v>20</v>
      </c>
      <c r="Q36" s="642" t="str">
        <f t="shared" si="5"/>
        <v>--</v>
      </c>
      <c r="R36" s="308" t="str">
        <f t="shared" si="6"/>
        <v>--</v>
      </c>
      <c r="S36" s="309" t="str">
        <f t="shared" si="7"/>
        <v>--</v>
      </c>
      <c r="T36" s="325" t="str">
        <f t="shared" si="8"/>
        <v>--</v>
      </c>
      <c r="U36" s="21">
        <f t="shared" si="9"/>
      </c>
      <c r="V36" s="58">
        <f t="shared" si="10"/>
      </c>
      <c r="W36" s="33"/>
    </row>
    <row r="37" spans="2:23" s="9" customFormat="1" ht="16.5" customHeight="1">
      <c r="B37" s="39"/>
      <c r="C37" s="575"/>
      <c r="D37" s="560"/>
      <c r="E37" s="560"/>
      <c r="F37" s="576"/>
      <c r="G37" s="576"/>
      <c r="H37" s="582"/>
      <c r="I37" s="239">
        <f t="shared" si="0"/>
        <v>2.433</v>
      </c>
      <c r="J37" s="577"/>
      <c r="K37" s="578"/>
      <c r="L37" s="30">
        <f t="shared" si="1"/>
      </c>
      <c r="M37" s="57">
        <f t="shared" si="2"/>
      </c>
      <c r="N37" s="579"/>
      <c r="O37" s="24">
        <f t="shared" si="3"/>
      </c>
      <c r="P37" s="314">
        <f t="shared" si="4"/>
        <v>20</v>
      </c>
      <c r="Q37" s="642" t="str">
        <f t="shared" si="5"/>
        <v>--</v>
      </c>
      <c r="R37" s="308" t="str">
        <f t="shared" si="6"/>
        <v>--</v>
      </c>
      <c r="S37" s="309" t="str">
        <f t="shared" si="7"/>
        <v>--</v>
      </c>
      <c r="T37" s="325" t="str">
        <f t="shared" si="8"/>
        <v>--</v>
      </c>
      <c r="U37" s="21">
        <f t="shared" si="9"/>
      </c>
      <c r="V37" s="58">
        <f t="shared" si="10"/>
      </c>
      <c r="W37" s="33"/>
    </row>
    <row r="38" spans="2:23" s="9" customFormat="1" ht="16.5" customHeight="1">
      <c r="B38" s="39"/>
      <c r="C38" s="575"/>
      <c r="D38" s="560"/>
      <c r="E38" s="560"/>
      <c r="F38" s="576"/>
      <c r="G38" s="576"/>
      <c r="H38" s="582"/>
      <c r="I38" s="239">
        <f t="shared" si="0"/>
        <v>2.433</v>
      </c>
      <c r="J38" s="577"/>
      <c r="K38" s="578"/>
      <c r="L38" s="30">
        <f t="shared" si="1"/>
      </c>
      <c r="M38" s="57">
        <f t="shared" si="2"/>
      </c>
      <c r="N38" s="579"/>
      <c r="O38" s="24">
        <f t="shared" si="3"/>
      </c>
      <c r="P38" s="314">
        <f t="shared" si="4"/>
        <v>20</v>
      </c>
      <c r="Q38" s="642" t="str">
        <f t="shared" si="5"/>
        <v>--</v>
      </c>
      <c r="R38" s="308" t="str">
        <f t="shared" si="6"/>
        <v>--</v>
      </c>
      <c r="S38" s="309" t="str">
        <f t="shared" si="7"/>
        <v>--</v>
      </c>
      <c r="T38" s="325" t="str">
        <f t="shared" si="8"/>
        <v>--</v>
      </c>
      <c r="U38" s="21">
        <f t="shared" si="9"/>
      </c>
      <c r="V38" s="58">
        <f t="shared" si="10"/>
      </c>
      <c r="W38" s="33"/>
    </row>
    <row r="39" spans="2:23" s="9" customFormat="1" ht="16.5" customHeight="1">
      <c r="B39" s="39"/>
      <c r="C39" s="575"/>
      <c r="D39" s="560"/>
      <c r="E39" s="560"/>
      <c r="F39" s="576"/>
      <c r="G39" s="576"/>
      <c r="H39" s="582"/>
      <c r="I39" s="239">
        <f t="shared" si="0"/>
        <v>2.433</v>
      </c>
      <c r="J39" s="577"/>
      <c r="K39" s="578"/>
      <c r="L39" s="30">
        <f t="shared" si="1"/>
      </c>
      <c r="M39" s="57">
        <f t="shared" si="2"/>
      </c>
      <c r="N39" s="579"/>
      <c r="O39" s="24">
        <f t="shared" si="3"/>
      </c>
      <c r="P39" s="314">
        <f t="shared" si="4"/>
        <v>20</v>
      </c>
      <c r="Q39" s="642" t="str">
        <f t="shared" si="5"/>
        <v>--</v>
      </c>
      <c r="R39" s="308" t="str">
        <f t="shared" si="6"/>
        <v>--</v>
      </c>
      <c r="S39" s="309" t="str">
        <f t="shared" si="7"/>
        <v>--</v>
      </c>
      <c r="T39" s="325" t="str">
        <f t="shared" si="8"/>
        <v>--</v>
      </c>
      <c r="U39" s="21">
        <f t="shared" si="9"/>
      </c>
      <c r="V39" s="58">
        <f t="shared" si="10"/>
      </c>
      <c r="W39" s="33"/>
    </row>
    <row r="40" spans="2:23" s="9" customFormat="1" ht="16.5" customHeight="1">
      <c r="B40" s="39"/>
      <c r="C40" s="575"/>
      <c r="D40" s="560"/>
      <c r="E40" s="560"/>
      <c r="F40" s="576"/>
      <c r="G40" s="576"/>
      <c r="H40" s="582"/>
      <c r="I40" s="239">
        <f t="shared" si="0"/>
        <v>2.433</v>
      </c>
      <c r="J40" s="577"/>
      <c r="K40" s="578"/>
      <c r="L40" s="30">
        <f t="shared" si="1"/>
      </c>
      <c r="M40" s="57">
        <f t="shared" si="2"/>
      </c>
      <c r="N40" s="579"/>
      <c r="O40" s="24">
        <f t="shared" si="3"/>
      </c>
      <c r="P40" s="314">
        <f t="shared" si="4"/>
        <v>20</v>
      </c>
      <c r="Q40" s="642" t="str">
        <f t="shared" si="5"/>
        <v>--</v>
      </c>
      <c r="R40" s="308" t="str">
        <f t="shared" si="6"/>
        <v>--</v>
      </c>
      <c r="S40" s="309" t="str">
        <f t="shared" si="7"/>
        <v>--</v>
      </c>
      <c r="T40" s="325" t="str">
        <f t="shared" si="8"/>
        <v>--</v>
      </c>
      <c r="U40" s="21">
        <f t="shared" si="9"/>
      </c>
      <c r="V40" s="58">
        <f t="shared" si="10"/>
      </c>
      <c r="W40" s="33"/>
    </row>
    <row r="41" spans="2:23" s="9" customFormat="1" ht="16.5" customHeight="1">
      <c r="B41" s="39"/>
      <c r="C41" s="575"/>
      <c r="D41" s="560"/>
      <c r="E41" s="560"/>
      <c r="F41" s="576"/>
      <c r="G41" s="576"/>
      <c r="H41" s="582"/>
      <c r="I41" s="239">
        <f t="shared" si="0"/>
        <v>2.433</v>
      </c>
      <c r="J41" s="577"/>
      <c r="K41" s="578"/>
      <c r="L41" s="30">
        <f t="shared" si="1"/>
      </c>
      <c r="M41" s="57">
        <f t="shared" si="2"/>
      </c>
      <c r="N41" s="579"/>
      <c r="O41" s="24">
        <f t="shared" si="3"/>
      </c>
      <c r="P41" s="314">
        <f t="shared" si="4"/>
        <v>20</v>
      </c>
      <c r="Q41" s="642" t="str">
        <f t="shared" si="5"/>
        <v>--</v>
      </c>
      <c r="R41" s="308" t="str">
        <f t="shared" si="6"/>
        <v>--</v>
      </c>
      <c r="S41" s="309" t="str">
        <f t="shared" si="7"/>
        <v>--</v>
      </c>
      <c r="T41" s="325" t="str">
        <f t="shared" si="8"/>
        <v>--</v>
      </c>
      <c r="U41" s="21">
        <f t="shared" si="9"/>
      </c>
      <c r="V41" s="58">
        <f t="shared" si="10"/>
      </c>
      <c r="W41" s="33"/>
    </row>
    <row r="42" spans="2:23" s="9" customFormat="1" ht="16.5" customHeight="1">
      <c r="B42" s="39"/>
      <c r="C42" s="575"/>
      <c r="D42" s="560"/>
      <c r="E42" s="560"/>
      <c r="F42" s="576"/>
      <c r="G42" s="576"/>
      <c r="H42" s="582"/>
      <c r="I42" s="239">
        <f t="shared" si="0"/>
        <v>2.433</v>
      </c>
      <c r="J42" s="577"/>
      <c r="K42" s="578"/>
      <c r="L42" s="30">
        <f t="shared" si="1"/>
      </c>
      <c r="M42" s="57">
        <f t="shared" si="2"/>
      </c>
      <c r="N42" s="579"/>
      <c r="O42" s="24">
        <f t="shared" si="3"/>
      </c>
      <c r="P42" s="314">
        <f t="shared" si="4"/>
        <v>20</v>
      </c>
      <c r="Q42" s="642" t="str">
        <f t="shared" si="5"/>
        <v>--</v>
      </c>
      <c r="R42" s="308" t="str">
        <f t="shared" si="6"/>
        <v>--</v>
      </c>
      <c r="S42" s="309" t="str">
        <f t="shared" si="7"/>
        <v>--</v>
      </c>
      <c r="T42" s="325" t="str">
        <f t="shared" si="8"/>
        <v>--</v>
      </c>
      <c r="U42" s="21">
        <f t="shared" si="9"/>
      </c>
      <c r="V42" s="58">
        <f t="shared" si="10"/>
      </c>
      <c r="W42" s="33"/>
    </row>
    <row r="43" spans="2:23" s="9" customFormat="1" ht="16.5" customHeight="1">
      <c r="B43" s="39"/>
      <c r="C43" s="575"/>
      <c r="D43" s="560"/>
      <c r="E43" s="560"/>
      <c r="F43" s="576"/>
      <c r="G43" s="576"/>
      <c r="H43" s="582"/>
      <c r="I43" s="239">
        <f t="shared" si="0"/>
        <v>2.433</v>
      </c>
      <c r="J43" s="577"/>
      <c r="K43" s="578"/>
      <c r="L43" s="30">
        <f t="shared" si="1"/>
      </c>
      <c r="M43" s="57">
        <f t="shared" si="2"/>
      </c>
      <c r="N43" s="579"/>
      <c r="O43" s="24">
        <f t="shared" si="3"/>
      </c>
      <c r="P43" s="314">
        <f t="shared" si="4"/>
        <v>20</v>
      </c>
      <c r="Q43" s="642" t="str">
        <f t="shared" si="5"/>
        <v>--</v>
      </c>
      <c r="R43" s="308" t="str">
        <f t="shared" si="6"/>
        <v>--</v>
      </c>
      <c r="S43" s="309" t="str">
        <f t="shared" si="7"/>
        <v>--</v>
      </c>
      <c r="T43" s="325" t="str">
        <f t="shared" si="8"/>
        <v>--</v>
      </c>
      <c r="U43" s="21">
        <f t="shared" si="9"/>
      </c>
      <c r="V43" s="58">
        <f t="shared" si="10"/>
      </c>
      <c r="W43" s="33"/>
    </row>
    <row r="44" spans="2:23" s="9" customFormat="1" ht="16.5" customHeight="1" thickBot="1">
      <c r="B44" s="39"/>
      <c r="C44" s="563"/>
      <c r="D44" s="563"/>
      <c r="E44" s="563"/>
      <c r="F44" s="563"/>
      <c r="G44" s="563"/>
      <c r="H44" s="563"/>
      <c r="I44" s="238"/>
      <c r="J44" s="563"/>
      <c r="K44" s="563"/>
      <c r="L44" s="25"/>
      <c r="M44" s="25"/>
      <c r="N44" s="563"/>
      <c r="O44" s="563"/>
      <c r="P44" s="580"/>
      <c r="Q44" s="581"/>
      <c r="R44" s="571"/>
      <c r="S44" s="572"/>
      <c r="T44" s="566"/>
      <c r="U44" s="563"/>
      <c r="V44" s="186"/>
      <c r="W44" s="33"/>
    </row>
    <row r="45" spans="2:23" s="9" customFormat="1" ht="16.5" customHeight="1" thickBot="1" thickTop="1">
      <c r="B45" s="39"/>
      <c r="C45" s="210" t="s">
        <v>66</v>
      </c>
      <c r="D45" s="654" t="s">
        <v>175</v>
      </c>
      <c r="E45" s="622"/>
      <c r="F45" s="21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26">
        <f>ROUND(SUM(Q22:Q44),2)</f>
        <v>0</v>
      </c>
      <c r="R45" s="293">
        <f>SUM(R22:R44)</f>
        <v>60.824999999999996</v>
      </c>
      <c r="S45" s="293">
        <f>SUM(S22:S44)</f>
        <v>76.03125</v>
      </c>
      <c r="T45" s="327">
        <f>SUM(T22:T44)</f>
        <v>0</v>
      </c>
      <c r="U45" s="59"/>
      <c r="V45" s="226">
        <f>SUM(V22:V44)</f>
        <v>136.85625</v>
      </c>
      <c r="W45" s="33"/>
    </row>
    <row r="46" spans="2:23" s="228" customFormat="1" ht="9.75" thickTop="1">
      <c r="B46" s="227"/>
      <c r="C46" s="212"/>
      <c r="D46" s="212"/>
      <c r="E46" s="212"/>
      <c r="F46" s="213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  <c r="V46" s="231"/>
      <c r="W46" s="232"/>
    </row>
    <row r="47" spans="1:23" s="9" customFormat="1" ht="16.5" customHeight="1" thickBot="1">
      <c r="A47" s="10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9"/>
    </row>
    <row r="48" spans="1:23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6" ht="12.75">
      <c r="C49" s="5"/>
      <c r="D49" s="5"/>
      <c r="E49" s="5"/>
      <c r="F49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L49" sqref="L49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1" customFormat="1" ht="39.75" customHeight="1">
      <c r="P1" s="336"/>
    </row>
    <row r="2" spans="1:16" s="101" customFormat="1" ht="26.25">
      <c r="A2" s="162"/>
      <c r="B2" s="620" t="str">
        <f>'TOT-0614'!B2</f>
        <v>ANEXO VI al Memorándum  D.T.E.E.  N°  223 /2016         .-</v>
      </c>
      <c r="C2" s="620"/>
      <c r="D2" s="620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4" s="104" customFormat="1" ht="12.75">
      <c r="A3" s="625" t="s">
        <v>148</v>
      </c>
      <c r="B3" s="9"/>
      <c r="C3" s="9"/>
      <c r="D3" s="9"/>
    </row>
    <row r="4" spans="1:4" s="104" customFormat="1" ht="11.25">
      <c r="A4" s="625" t="s">
        <v>177</v>
      </c>
      <c r="B4" s="201"/>
      <c r="C4" s="201"/>
      <c r="D4" s="201"/>
    </row>
    <row r="5" spans="1:4" s="9" customFormat="1" ht="13.5" thickBot="1">
      <c r="A5" s="625"/>
      <c r="B5" s="201"/>
      <c r="C5" s="201"/>
      <c r="D5" s="201"/>
    </row>
    <row r="6" spans="1:16" s="9" customFormat="1" ht="13.5" thickTop="1">
      <c r="A6" s="7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06" customFormat="1" ht="20.25">
      <c r="A7" s="40"/>
      <c r="B7" s="105"/>
      <c r="C7" s="40"/>
      <c r="D7" s="19" t="s">
        <v>42</v>
      </c>
      <c r="G7" s="40"/>
      <c r="H7" s="40"/>
      <c r="I7" s="40"/>
      <c r="J7" s="40"/>
      <c r="K7" s="40"/>
      <c r="L7" s="40"/>
      <c r="M7" s="40"/>
      <c r="N7" s="40"/>
      <c r="O7" s="40"/>
      <c r="P7" s="107"/>
    </row>
    <row r="8" spans="1:16" ht="15">
      <c r="A8" s="1"/>
      <c r="B8" s="241"/>
      <c r="C8" s="66"/>
      <c r="D8" s="337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45"/>
    </row>
    <row r="9" spans="1:19" s="106" customFormat="1" ht="20.25">
      <c r="A9" s="40"/>
      <c r="B9" s="338"/>
      <c r="C9"/>
      <c r="D9" s="20" t="s">
        <v>140</v>
      </c>
      <c r="E9" s="339"/>
      <c r="F9" s="339"/>
      <c r="G9" s="339"/>
      <c r="H9" s="340"/>
      <c r="I9" s="339"/>
      <c r="J9" s="339"/>
      <c r="K9" s="339"/>
      <c r="L9" s="339"/>
      <c r="M9" s="339"/>
      <c r="N9" s="339"/>
      <c r="O9" s="339"/>
      <c r="P9" s="341"/>
      <c r="Q9" s="202"/>
      <c r="R9" s="164"/>
      <c r="S9" s="164"/>
    </row>
    <row r="10" spans="1:19" s="9" customFormat="1" ht="12.75">
      <c r="A10" s="7"/>
      <c r="B10" s="39"/>
      <c r="C10" s="7"/>
      <c r="D10" s="60"/>
      <c r="E10" s="26"/>
      <c r="F10" s="26"/>
      <c r="G10" s="26"/>
      <c r="H10" s="161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163"/>
    </row>
    <row r="11" spans="1:19" s="113" customFormat="1" ht="19.5">
      <c r="A11" s="42"/>
      <c r="B11" s="205" t="str">
        <f>+'TOT-0614'!B14</f>
        <v>Desde el 01 al 30 de junio de 2014</v>
      </c>
      <c r="C11" s="135"/>
      <c r="D11" s="173"/>
      <c r="E11" s="173"/>
      <c r="F11" s="173"/>
      <c r="G11" s="173"/>
      <c r="H11" s="173"/>
      <c r="I11" s="135"/>
      <c r="J11" s="173"/>
      <c r="K11" s="173"/>
      <c r="L11" s="173"/>
      <c r="M11" s="173"/>
      <c r="N11" s="173"/>
      <c r="O11" s="173"/>
      <c r="P11" s="342"/>
      <c r="Q11" s="343"/>
      <c r="R11" s="343"/>
      <c r="S11" s="343"/>
    </row>
    <row r="12" spans="1:19" ht="15">
      <c r="A12" s="1"/>
      <c r="B12" s="241"/>
      <c r="C12" s="66"/>
      <c r="D12" s="62"/>
      <c r="E12" s="62"/>
      <c r="F12" s="62"/>
      <c r="G12" s="62"/>
      <c r="H12" s="344"/>
      <c r="I12" s="66"/>
      <c r="J12" s="62"/>
      <c r="K12" s="62"/>
      <c r="L12" s="62"/>
      <c r="M12" s="62"/>
      <c r="N12" s="62"/>
      <c r="O12" s="62"/>
      <c r="P12" s="63"/>
      <c r="Q12" s="4"/>
      <c r="R12" s="4"/>
      <c r="S12" s="345"/>
    </row>
    <row r="13" spans="1:19" ht="18" customHeight="1">
      <c r="A13" s="1"/>
      <c r="B13" s="241"/>
      <c r="C13" s="66"/>
      <c r="D13" s="62"/>
      <c r="E13" s="62"/>
      <c r="F13" s="62"/>
      <c r="G13" s="62"/>
      <c r="H13" s="73"/>
      <c r="I13" s="73"/>
      <c r="J13" s="62"/>
      <c r="K13" s="62"/>
      <c r="P13" s="63"/>
      <c r="Q13" s="4"/>
      <c r="R13" s="4"/>
      <c r="S13" s="345"/>
    </row>
    <row r="14" spans="1:19" ht="18" customHeight="1">
      <c r="A14" s="1"/>
      <c r="B14" s="241"/>
      <c r="C14" s="66"/>
      <c r="D14" s="61"/>
      <c r="E14" s="346"/>
      <c r="F14" s="62"/>
      <c r="G14" s="62"/>
      <c r="H14" s="73"/>
      <c r="I14" s="73"/>
      <c r="J14" s="62"/>
      <c r="K14" s="62"/>
      <c r="P14" s="63"/>
      <c r="Q14" s="4"/>
      <c r="R14" s="4"/>
      <c r="S14" s="345"/>
    </row>
    <row r="15" spans="1:16" ht="16.5" thickBot="1">
      <c r="A15" s="1"/>
      <c r="B15" s="241"/>
      <c r="C15" s="347" t="s">
        <v>88</v>
      </c>
      <c r="D15" s="64"/>
      <c r="E15" s="242"/>
      <c r="F15" s="243"/>
      <c r="G15" s="66"/>
      <c r="H15" s="66"/>
      <c r="I15" s="66"/>
      <c r="J15" s="65"/>
      <c r="K15" s="65"/>
      <c r="L15" s="244"/>
      <c r="M15" s="66"/>
      <c r="N15" s="66"/>
      <c r="O15" s="66"/>
      <c r="P15" s="245"/>
    </row>
    <row r="16" spans="1:16" ht="16.5" thickBot="1">
      <c r="A16" s="1"/>
      <c r="B16" s="241"/>
      <c r="C16" s="246"/>
      <c r="D16" s="64"/>
      <c r="E16" s="242"/>
      <c r="F16" s="243"/>
      <c r="G16" s="66"/>
      <c r="H16" s="66"/>
      <c r="L16" s="348" t="s">
        <v>84</v>
      </c>
      <c r="M16" s="664">
        <v>8.811</v>
      </c>
      <c r="N16" s="665"/>
      <c r="O16" s="66"/>
      <c r="P16" s="245"/>
    </row>
    <row r="17" spans="1:16" ht="15.75">
      <c r="A17" s="1"/>
      <c r="B17" s="241"/>
      <c r="C17" s="246"/>
      <c r="D17" s="65" t="s">
        <v>89</v>
      </c>
      <c r="E17" s="247">
        <f>MID(B11,16,2)*24</f>
        <v>720</v>
      </c>
      <c r="F17" s="66" t="s">
        <v>90</v>
      </c>
      <c r="G17" s="62"/>
      <c r="H17" s="349"/>
      <c r="I17" s="350" t="s">
        <v>91</v>
      </c>
      <c r="J17" s="659">
        <v>189.499</v>
      </c>
      <c r="K17" s="332"/>
      <c r="L17" s="351" t="s">
        <v>85</v>
      </c>
      <c r="M17" s="666">
        <v>6.612</v>
      </c>
      <c r="N17" s="667"/>
      <c r="O17" s="66"/>
      <c r="P17" s="245"/>
    </row>
    <row r="18" spans="1:16" ht="16.5" thickBot="1">
      <c r="A18" s="1"/>
      <c r="B18" s="241"/>
      <c r="C18" s="246"/>
      <c r="D18" s="65" t="s">
        <v>92</v>
      </c>
      <c r="E18" s="249">
        <v>0.025</v>
      </c>
      <c r="F18" s="62"/>
      <c r="G18" s="62"/>
      <c r="H18" s="352"/>
      <c r="I18" s="353" t="s">
        <v>93</v>
      </c>
      <c r="J18" s="354">
        <v>0.66</v>
      </c>
      <c r="K18" s="355"/>
      <c r="L18" s="356" t="s">
        <v>86</v>
      </c>
      <c r="M18" s="668">
        <v>6.612</v>
      </c>
      <c r="N18" s="669"/>
      <c r="O18" s="66"/>
      <c r="P18" s="245"/>
    </row>
    <row r="19" spans="1:16" ht="15.75">
      <c r="A19" s="1"/>
      <c r="B19" s="241"/>
      <c r="C19" s="246"/>
      <c r="D19" s="65"/>
      <c r="E19" s="249"/>
      <c r="F19" s="62"/>
      <c r="G19" s="62"/>
      <c r="H19" s="62"/>
      <c r="I19" s="62"/>
      <c r="L19" s="244"/>
      <c r="M19" s="66"/>
      <c r="N19" s="66"/>
      <c r="O19" s="66"/>
      <c r="P19" s="245"/>
    </row>
    <row r="20" spans="1:16" ht="15">
      <c r="A20" s="1"/>
      <c r="B20" s="241"/>
      <c r="C20" s="61" t="s">
        <v>94</v>
      </c>
      <c r="D20" s="68"/>
      <c r="E20" s="242"/>
      <c r="F20" s="243"/>
      <c r="G20" s="66"/>
      <c r="H20" s="66"/>
      <c r="I20" s="66"/>
      <c r="J20" s="65"/>
      <c r="K20" s="65"/>
      <c r="L20" s="244"/>
      <c r="M20" s="66"/>
      <c r="N20" s="66"/>
      <c r="O20" s="66"/>
      <c r="P20" s="245"/>
    </row>
    <row r="21" spans="1:16" ht="15">
      <c r="A21" s="1"/>
      <c r="B21" s="241"/>
      <c r="C21" s="66"/>
      <c r="D21" s="66"/>
      <c r="E21" s="66"/>
      <c r="F21" s="66"/>
      <c r="G21" s="66"/>
      <c r="H21" s="250"/>
      <c r="I21" s="66"/>
      <c r="J21" s="66"/>
      <c r="K21" s="66"/>
      <c r="L21" s="66"/>
      <c r="M21" s="66"/>
      <c r="N21" s="66"/>
      <c r="O21" s="66"/>
      <c r="P21" s="245"/>
    </row>
    <row r="22" spans="1:16" ht="15">
      <c r="A22" s="1"/>
      <c r="B22" s="241"/>
      <c r="C22" s="66"/>
      <c r="D22" s="65" t="s">
        <v>95</v>
      </c>
      <c r="E22" s="66"/>
      <c r="F22" s="250" t="s">
        <v>24</v>
      </c>
      <c r="G22" s="66"/>
      <c r="H22" s="64"/>
      <c r="I22" s="357">
        <v>0</v>
      </c>
      <c r="J22" s="66"/>
      <c r="K22" s="66"/>
      <c r="L22" s="358"/>
      <c r="M22" s="66"/>
      <c r="N22" s="66"/>
      <c r="O22" s="66"/>
      <c r="P22" s="245"/>
    </row>
    <row r="23" spans="1:16" ht="15">
      <c r="A23" s="1"/>
      <c r="B23" s="241"/>
      <c r="C23" s="66"/>
      <c r="D23" s="66"/>
      <c r="E23" s="66"/>
      <c r="F23" s="250" t="s">
        <v>96</v>
      </c>
      <c r="G23" s="66"/>
      <c r="H23" s="64"/>
      <c r="I23" s="357">
        <v>0</v>
      </c>
      <c r="J23" s="66"/>
      <c r="K23" s="66"/>
      <c r="L23" s="358"/>
      <c r="M23" s="66"/>
      <c r="N23" s="66"/>
      <c r="O23" s="66"/>
      <c r="P23" s="245"/>
    </row>
    <row r="24" spans="1:16" ht="15">
      <c r="A24" s="1"/>
      <c r="B24" s="241"/>
      <c r="C24" s="66"/>
      <c r="D24" s="66"/>
      <c r="E24" s="66"/>
      <c r="F24" s="250" t="s">
        <v>3</v>
      </c>
      <c r="G24" s="66"/>
      <c r="H24" s="64"/>
      <c r="I24" s="359">
        <v>837.05</v>
      </c>
      <c r="J24" s="66"/>
      <c r="K24" s="66"/>
      <c r="L24" s="358"/>
      <c r="M24" s="66"/>
      <c r="N24" s="66"/>
      <c r="O24" s="66"/>
      <c r="P24" s="245"/>
    </row>
    <row r="25" spans="1:16" ht="15.75" thickBot="1">
      <c r="A25" s="1"/>
      <c r="B25" s="241"/>
      <c r="C25" s="66"/>
      <c r="D25" s="66"/>
      <c r="E25" s="66"/>
      <c r="F25" s="66"/>
      <c r="G25" s="66"/>
      <c r="H25" s="250"/>
      <c r="I25" s="66"/>
      <c r="J25" s="66"/>
      <c r="K25" s="66"/>
      <c r="L25" s="66"/>
      <c r="M25" s="66"/>
      <c r="N25" s="66"/>
      <c r="O25" s="66"/>
      <c r="P25" s="245"/>
    </row>
    <row r="26" spans="2:16" ht="20.25" thickBot="1" thickTop="1">
      <c r="B26" s="241"/>
      <c r="C26" s="72"/>
      <c r="H26" s="360" t="s">
        <v>97</v>
      </c>
      <c r="I26" s="148">
        <f>SUM(I22:I25)</f>
        <v>837.05</v>
      </c>
      <c r="L26" s="69"/>
      <c r="M26" s="69"/>
      <c r="N26" s="70"/>
      <c r="O26" s="71"/>
      <c r="P26" s="251"/>
    </row>
    <row r="27" spans="2:16" ht="15.75" thickTop="1">
      <c r="B27" s="241"/>
      <c r="C27" s="72"/>
      <c r="D27" s="68"/>
      <c r="E27" s="68"/>
      <c r="F27" s="74"/>
      <c r="G27" s="69"/>
      <c r="H27" s="69"/>
      <c r="I27" s="69"/>
      <c r="J27" s="69"/>
      <c r="K27" s="69"/>
      <c r="L27" s="69"/>
      <c r="M27" s="69"/>
      <c r="N27" s="70"/>
      <c r="O27" s="71"/>
      <c r="P27" s="251"/>
    </row>
    <row r="28" spans="2:16" ht="15">
      <c r="B28" s="241"/>
      <c r="C28" s="61" t="s">
        <v>98</v>
      </c>
      <c r="D28" s="68"/>
      <c r="E28" s="68"/>
      <c r="F28" s="74"/>
      <c r="G28" s="69"/>
      <c r="H28" s="69"/>
      <c r="I28" s="69"/>
      <c r="J28" s="69"/>
      <c r="K28" s="69"/>
      <c r="L28" s="69"/>
      <c r="M28" s="69"/>
      <c r="N28" s="70"/>
      <c r="O28" s="71"/>
      <c r="P28" s="251"/>
    </row>
    <row r="29" spans="2:16" ht="15">
      <c r="B29" s="241"/>
      <c r="C29" s="72"/>
      <c r="D29" s="68"/>
      <c r="E29" s="68"/>
      <c r="F29" s="74"/>
      <c r="G29" s="69"/>
      <c r="H29" s="69"/>
      <c r="I29" s="69"/>
      <c r="J29" s="69"/>
      <c r="K29" s="69"/>
      <c r="L29" s="69"/>
      <c r="M29" s="69"/>
      <c r="N29" s="70"/>
      <c r="O29" s="71"/>
      <c r="P29" s="251"/>
    </row>
    <row r="30" spans="2:16" ht="15.75">
      <c r="B30" s="241"/>
      <c r="C30" s="72"/>
      <c r="D30" s="361" t="s">
        <v>99</v>
      </c>
      <c r="E30" s="362" t="s">
        <v>20</v>
      </c>
      <c r="F30" s="363" t="s">
        <v>100</v>
      </c>
      <c r="G30" s="364"/>
      <c r="H30" s="590" t="s">
        <v>136</v>
      </c>
      <c r="I30" s="589" t="s">
        <v>135</v>
      </c>
      <c r="J30" s="585"/>
      <c r="K30" s="389"/>
      <c r="L30" s="367" t="s">
        <v>2</v>
      </c>
      <c r="N30" s="70"/>
      <c r="O30" s="71"/>
      <c r="P30" s="251"/>
    </row>
    <row r="31" spans="2:16" ht="15.75">
      <c r="B31" s="241"/>
      <c r="C31" s="72"/>
      <c r="D31" s="368" t="s">
        <v>5</v>
      </c>
      <c r="E31" s="369">
        <v>132</v>
      </c>
      <c r="F31" s="370">
        <v>31</v>
      </c>
      <c r="G31" s="371"/>
      <c r="H31" s="372">
        <f>F31*$J$17*$E$17/100</f>
        <v>42296.176799999994</v>
      </c>
      <c r="I31" s="373">
        <v>0</v>
      </c>
      <c r="J31" s="587" t="s">
        <v>149</v>
      </c>
      <c r="K31" s="375"/>
      <c r="L31" s="376">
        <f>SUM(H31:K31)</f>
        <v>42296.176799999994</v>
      </c>
      <c r="M31" s="69"/>
      <c r="N31" s="70"/>
      <c r="O31" s="71"/>
      <c r="P31" s="251"/>
    </row>
    <row r="32" spans="2:16" ht="15.75">
      <c r="B32" s="241"/>
      <c r="C32" s="72"/>
      <c r="D32" s="396" t="s">
        <v>6</v>
      </c>
      <c r="E32" s="68">
        <v>132</v>
      </c>
      <c r="F32" s="74">
        <v>110.3</v>
      </c>
      <c r="G32" s="69"/>
      <c r="H32" s="256">
        <f>F32*$J$17*$E$17/100</f>
        <v>150492.52584</v>
      </c>
      <c r="I32" s="413">
        <v>15029</v>
      </c>
      <c r="J32" s="586" t="s">
        <v>149</v>
      </c>
      <c r="K32" s="248"/>
      <c r="L32" s="397">
        <f>SUM(H32:K32)</f>
        <v>165521.52584</v>
      </c>
      <c r="M32" s="69"/>
      <c r="N32" s="70"/>
      <c r="O32" s="71"/>
      <c r="P32" s="251"/>
    </row>
    <row r="33" spans="2:16" ht="15.75">
      <c r="B33" s="241"/>
      <c r="C33" s="72"/>
      <c r="D33" s="396" t="s">
        <v>7</v>
      </c>
      <c r="E33" s="68">
        <v>132</v>
      </c>
      <c r="F33" s="74">
        <v>185.6</v>
      </c>
      <c r="G33" s="69"/>
      <c r="H33" s="256">
        <f>F33*$J$17*$E$17/100</f>
        <v>253231.30368</v>
      </c>
      <c r="I33" s="413">
        <v>12021</v>
      </c>
      <c r="J33" s="586" t="s">
        <v>149</v>
      </c>
      <c r="K33" s="248"/>
      <c r="L33" s="397">
        <f>SUM(H33:K33)</f>
        <v>265252.30368</v>
      </c>
      <c r="M33" s="69"/>
      <c r="N33" s="70"/>
      <c r="O33" s="71"/>
      <c r="P33" s="251"/>
    </row>
    <row r="34" spans="2:16" ht="15.75">
      <c r="B34" s="241"/>
      <c r="C34" s="72"/>
      <c r="D34" s="377" t="s">
        <v>8</v>
      </c>
      <c r="E34" s="378">
        <v>132</v>
      </c>
      <c r="F34" s="379">
        <v>7</v>
      </c>
      <c r="G34" s="380"/>
      <c r="H34" s="381">
        <f>F34*$J$17*$E$17/100</f>
        <v>9550.7496</v>
      </c>
      <c r="I34" s="382">
        <v>0</v>
      </c>
      <c r="J34" s="588" t="s">
        <v>149</v>
      </c>
      <c r="K34" s="384"/>
      <c r="L34" s="385">
        <f>SUM(H34:K34)</f>
        <v>9550.7496</v>
      </c>
      <c r="M34" s="69"/>
      <c r="N34" s="70"/>
      <c r="O34" s="71"/>
      <c r="P34" s="251"/>
    </row>
    <row r="35" spans="2:16" ht="15">
      <c r="B35" s="241"/>
      <c r="C35" s="72"/>
      <c r="D35" s="68"/>
      <c r="E35" s="68"/>
      <c r="F35" s="252"/>
      <c r="G35" s="69"/>
      <c r="I35" s="75"/>
      <c r="J35" s="248"/>
      <c r="K35" s="248"/>
      <c r="L35" s="386">
        <f>SUM(L31:L34)</f>
        <v>482620.75591999997</v>
      </c>
      <c r="M35" s="69"/>
      <c r="N35" s="70"/>
      <c r="O35" s="71"/>
      <c r="P35" s="251"/>
    </row>
    <row r="36" spans="2:16" ht="15">
      <c r="B36" s="241"/>
      <c r="C36" s="72"/>
      <c r="D36" s="68"/>
      <c r="E36" s="68"/>
      <c r="F36" s="252"/>
      <c r="G36" s="69"/>
      <c r="I36" s="75"/>
      <c r="J36" s="248"/>
      <c r="K36" s="248"/>
      <c r="L36" s="253"/>
      <c r="M36" s="69"/>
      <c r="N36" s="70"/>
      <c r="O36" s="71"/>
      <c r="P36" s="251"/>
    </row>
    <row r="37" spans="2:16" ht="15.75">
      <c r="B37" s="241"/>
      <c r="C37" s="72"/>
      <c r="D37" s="361" t="s">
        <v>101</v>
      </c>
      <c r="E37" s="362" t="s">
        <v>102</v>
      </c>
      <c r="F37" s="414" t="s">
        <v>114</v>
      </c>
      <c r="G37" s="415"/>
      <c r="H37" s="591" t="s">
        <v>137</v>
      </c>
      <c r="J37" s="387" t="s">
        <v>104</v>
      </c>
      <c r="K37" s="388"/>
      <c r="L37" s="389" t="s">
        <v>52</v>
      </c>
      <c r="M37" s="362" t="s">
        <v>20</v>
      </c>
      <c r="N37" s="390" t="s">
        <v>105</v>
      </c>
      <c r="O37" s="391"/>
      <c r="P37" s="251"/>
    </row>
    <row r="38" spans="2:16" ht="15">
      <c r="B38" s="241"/>
      <c r="C38" s="72"/>
      <c r="D38" s="368" t="s">
        <v>12</v>
      </c>
      <c r="E38" s="369" t="s">
        <v>115</v>
      </c>
      <c r="F38" s="416">
        <v>30</v>
      </c>
      <c r="G38" s="417"/>
      <c r="H38" s="376">
        <f>+F38*$J$18*$E$17</f>
        <v>14256</v>
      </c>
      <c r="J38" s="392" t="s">
        <v>116</v>
      </c>
      <c r="K38" s="374"/>
      <c r="L38" s="371" t="s">
        <v>117</v>
      </c>
      <c r="M38" s="393">
        <v>132</v>
      </c>
      <c r="N38" s="394">
        <f>M16*E17</f>
        <v>6343.92</v>
      </c>
      <c r="O38" s="395"/>
      <c r="P38" s="251"/>
    </row>
    <row r="39" spans="2:16" ht="15">
      <c r="B39" s="241"/>
      <c r="C39" s="72"/>
      <c r="D39" s="396" t="s">
        <v>15</v>
      </c>
      <c r="E39" s="68" t="s">
        <v>118</v>
      </c>
      <c r="F39" s="418">
        <v>88</v>
      </c>
      <c r="G39" s="419"/>
      <c r="H39" s="397">
        <f>+F39*$J$18*$E$17</f>
        <v>41817.600000000006</v>
      </c>
      <c r="J39" s="398" t="s">
        <v>13</v>
      </c>
      <c r="K39" s="399"/>
      <c r="L39" s="69" t="s">
        <v>119</v>
      </c>
      <c r="M39" s="70">
        <v>33</v>
      </c>
      <c r="N39" s="400">
        <f>+M17*E17*2</f>
        <v>9521.28</v>
      </c>
      <c r="O39" s="401"/>
      <c r="P39" s="251"/>
    </row>
    <row r="40" spans="2:16" ht="15">
      <c r="B40" s="241"/>
      <c r="C40" s="72"/>
      <c r="D40" s="396" t="s">
        <v>13</v>
      </c>
      <c r="E40" s="68" t="s">
        <v>10</v>
      </c>
      <c r="F40" s="418">
        <v>7.5</v>
      </c>
      <c r="G40" s="419"/>
      <c r="H40" s="397">
        <f>+F40*$J$18*$E$17</f>
        <v>3564</v>
      </c>
      <c r="J40" s="398" t="s">
        <v>14</v>
      </c>
      <c r="K40" s="399"/>
      <c r="L40" s="69" t="s">
        <v>120</v>
      </c>
      <c r="M40" s="70">
        <v>33</v>
      </c>
      <c r="N40" s="400">
        <f>3*M17*E17</f>
        <v>14281.919999999998</v>
      </c>
      <c r="O40" s="401"/>
      <c r="P40" s="251"/>
    </row>
    <row r="41" spans="2:16" ht="15">
      <c r="B41" s="241"/>
      <c r="C41" s="72"/>
      <c r="D41" s="396" t="s">
        <v>14</v>
      </c>
      <c r="E41" s="68" t="s">
        <v>10</v>
      </c>
      <c r="F41" s="418">
        <v>15</v>
      </c>
      <c r="G41" s="419"/>
      <c r="H41" s="397">
        <f>+F41*$J$18*$E$17</f>
        <v>7128</v>
      </c>
      <c r="J41" s="398" t="s">
        <v>16</v>
      </c>
      <c r="K41" s="399"/>
      <c r="L41" s="69" t="s">
        <v>121</v>
      </c>
      <c r="M41" s="70">
        <v>13.2</v>
      </c>
      <c r="N41" s="400">
        <f>+M18*E17*6</f>
        <v>28563.840000000004</v>
      </c>
      <c r="O41" s="401"/>
      <c r="P41" s="251"/>
    </row>
    <row r="42" spans="2:16" ht="15">
      <c r="B42" s="241"/>
      <c r="C42" s="72"/>
      <c r="D42" s="377" t="s">
        <v>16</v>
      </c>
      <c r="E42" s="378" t="s">
        <v>122</v>
      </c>
      <c r="F42" s="420">
        <v>30</v>
      </c>
      <c r="G42" s="421"/>
      <c r="H42" s="397">
        <f>+F42*$J$18*$E$17</f>
        <v>14256</v>
      </c>
      <c r="J42" s="398" t="s">
        <v>12</v>
      </c>
      <c r="K42" s="399"/>
      <c r="L42" s="69" t="s">
        <v>123</v>
      </c>
      <c r="M42" s="70"/>
      <c r="N42" s="400">
        <f>+M17*E17+M18*E17*2</f>
        <v>14281.920000000002</v>
      </c>
      <c r="O42" s="401"/>
      <c r="P42" s="251"/>
    </row>
    <row r="43" spans="2:16" ht="15">
      <c r="B43" s="241"/>
      <c r="C43" s="72"/>
      <c r="D43" s="68"/>
      <c r="E43" s="68"/>
      <c r="F43" s="252"/>
      <c r="G43" s="69"/>
      <c r="H43" s="386">
        <f>SUM(H38:H42)</f>
        <v>81021.6</v>
      </c>
      <c r="J43" s="402" t="s">
        <v>15</v>
      </c>
      <c r="K43" s="383"/>
      <c r="L43" s="380" t="s">
        <v>124</v>
      </c>
      <c r="M43" s="403"/>
      <c r="N43" s="404">
        <f>(M16+M17+M18*5)*E17</f>
        <v>34907.76</v>
      </c>
      <c r="O43" s="405"/>
      <c r="P43" s="251"/>
    </row>
    <row r="44" spans="2:16" ht="15">
      <c r="B44" s="241"/>
      <c r="C44" s="72"/>
      <c r="D44" s="68"/>
      <c r="E44" s="68"/>
      <c r="F44" s="252"/>
      <c r="G44" s="69"/>
      <c r="I44" s="75"/>
      <c r="J44" s="248"/>
      <c r="K44" s="248"/>
      <c r="L44" s="253"/>
      <c r="M44" s="69"/>
      <c r="N44" s="406">
        <f>SUM(N38:N43)</f>
        <v>107900.64000000001</v>
      </c>
      <c r="O44" s="391"/>
      <c r="P44" s="251"/>
    </row>
    <row r="45" spans="2:16" ht="12.75" customHeight="1" thickBot="1">
      <c r="B45" s="241"/>
      <c r="C45" s="72"/>
      <c r="D45" s="68"/>
      <c r="E45" s="68"/>
      <c r="F45" s="74"/>
      <c r="G45" s="69"/>
      <c r="H45" s="75"/>
      <c r="I45" s="68"/>
      <c r="J45" s="68"/>
      <c r="K45" s="68"/>
      <c r="L45" s="69"/>
      <c r="M45" s="69"/>
      <c r="N45" s="70"/>
      <c r="O45" s="71"/>
      <c r="P45" s="251"/>
    </row>
    <row r="46" spans="2:16" ht="20.25" thickBot="1" thickTop="1">
      <c r="B46" s="241"/>
      <c r="C46" s="72"/>
      <c r="D46" s="68"/>
      <c r="E46" s="68"/>
      <c r="F46" s="74"/>
      <c r="G46" s="69"/>
      <c r="H46" s="407" t="s">
        <v>106</v>
      </c>
      <c r="I46" s="408">
        <f>+H43+N44+L35</f>
        <v>671542.99592</v>
      </c>
      <c r="J46" s="68"/>
      <c r="K46" s="407" t="s">
        <v>184</v>
      </c>
      <c r="L46" s="408">
        <v>264198.26</v>
      </c>
      <c r="M46" s="69"/>
      <c r="N46" s="70"/>
      <c r="O46" s="71"/>
      <c r="P46" s="251"/>
    </row>
    <row r="47" spans="2:16" ht="15.75" thickTop="1">
      <c r="B47" s="241"/>
      <c r="C47" s="72"/>
      <c r="D47" s="68"/>
      <c r="E47" s="68"/>
      <c r="F47" s="74"/>
      <c r="G47" s="69"/>
      <c r="H47" s="75"/>
      <c r="I47" s="68"/>
      <c r="J47" s="68"/>
      <c r="K47" s="68"/>
      <c r="L47" s="69"/>
      <c r="M47" s="69"/>
      <c r="N47" s="70"/>
      <c r="O47" s="71"/>
      <c r="P47" s="251"/>
    </row>
    <row r="48" spans="2:16" ht="15.75">
      <c r="B48" s="241"/>
      <c r="C48" s="409" t="s">
        <v>107</v>
      </c>
      <c r="D48" s="68"/>
      <c r="E48" s="68"/>
      <c r="F48" s="74"/>
      <c r="G48" s="69"/>
      <c r="H48" s="75"/>
      <c r="I48" s="68"/>
      <c r="J48" s="68"/>
      <c r="K48" s="68"/>
      <c r="L48" s="69"/>
      <c r="M48" s="69"/>
      <c r="N48" s="70"/>
      <c r="O48" s="71"/>
      <c r="P48" s="251"/>
    </row>
    <row r="49" spans="2:16" ht="15.75" thickBot="1">
      <c r="B49" s="241"/>
      <c r="C49" s="72"/>
      <c r="D49" s="68"/>
      <c r="E49" s="68"/>
      <c r="F49" s="74"/>
      <c r="G49" s="69"/>
      <c r="H49" s="75"/>
      <c r="I49" s="68"/>
      <c r="J49" s="68"/>
      <c r="K49" s="68"/>
      <c r="L49" s="69"/>
      <c r="M49" s="69"/>
      <c r="N49" s="70"/>
      <c r="O49" s="71"/>
      <c r="P49" s="251"/>
    </row>
    <row r="50" spans="2:16" ht="20.25" thickBot="1" thickTop="1">
      <c r="B50" s="241"/>
      <c r="C50" s="72"/>
      <c r="D50" s="203" t="s">
        <v>108</v>
      </c>
      <c r="F50" s="254"/>
      <c r="G50" s="66"/>
      <c r="H50" s="147" t="s">
        <v>109</v>
      </c>
      <c r="I50" s="410">
        <f>E18*L46</f>
        <v>6604.9565</v>
      </c>
      <c r="J50" s="62"/>
      <c r="K50" s="62"/>
      <c r="O50" s="62"/>
      <c r="P50" s="251"/>
    </row>
    <row r="51" spans="2:16" ht="21.75" thickTop="1">
      <c r="B51" s="241"/>
      <c r="C51" s="72"/>
      <c r="F51" s="255"/>
      <c r="G51" s="40"/>
      <c r="I51" s="62"/>
      <c r="J51" s="62"/>
      <c r="K51" s="62"/>
      <c r="O51" s="62"/>
      <c r="P51" s="251"/>
    </row>
    <row r="52" spans="2:16" ht="15">
      <c r="B52" s="241"/>
      <c r="C52" s="61" t="s">
        <v>110</v>
      </c>
      <c r="E52" s="62"/>
      <c r="F52" s="62"/>
      <c r="G52" s="62"/>
      <c r="H52" s="62"/>
      <c r="I52" s="69"/>
      <c r="J52" s="69"/>
      <c r="K52" s="69"/>
      <c r="L52" s="69"/>
      <c r="M52" s="69"/>
      <c r="N52" s="70"/>
      <c r="O52" s="71"/>
      <c r="P52" s="251"/>
    </row>
    <row r="53" spans="2:16" ht="15">
      <c r="B53" s="241"/>
      <c r="C53" s="72"/>
      <c r="D53" s="67" t="s">
        <v>111</v>
      </c>
      <c r="E53" s="256">
        <f>10*I26*I50/I46</f>
        <v>82.32799495959041</v>
      </c>
      <c r="F53" s="411"/>
      <c r="H53" s="62"/>
      <c r="I53" s="69"/>
      <c r="J53" s="69"/>
      <c r="K53" s="69"/>
      <c r="L53" s="69"/>
      <c r="M53" s="69"/>
      <c r="N53" s="70"/>
      <c r="O53" s="71"/>
      <c r="P53" s="251"/>
    </row>
    <row r="54" spans="2:16" ht="15">
      <c r="B54" s="241"/>
      <c r="C54" s="72"/>
      <c r="D54" s="62"/>
      <c r="E54" s="62"/>
      <c r="J54" s="69"/>
      <c r="K54" s="69"/>
      <c r="L54" s="69"/>
      <c r="M54" s="69"/>
      <c r="N54" s="70"/>
      <c r="O54" s="71"/>
      <c r="P54" s="251"/>
    </row>
    <row r="55" spans="2:16" ht="15">
      <c r="B55" s="241"/>
      <c r="C55" s="72"/>
      <c r="D55" s="62" t="s">
        <v>125</v>
      </c>
      <c r="E55" s="62"/>
      <c r="F55" s="62"/>
      <c r="G55" s="62"/>
      <c r="H55" s="62"/>
      <c r="M55" s="69"/>
      <c r="N55" s="70"/>
      <c r="O55" s="71"/>
      <c r="P55" s="251"/>
    </row>
    <row r="56" spans="2:16" ht="15.75" thickBot="1">
      <c r="B56" s="241"/>
      <c r="C56" s="72"/>
      <c r="D56" s="62"/>
      <c r="E56" s="62"/>
      <c r="F56" s="62"/>
      <c r="G56" s="62"/>
      <c r="H56" s="62"/>
      <c r="M56" s="69"/>
      <c r="N56" s="70"/>
      <c r="O56" s="71"/>
      <c r="P56" s="251"/>
    </row>
    <row r="57" spans="2:16" ht="20.25" thickBot="1" thickTop="1">
      <c r="B57" s="241"/>
      <c r="C57" s="72"/>
      <c r="D57" s="68"/>
      <c r="E57" s="68"/>
      <c r="F57" s="74"/>
      <c r="G57" s="69"/>
      <c r="H57" s="204" t="s">
        <v>113</v>
      </c>
      <c r="I57" s="412">
        <f>IF($E$53&gt;3*I50,3*I50,$E$53)</f>
        <v>82.32799495959041</v>
      </c>
      <c r="J57" s="69"/>
      <c r="K57" s="69"/>
      <c r="L57" s="69"/>
      <c r="M57" s="69"/>
      <c r="N57" s="70"/>
      <c r="O57" s="71"/>
      <c r="P57" s="251"/>
    </row>
    <row r="58" spans="2:16" ht="16.5" thickBot="1" thickTop="1">
      <c r="B58" s="257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9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75" zoomScaleNormal="75" zoomScalePageLayoutView="0" workbookViewId="0" topLeftCell="A1">
      <selection activeCell="L45" sqref="L45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8.5742187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1" customFormat="1" ht="39.75" customHeight="1">
      <c r="P1" s="336"/>
    </row>
    <row r="2" spans="1:16" s="101" customFormat="1" ht="26.25">
      <c r="A2" s="162"/>
      <c r="B2" s="620" t="str">
        <f>'TOT-0614'!B2</f>
        <v>ANEXO VI al Memorándum  D.T.E.E.  N°  223 /2016         .-</v>
      </c>
      <c r="C2" s="620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3" s="104" customFormat="1" ht="12.75">
      <c r="A3" s="625" t="s">
        <v>148</v>
      </c>
      <c r="B3" s="9"/>
      <c r="C3" s="9"/>
    </row>
    <row r="4" spans="1:3" s="104" customFormat="1" ht="11.25">
      <c r="A4" s="625" t="s">
        <v>177</v>
      </c>
      <c r="B4" s="201"/>
      <c r="C4" s="201"/>
    </row>
    <row r="5" s="9" customFormat="1" ht="13.5" thickBot="1"/>
    <row r="6" spans="1:16" s="9" customFormat="1" ht="13.5" thickTop="1">
      <c r="A6" s="7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06" customFormat="1" ht="20.25">
      <c r="A7" s="40"/>
      <c r="B7" s="105"/>
      <c r="C7" s="40"/>
      <c r="D7" s="19" t="s">
        <v>42</v>
      </c>
      <c r="G7" s="40"/>
      <c r="H7" s="40"/>
      <c r="I7" s="40"/>
      <c r="J7" s="40"/>
      <c r="K7" s="40"/>
      <c r="L7" s="40"/>
      <c r="M7" s="40"/>
      <c r="N7" s="40"/>
      <c r="O7" s="40"/>
      <c r="P7" s="107"/>
    </row>
    <row r="8" spans="1:16" ht="15">
      <c r="A8" s="1"/>
      <c r="B8" s="241"/>
      <c r="C8" s="66"/>
      <c r="D8" s="337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45"/>
    </row>
    <row r="9" spans="1:19" s="106" customFormat="1" ht="20.25">
      <c r="A9" s="40"/>
      <c r="B9" s="338"/>
      <c r="C9"/>
      <c r="D9" s="20" t="s">
        <v>141</v>
      </c>
      <c r="E9" s="339"/>
      <c r="F9" s="339"/>
      <c r="G9" s="339"/>
      <c r="H9" s="340"/>
      <c r="I9" s="339"/>
      <c r="J9" s="339"/>
      <c r="K9" s="339"/>
      <c r="L9" s="339"/>
      <c r="M9" s="339"/>
      <c r="N9" s="339"/>
      <c r="O9" s="339"/>
      <c r="P9" s="341"/>
      <c r="Q9" s="202"/>
      <c r="R9" s="164"/>
      <c r="S9" s="164"/>
    </row>
    <row r="10" spans="1:19" s="9" customFormat="1" ht="12.75">
      <c r="A10" s="7"/>
      <c r="B10" s="39"/>
      <c r="C10" s="7"/>
      <c r="D10" s="60"/>
      <c r="E10" s="26"/>
      <c r="F10" s="26"/>
      <c r="G10" s="26"/>
      <c r="H10" s="161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163"/>
    </row>
    <row r="11" spans="1:19" s="113" customFormat="1" ht="19.5">
      <c r="A11" s="42"/>
      <c r="B11" s="205" t="str">
        <f>+'TOT-0614'!B14</f>
        <v>Desde el 01 al 30 de junio de 2014</v>
      </c>
      <c r="C11" s="135"/>
      <c r="D11" s="173"/>
      <c r="E11" s="173"/>
      <c r="F11" s="173"/>
      <c r="G11" s="173"/>
      <c r="H11" s="173"/>
      <c r="I11" s="135"/>
      <c r="J11" s="173"/>
      <c r="K11" s="173"/>
      <c r="L11" s="173"/>
      <c r="M11" s="173"/>
      <c r="N11" s="173"/>
      <c r="O11" s="173"/>
      <c r="P11" s="342"/>
      <c r="Q11" s="343"/>
      <c r="R11" s="343"/>
      <c r="S11" s="343"/>
    </row>
    <row r="12" spans="1:19" ht="15">
      <c r="A12" s="1"/>
      <c r="B12" s="241"/>
      <c r="C12" s="66"/>
      <c r="D12" s="62"/>
      <c r="E12" s="62"/>
      <c r="F12" s="62"/>
      <c r="G12" s="62"/>
      <c r="H12" s="344"/>
      <c r="I12" s="66"/>
      <c r="J12" s="62"/>
      <c r="K12" s="62"/>
      <c r="L12" s="62"/>
      <c r="M12" s="62"/>
      <c r="N12" s="62"/>
      <c r="O12" s="62"/>
      <c r="P12" s="63"/>
      <c r="Q12" s="4"/>
      <c r="R12" s="4"/>
      <c r="S12" s="345"/>
    </row>
    <row r="13" spans="1:19" ht="18" customHeight="1">
      <c r="A13" s="1"/>
      <c r="B13" s="241"/>
      <c r="C13" s="66"/>
      <c r="D13" s="62"/>
      <c r="E13" s="62"/>
      <c r="F13" s="62"/>
      <c r="G13" s="62"/>
      <c r="H13" s="73"/>
      <c r="I13" s="73"/>
      <c r="J13" s="62"/>
      <c r="K13" s="62"/>
      <c r="P13" s="63"/>
      <c r="Q13" s="4"/>
      <c r="R13" s="4"/>
      <c r="S13" s="345"/>
    </row>
    <row r="14" spans="1:19" ht="18" customHeight="1">
      <c r="A14" s="1"/>
      <c r="B14" s="241"/>
      <c r="C14" s="66"/>
      <c r="D14" s="61"/>
      <c r="E14" s="346"/>
      <c r="F14" s="62"/>
      <c r="G14" s="62"/>
      <c r="H14" s="73"/>
      <c r="I14" s="73"/>
      <c r="J14" s="62"/>
      <c r="K14" s="62"/>
      <c r="P14" s="63"/>
      <c r="Q14" s="4"/>
      <c r="R14" s="4"/>
      <c r="S14" s="345"/>
    </row>
    <row r="15" spans="1:16" ht="16.5" thickBot="1">
      <c r="A15" s="1"/>
      <c r="B15" s="241"/>
      <c r="C15" s="347" t="s">
        <v>88</v>
      </c>
      <c r="D15" s="64"/>
      <c r="E15" s="242"/>
      <c r="F15" s="243"/>
      <c r="G15" s="66"/>
      <c r="H15" s="66"/>
      <c r="I15" s="66"/>
      <c r="J15" s="65"/>
      <c r="K15" s="65"/>
      <c r="L15" s="244"/>
      <c r="M15" s="66"/>
      <c r="N15" s="66"/>
      <c r="O15" s="66"/>
      <c r="P15" s="245"/>
    </row>
    <row r="16" spans="1:16" ht="16.5" thickBot="1">
      <c r="A16" s="1"/>
      <c r="B16" s="241"/>
      <c r="C16" s="246"/>
      <c r="D16" s="64"/>
      <c r="E16" s="242"/>
      <c r="F16" s="243"/>
      <c r="G16" s="66"/>
      <c r="H16" s="66"/>
      <c r="L16" s="348" t="s">
        <v>84</v>
      </c>
      <c r="M16" s="664">
        <v>8.811</v>
      </c>
      <c r="N16" s="665"/>
      <c r="O16" s="66"/>
      <c r="P16" s="245"/>
    </row>
    <row r="17" spans="1:16" ht="15.75">
      <c r="A17" s="1"/>
      <c r="B17" s="241"/>
      <c r="C17" s="246"/>
      <c r="D17" s="65" t="s">
        <v>89</v>
      </c>
      <c r="E17" s="247">
        <f>MID(B11,16,2)*24</f>
        <v>720</v>
      </c>
      <c r="F17" s="66" t="s">
        <v>90</v>
      </c>
      <c r="G17" s="62"/>
      <c r="H17" s="349"/>
      <c r="I17" s="350" t="s">
        <v>91</v>
      </c>
      <c r="J17" s="659">
        <v>189.499</v>
      </c>
      <c r="K17" s="332"/>
      <c r="L17" s="351" t="s">
        <v>85</v>
      </c>
      <c r="M17" s="666">
        <v>6.612</v>
      </c>
      <c r="N17" s="667"/>
      <c r="O17" s="66"/>
      <c r="P17" s="245"/>
    </row>
    <row r="18" spans="1:16" ht="16.5" thickBot="1">
      <c r="A18" s="1"/>
      <c r="B18" s="241"/>
      <c r="C18" s="246"/>
      <c r="D18" s="65" t="s">
        <v>92</v>
      </c>
      <c r="E18" s="249">
        <v>0.025</v>
      </c>
      <c r="F18" s="62"/>
      <c r="G18" s="62"/>
      <c r="H18" s="352"/>
      <c r="I18" s="353" t="s">
        <v>93</v>
      </c>
      <c r="J18" s="354">
        <v>0.66</v>
      </c>
      <c r="K18" s="355"/>
      <c r="L18" s="356" t="s">
        <v>86</v>
      </c>
      <c r="M18" s="668">
        <v>6.612</v>
      </c>
      <c r="N18" s="669"/>
      <c r="O18" s="66"/>
      <c r="P18" s="245"/>
    </row>
    <row r="19" spans="1:16" ht="15.75">
      <c r="A19" s="1"/>
      <c r="B19" s="241"/>
      <c r="C19" s="246"/>
      <c r="D19" s="65"/>
      <c r="E19" s="249"/>
      <c r="F19" s="62"/>
      <c r="G19" s="62"/>
      <c r="H19" s="62"/>
      <c r="I19" s="62"/>
      <c r="L19" s="244"/>
      <c r="M19" s="66"/>
      <c r="N19" s="66"/>
      <c r="O19" s="66"/>
      <c r="P19" s="245"/>
    </row>
    <row r="20" spans="1:16" ht="15">
      <c r="A20" s="1"/>
      <c r="B20" s="241"/>
      <c r="C20" s="61" t="s">
        <v>94</v>
      </c>
      <c r="D20" s="68"/>
      <c r="E20" s="242"/>
      <c r="F20" s="243"/>
      <c r="G20" s="66"/>
      <c r="H20" s="66"/>
      <c r="I20" s="66"/>
      <c r="J20" s="65"/>
      <c r="K20" s="65"/>
      <c r="L20" s="244"/>
      <c r="M20" s="66"/>
      <c r="N20" s="66"/>
      <c r="O20" s="66"/>
      <c r="P20" s="245"/>
    </row>
    <row r="21" spans="1:16" ht="15">
      <c r="A21" s="1"/>
      <c r="B21" s="241"/>
      <c r="C21" s="66"/>
      <c r="D21" s="66"/>
      <c r="E21" s="66"/>
      <c r="F21" s="66"/>
      <c r="G21" s="66"/>
      <c r="H21" s="250"/>
      <c r="I21" s="66"/>
      <c r="J21" s="66"/>
      <c r="K21" s="66"/>
      <c r="L21" s="66"/>
      <c r="M21" s="66"/>
      <c r="N21" s="66"/>
      <c r="O21" s="66"/>
      <c r="P21" s="245"/>
    </row>
    <row r="22" spans="1:16" ht="15">
      <c r="A22" s="1"/>
      <c r="B22" s="241"/>
      <c r="C22" s="66"/>
      <c r="D22" s="65" t="s">
        <v>95</v>
      </c>
      <c r="E22" s="66"/>
      <c r="F22" s="250" t="s">
        <v>24</v>
      </c>
      <c r="G22" s="66"/>
      <c r="H22" s="64"/>
      <c r="I22" s="357">
        <v>29726.71</v>
      </c>
      <c r="J22" s="66"/>
      <c r="K22" s="66"/>
      <c r="L22" s="358"/>
      <c r="M22" s="66"/>
      <c r="N22" s="66"/>
      <c r="O22" s="66"/>
      <c r="P22" s="245"/>
    </row>
    <row r="23" spans="1:16" ht="15">
      <c r="A23" s="1"/>
      <c r="B23" s="241"/>
      <c r="C23" s="66"/>
      <c r="D23" s="66"/>
      <c r="E23" s="66"/>
      <c r="F23" s="250" t="s">
        <v>96</v>
      </c>
      <c r="G23" s="66"/>
      <c r="H23" s="64"/>
      <c r="I23" s="357">
        <v>0</v>
      </c>
      <c r="J23" s="66"/>
      <c r="K23" s="66"/>
      <c r="L23" s="358"/>
      <c r="M23" s="66"/>
      <c r="N23" s="66"/>
      <c r="O23" s="66"/>
      <c r="P23" s="245"/>
    </row>
    <row r="24" spans="1:16" ht="15">
      <c r="A24" s="1"/>
      <c r="B24" s="241"/>
      <c r="C24" s="66"/>
      <c r="D24" s="66"/>
      <c r="E24" s="66"/>
      <c r="F24" s="250" t="s">
        <v>3</v>
      </c>
      <c r="G24" s="66"/>
      <c r="H24" s="64"/>
      <c r="I24" s="359">
        <v>0</v>
      </c>
      <c r="J24" s="66"/>
      <c r="K24" s="66"/>
      <c r="L24" s="358"/>
      <c r="M24" s="66"/>
      <c r="N24" s="66"/>
      <c r="O24" s="66"/>
      <c r="P24" s="245"/>
    </row>
    <row r="25" spans="1:16" ht="15.75" thickBot="1">
      <c r="A25" s="1"/>
      <c r="B25" s="241"/>
      <c r="C25" s="66"/>
      <c r="D25" s="66"/>
      <c r="E25" s="66"/>
      <c r="F25" s="66"/>
      <c r="G25" s="66"/>
      <c r="H25" s="250"/>
      <c r="I25" s="66"/>
      <c r="J25" s="66"/>
      <c r="K25" s="66"/>
      <c r="L25" s="66"/>
      <c r="M25" s="66"/>
      <c r="N25" s="66"/>
      <c r="O25" s="66"/>
      <c r="P25" s="245"/>
    </row>
    <row r="26" spans="2:16" ht="20.25" thickBot="1" thickTop="1">
      <c r="B26" s="241"/>
      <c r="C26" s="72"/>
      <c r="H26" s="360" t="s">
        <v>97</v>
      </c>
      <c r="I26" s="148">
        <f>SUM(I22:I25)</f>
        <v>29726.71</v>
      </c>
      <c r="L26" s="69"/>
      <c r="M26" s="69"/>
      <c r="N26" s="70"/>
      <c r="O26" s="71"/>
      <c r="P26" s="251"/>
    </row>
    <row r="27" spans="2:16" ht="15.75" thickTop="1">
      <c r="B27" s="241"/>
      <c r="C27" s="72"/>
      <c r="D27" s="68"/>
      <c r="E27" s="68"/>
      <c r="F27" s="74"/>
      <c r="G27" s="69"/>
      <c r="H27" s="69"/>
      <c r="I27" s="69"/>
      <c r="J27" s="69"/>
      <c r="K27" s="69"/>
      <c r="L27" s="69"/>
      <c r="M27" s="69"/>
      <c r="N27" s="70"/>
      <c r="O27" s="71"/>
      <c r="P27" s="251"/>
    </row>
    <row r="28" spans="2:16" ht="15">
      <c r="B28" s="241"/>
      <c r="C28" s="61" t="s">
        <v>98</v>
      </c>
      <c r="D28" s="68"/>
      <c r="E28" s="68"/>
      <c r="F28" s="74"/>
      <c r="G28" s="69"/>
      <c r="H28" s="69"/>
      <c r="I28" s="69"/>
      <c r="J28" s="69"/>
      <c r="K28" s="69"/>
      <c r="L28" s="69"/>
      <c r="M28" s="69"/>
      <c r="N28" s="70"/>
      <c r="O28" s="71"/>
      <c r="P28" s="251"/>
    </row>
    <row r="29" spans="2:16" ht="15">
      <c r="B29" s="241"/>
      <c r="C29" s="72"/>
      <c r="D29" s="68"/>
      <c r="E29" s="68"/>
      <c r="F29" s="74"/>
      <c r="G29" s="69"/>
      <c r="H29" s="69"/>
      <c r="I29" s="69"/>
      <c r="J29" s="69"/>
      <c r="K29" s="69"/>
      <c r="L29" s="69"/>
      <c r="M29" s="69"/>
      <c r="N29" s="70"/>
      <c r="O29" s="71"/>
      <c r="P29" s="251"/>
    </row>
    <row r="30" spans="2:16" ht="15.75">
      <c r="B30" s="241"/>
      <c r="C30" s="72"/>
      <c r="D30" s="361" t="s">
        <v>99</v>
      </c>
      <c r="E30" s="362" t="s">
        <v>20</v>
      </c>
      <c r="F30" s="363" t="s">
        <v>100</v>
      </c>
      <c r="G30" s="364"/>
      <c r="H30" s="590" t="s">
        <v>136</v>
      </c>
      <c r="I30" s="589" t="s">
        <v>135</v>
      </c>
      <c r="J30" s="365"/>
      <c r="K30" s="366"/>
      <c r="L30" s="367" t="s">
        <v>2</v>
      </c>
      <c r="N30" s="70"/>
      <c r="O30" s="71"/>
      <c r="P30" s="251"/>
    </row>
    <row r="31" spans="2:16" ht="15">
      <c r="B31" s="241"/>
      <c r="C31" s="72"/>
      <c r="D31" s="368" t="s">
        <v>4</v>
      </c>
      <c r="E31" s="369">
        <v>132</v>
      </c>
      <c r="F31" s="370">
        <v>209</v>
      </c>
      <c r="G31" s="371"/>
      <c r="H31" s="372">
        <f>F31*$J$17*$E$17/100</f>
        <v>285158.0952</v>
      </c>
      <c r="I31" s="373">
        <v>7961</v>
      </c>
      <c r="J31" s="374" t="s">
        <v>149</v>
      </c>
      <c r="K31" s="375"/>
      <c r="L31" s="376">
        <f>SUM(H31:K31)</f>
        <v>293119.0952</v>
      </c>
      <c r="M31" s="69"/>
      <c r="N31" s="70"/>
      <c r="O31" s="71"/>
      <c r="P31" s="251"/>
    </row>
    <row r="32" spans="2:16" ht="15">
      <c r="B32" s="241"/>
      <c r="C32" s="72"/>
      <c r="D32" s="377"/>
      <c r="E32" s="378"/>
      <c r="F32" s="379"/>
      <c r="G32" s="380"/>
      <c r="H32" s="381"/>
      <c r="I32" s="382"/>
      <c r="J32" s="383"/>
      <c r="K32" s="384"/>
      <c r="L32" s="385"/>
      <c r="M32" s="69"/>
      <c r="N32" s="70"/>
      <c r="O32" s="71"/>
      <c r="P32" s="251"/>
    </row>
    <row r="33" spans="2:16" ht="15">
      <c r="B33" s="241"/>
      <c r="C33" s="72"/>
      <c r="D33" s="68"/>
      <c r="E33" s="68"/>
      <c r="F33" s="252"/>
      <c r="G33" s="69"/>
      <c r="I33" s="75"/>
      <c r="J33" s="248"/>
      <c r="K33" s="248"/>
      <c r="L33" s="386">
        <f>SUM(L31:L32)</f>
        <v>293119.0952</v>
      </c>
      <c r="M33" s="69"/>
      <c r="N33" s="70"/>
      <c r="O33" s="71"/>
      <c r="P33" s="251"/>
    </row>
    <row r="34" spans="2:16" ht="15">
      <c r="B34" s="241"/>
      <c r="C34" s="72"/>
      <c r="D34" s="68"/>
      <c r="E34" s="68"/>
      <c r="F34" s="252"/>
      <c r="G34" s="69"/>
      <c r="I34" s="75"/>
      <c r="J34" s="248"/>
      <c r="K34" s="248"/>
      <c r="L34" s="253"/>
      <c r="M34" s="69"/>
      <c r="N34" s="70"/>
      <c r="O34" s="71"/>
      <c r="P34" s="251"/>
    </row>
    <row r="35" spans="2:16" ht="15.75">
      <c r="B35" s="241"/>
      <c r="C35" s="72"/>
      <c r="D35" s="361" t="s">
        <v>101</v>
      </c>
      <c r="E35" s="362" t="s">
        <v>102</v>
      </c>
      <c r="F35" s="363" t="s">
        <v>103</v>
      </c>
      <c r="G35" s="613" t="s">
        <v>136</v>
      </c>
      <c r="H35" s="607"/>
      <c r="J35" s="387" t="s">
        <v>104</v>
      </c>
      <c r="K35" s="388"/>
      <c r="L35" s="389" t="s">
        <v>52</v>
      </c>
      <c r="M35" s="362" t="s">
        <v>20</v>
      </c>
      <c r="N35" s="390" t="s">
        <v>105</v>
      </c>
      <c r="O35" s="391"/>
      <c r="P35" s="251"/>
    </row>
    <row r="36" spans="2:16" ht="15">
      <c r="B36" s="241"/>
      <c r="C36" s="72"/>
      <c r="D36" s="368" t="s">
        <v>11</v>
      </c>
      <c r="E36" s="369" t="s">
        <v>10</v>
      </c>
      <c r="F36" s="370">
        <v>5</v>
      </c>
      <c r="G36" s="608"/>
      <c r="H36" s="609">
        <f>+F36*$J$18*$E$17</f>
        <v>2376</v>
      </c>
      <c r="J36" s="605" t="s">
        <v>11</v>
      </c>
      <c r="K36" s="601"/>
      <c r="L36" s="602" t="s">
        <v>17</v>
      </c>
      <c r="M36" s="393">
        <v>13.2</v>
      </c>
      <c r="N36" s="394">
        <f>M18*$E$17</f>
        <v>4760.64</v>
      </c>
      <c r="O36" s="395"/>
      <c r="P36" s="251"/>
    </row>
    <row r="37" spans="2:16" ht="15">
      <c r="B37" s="241"/>
      <c r="C37" s="72"/>
      <c r="D37" s="377" t="s">
        <v>11</v>
      </c>
      <c r="E37" s="378" t="s">
        <v>9</v>
      </c>
      <c r="F37" s="379">
        <v>5</v>
      </c>
      <c r="G37" s="610"/>
      <c r="H37" s="611">
        <f>+F37*$J$18*$E$17</f>
        <v>2376</v>
      </c>
      <c r="J37" s="606" t="s">
        <v>11</v>
      </c>
      <c r="K37" s="603"/>
      <c r="L37" s="604" t="s">
        <v>18</v>
      </c>
      <c r="M37" s="70">
        <v>13.2</v>
      </c>
      <c r="N37" s="400">
        <f>M18*$E$17</f>
        <v>4760.64</v>
      </c>
      <c r="O37" s="401"/>
      <c r="P37" s="251"/>
    </row>
    <row r="38" spans="2:16" ht="15">
      <c r="B38" s="241"/>
      <c r="C38" s="72"/>
      <c r="D38" s="68"/>
      <c r="E38" s="68"/>
      <c r="F38" s="252"/>
      <c r="G38" s="610"/>
      <c r="H38" s="612">
        <f>SUM(H36:H37)</f>
        <v>4752</v>
      </c>
      <c r="J38" s="402"/>
      <c r="K38" s="383"/>
      <c r="L38" s="380"/>
      <c r="M38" s="403"/>
      <c r="N38" s="404"/>
      <c r="O38" s="405"/>
      <c r="P38" s="251"/>
    </row>
    <row r="39" spans="2:16" ht="15">
      <c r="B39" s="241"/>
      <c r="C39" s="72"/>
      <c r="D39" s="68"/>
      <c r="E39" s="68"/>
      <c r="F39" s="252"/>
      <c r="G39" s="69"/>
      <c r="I39" s="75"/>
      <c r="J39" s="248"/>
      <c r="K39" s="248"/>
      <c r="L39" s="253"/>
      <c r="M39" s="69"/>
      <c r="N39" s="406">
        <f>SUM(N36:N38)</f>
        <v>9521.28</v>
      </c>
      <c r="O39" s="391"/>
      <c r="P39" s="251"/>
    </row>
    <row r="40" spans="2:16" ht="12.75" customHeight="1" thickBot="1">
      <c r="B40" s="241"/>
      <c r="C40" s="72"/>
      <c r="D40" s="68"/>
      <c r="E40" s="68"/>
      <c r="F40" s="74"/>
      <c r="G40" s="69"/>
      <c r="H40" s="75"/>
      <c r="I40" s="68"/>
      <c r="J40" s="68"/>
      <c r="K40" s="68"/>
      <c r="L40" s="69"/>
      <c r="M40" s="69"/>
      <c r="N40" s="70"/>
      <c r="O40" s="71"/>
      <c r="P40" s="251"/>
    </row>
    <row r="41" spans="2:16" ht="20.25" thickBot="1" thickTop="1">
      <c r="B41" s="241"/>
      <c r="C41" s="72"/>
      <c r="D41" s="68"/>
      <c r="E41" s="68"/>
      <c r="F41" s="74"/>
      <c r="G41" s="69"/>
      <c r="H41" s="407" t="s">
        <v>106</v>
      </c>
      <c r="I41" s="408">
        <f>+H38+N39+L33</f>
        <v>307392.3752</v>
      </c>
      <c r="J41" s="68"/>
      <c r="K41" s="407" t="s">
        <v>184</v>
      </c>
      <c r="L41" s="408">
        <v>118128.78</v>
      </c>
      <c r="M41" s="69"/>
      <c r="N41" s="70"/>
      <c r="O41" s="71"/>
      <c r="P41" s="251"/>
    </row>
    <row r="42" spans="2:16" ht="15.75" thickTop="1">
      <c r="B42" s="241"/>
      <c r="C42" s="72"/>
      <c r="D42" s="68"/>
      <c r="E42" s="68"/>
      <c r="F42" s="74"/>
      <c r="G42" s="69"/>
      <c r="H42" s="75"/>
      <c r="I42" s="68"/>
      <c r="J42" s="68"/>
      <c r="K42" s="68"/>
      <c r="L42" s="69"/>
      <c r="M42" s="69"/>
      <c r="N42" s="70"/>
      <c r="O42" s="71"/>
      <c r="P42" s="251"/>
    </row>
    <row r="43" spans="2:16" ht="15.75">
      <c r="B43" s="241"/>
      <c r="C43" s="409" t="s">
        <v>107</v>
      </c>
      <c r="D43" s="68"/>
      <c r="E43" s="68"/>
      <c r="F43" s="74"/>
      <c r="G43" s="69"/>
      <c r="H43" s="75"/>
      <c r="I43" s="68"/>
      <c r="J43" s="68"/>
      <c r="K43" s="68"/>
      <c r="L43" s="69"/>
      <c r="M43" s="69"/>
      <c r="N43" s="70"/>
      <c r="O43" s="71"/>
      <c r="P43" s="251"/>
    </row>
    <row r="44" spans="2:16" ht="15.75" thickBot="1">
      <c r="B44" s="241"/>
      <c r="C44" s="72"/>
      <c r="D44" s="68"/>
      <c r="E44" s="68"/>
      <c r="F44" s="74"/>
      <c r="G44" s="69"/>
      <c r="H44" s="75"/>
      <c r="I44" s="68"/>
      <c r="J44" s="68"/>
      <c r="K44" s="68"/>
      <c r="L44" s="69"/>
      <c r="M44" s="69"/>
      <c r="N44" s="70"/>
      <c r="O44" s="71"/>
      <c r="P44" s="251"/>
    </row>
    <row r="45" spans="2:16" ht="20.25" thickBot="1" thickTop="1">
      <c r="B45" s="241"/>
      <c r="C45" s="72"/>
      <c r="D45" s="203" t="s">
        <v>108</v>
      </c>
      <c r="F45" s="254"/>
      <c r="G45" s="66"/>
      <c r="H45" s="147" t="s">
        <v>109</v>
      </c>
      <c r="I45" s="410">
        <f>E18*L41</f>
        <v>2953.2195</v>
      </c>
      <c r="J45" s="62"/>
      <c r="K45" s="62"/>
      <c r="O45" s="62"/>
      <c r="P45" s="251"/>
    </row>
    <row r="46" spans="2:16" ht="21.75" thickTop="1">
      <c r="B46" s="241"/>
      <c r="C46" s="72"/>
      <c r="F46" s="255"/>
      <c r="G46" s="40"/>
      <c r="I46" s="62"/>
      <c r="J46" s="62"/>
      <c r="O46" s="62"/>
      <c r="P46" s="251"/>
    </row>
    <row r="47" spans="2:16" ht="15">
      <c r="B47" s="241"/>
      <c r="C47" s="61" t="s">
        <v>110</v>
      </c>
      <c r="E47" s="62"/>
      <c r="F47" s="62"/>
      <c r="G47" s="62"/>
      <c r="H47" s="62"/>
      <c r="I47" s="69"/>
      <c r="J47" s="69"/>
      <c r="K47" s="69"/>
      <c r="L47" s="69"/>
      <c r="M47" s="69"/>
      <c r="N47" s="70"/>
      <c r="O47" s="71"/>
      <c r="P47" s="251"/>
    </row>
    <row r="48" spans="2:16" ht="15">
      <c r="B48" s="241"/>
      <c r="C48" s="72"/>
      <c r="D48" s="67" t="s">
        <v>111</v>
      </c>
      <c r="E48" s="256">
        <f>10*I26*I45/I41</f>
        <v>2855.9426558881346</v>
      </c>
      <c r="F48" s="411"/>
      <c r="H48" s="62"/>
      <c r="I48" s="69"/>
      <c r="J48" s="69"/>
      <c r="K48" s="69"/>
      <c r="L48" s="69"/>
      <c r="M48" s="69"/>
      <c r="N48" s="70"/>
      <c r="O48" s="71"/>
      <c r="P48" s="251"/>
    </row>
    <row r="49" spans="2:16" ht="15">
      <c r="B49" s="241"/>
      <c r="C49" s="72"/>
      <c r="D49" s="62"/>
      <c r="E49" s="62"/>
      <c r="J49" s="69"/>
      <c r="K49" s="69"/>
      <c r="L49" s="69"/>
      <c r="M49" s="69"/>
      <c r="N49" s="70"/>
      <c r="O49" s="71"/>
      <c r="P49" s="251"/>
    </row>
    <row r="50" spans="2:16" ht="15">
      <c r="B50" s="241"/>
      <c r="C50" s="72"/>
      <c r="D50" s="62" t="s">
        <v>112</v>
      </c>
      <c r="E50" s="62"/>
      <c r="F50" s="62"/>
      <c r="G50" s="62"/>
      <c r="H50" s="62"/>
      <c r="M50" s="69"/>
      <c r="N50" s="70"/>
      <c r="O50" s="71"/>
      <c r="P50" s="251"/>
    </row>
    <row r="51" spans="2:16" ht="15.75" thickBot="1">
      <c r="B51" s="241"/>
      <c r="C51" s="72"/>
      <c r="D51" s="62"/>
      <c r="E51" s="62"/>
      <c r="F51" s="62"/>
      <c r="G51" s="62"/>
      <c r="H51" s="62"/>
      <c r="M51" s="69"/>
      <c r="N51" s="70"/>
      <c r="O51" s="71"/>
      <c r="P51" s="251"/>
    </row>
    <row r="52" spans="2:16" ht="20.25" thickBot="1" thickTop="1">
      <c r="B52" s="241"/>
      <c r="C52" s="72"/>
      <c r="D52" s="68"/>
      <c r="E52" s="68"/>
      <c r="F52" s="74"/>
      <c r="G52" s="69"/>
      <c r="H52" s="204" t="s">
        <v>113</v>
      </c>
      <c r="I52" s="412">
        <f>IF($E$48&gt;3*I45,3*I45,$E$48)</f>
        <v>2855.9426558881346</v>
      </c>
      <c r="J52" s="69"/>
      <c r="K52" s="69"/>
      <c r="L52" s="69"/>
      <c r="M52" s="69"/>
      <c r="N52" s="70"/>
      <c r="O52" s="71"/>
      <c r="P52" s="251"/>
    </row>
    <row r="53" spans="2:16" ht="16.5" thickBot="1" thickTop="1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9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sheetProtection/>
  <mergeCells count="3">
    <mergeCell ref="M16:N16"/>
    <mergeCell ref="M17:N17"/>
    <mergeCell ref="M18:N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L47" sqref="L47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1" customFormat="1" ht="39.75" customHeight="1">
      <c r="P1" s="336"/>
    </row>
    <row r="2" spans="1:16" s="101" customFormat="1" ht="26.25">
      <c r="A2" s="162"/>
      <c r="B2" s="620" t="str">
        <f>'TOT-0614'!B2</f>
        <v>ANEXO VI al Memorándum  D.T.E.E.  N°  223 /2016         .-</v>
      </c>
      <c r="C2" s="620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3" s="104" customFormat="1" ht="12.75">
      <c r="A3" s="625" t="s">
        <v>148</v>
      </c>
      <c r="B3" s="9"/>
      <c r="C3" s="9"/>
    </row>
    <row r="4" spans="1:3" s="104" customFormat="1" ht="11.25">
      <c r="A4" s="625" t="s">
        <v>177</v>
      </c>
      <c r="B4" s="201"/>
      <c r="C4" s="201"/>
    </row>
    <row r="5" s="9" customFormat="1" ht="13.5" thickBot="1"/>
    <row r="6" spans="1:16" s="9" customFormat="1" ht="13.5" thickTop="1">
      <c r="A6" s="7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06" customFormat="1" ht="20.25">
      <c r="A7" s="40"/>
      <c r="B7" s="105"/>
      <c r="C7" s="40"/>
      <c r="D7" s="19" t="s">
        <v>42</v>
      </c>
      <c r="G7" s="40"/>
      <c r="H7" s="40"/>
      <c r="I7" s="40"/>
      <c r="J7" s="40"/>
      <c r="K7" s="40"/>
      <c r="L7" s="40"/>
      <c r="M7" s="40"/>
      <c r="N7" s="40"/>
      <c r="O7" s="40"/>
      <c r="P7" s="107"/>
    </row>
    <row r="8" spans="1:16" ht="15">
      <c r="A8" s="1"/>
      <c r="B8" s="241"/>
      <c r="C8" s="66"/>
      <c r="D8" s="337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45"/>
    </row>
    <row r="9" spans="1:19" s="106" customFormat="1" ht="20.25">
      <c r="A9" s="40"/>
      <c r="B9" s="338"/>
      <c r="C9"/>
      <c r="D9" s="20" t="s">
        <v>142</v>
      </c>
      <c r="E9" s="339"/>
      <c r="F9" s="339"/>
      <c r="G9" s="339"/>
      <c r="H9" s="340"/>
      <c r="I9" s="339"/>
      <c r="J9" s="339"/>
      <c r="K9" s="339"/>
      <c r="L9" s="339"/>
      <c r="M9" s="339"/>
      <c r="N9" s="339"/>
      <c r="O9" s="339"/>
      <c r="P9" s="341"/>
      <c r="Q9" s="202"/>
      <c r="R9" s="164"/>
      <c r="S9" s="164"/>
    </row>
    <row r="10" spans="1:19" s="9" customFormat="1" ht="12.75">
      <c r="A10" s="7"/>
      <c r="B10" s="39"/>
      <c r="C10" s="7"/>
      <c r="D10" s="60"/>
      <c r="E10" s="26"/>
      <c r="F10" s="26"/>
      <c r="G10" s="26"/>
      <c r="H10" s="161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163"/>
    </row>
    <row r="11" spans="1:19" s="113" customFormat="1" ht="19.5">
      <c r="A11" s="42"/>
      <c r="B11" s="205" t="str">
        <f>+'TOT-0614'!B14</f>
        <v>Desde el 01 al 30 de junio de 2014</v>
      </c>
      <c r="C11" s="135"/>
      <c r="D11" s="173"/>
      <c r="E11" s="173"/>
      <c r="F11" s="173"/>
      <c r="G11" s="173"/>
      <c r="H11" s="173"/>
      <c r="I11" s="135"/>
      <c r="J11" s="173"/>
      <c r="K11" s="173"/>
      <c r="L11" s="173"/>
      <c r="M11" s="173"/>
      <c r="N11" s="173"/>
      <c r="O11" s="173"/>
      <c r="P11" s="342"/>
      <c r="Q11" s="343"/>
      <c r="R11" s="343"/>
      <c r="S11" s="343"/>
    </row>
    <row r="12" spans="1:19" ht="15">
      <c r="A12" s="1"/>
      <c r="B12" s="241"/>
      <c r="C12" s="66"/>
      <c r="D12" s="62"/>
      <c r="E12" s="62"/>
      <c r="F12" s="62"/>
      <c r="G12" s="62"/>
      <c r="H12" s="344"/>
      <c r="I12" s="66"/>
      <c r="J12" s="62"/>
      <c r="K12" s="62"/>
      <c r="L12" s="62"/>
      <c r="M12" s="62"/>
      <c r="N12" s="62"/>
      <c r="O12" s="62"/>
      <c r="P12" s="63"/>
      <c r="Q12" s="4"/>
      <c r="R12" s="4"/>
      <c r="S12" s="345"/>
    </row>
    <row r="13" spans="1:19" ht="18" customHeight="1">
      <c r="A13" s="1"/>
      <c r="B13" s="241"/>
      <c r="C13" s="66"/>
      <c r="D13" s="62"/>
      <c r="E13" s="62"/>
      <c r="F13" s="62"/>
      <c r="G13" s="62"/>
      <c r="H13" s="73"/>
      <c r="I13" s="73"/>
      <c r="J13" s="62"/>
      <c r="K13" s="62"/>
      <c r="P13" s="63"/>
      <c r="Q13" s="4"/>
      <c r="R13" s="4"/>
      <c r="S13" s="345"/>
    </row>
    <row r="14" spans="1:19" ht="18" customHeight="1">
      <c r="A14" s="1"/>
      <c r="B14" s="241"/>
      <c r="C14" s="66"/>
      <c r="D14" s="61"/>
      <c r="E14" s="346"/>
      <c r="F14" s="62"/>
      <c r="G14" s="62"/>
      <c r="H14" s="73"/>
      <c r="I14" s="73"/>
      <c r="J14" s="62"/>
      <c r="K14" s="62"/>
      <c r="P14" s="63"/>
      <c r="Q14" s="4"/>
      <c r="R14" s="4"/>
      <c r="S14" s="345"/>
    </row>
    <row r="15" spans="1:16" ht="16.5" thickBot="1">
      <c r="A15" s="1"/>
      <c r="B15" s="241"/>
      <c r="C15" s="347" t="s">
        <v>88</v>
      </c>
      <c r="D15" s="64"/>
      <c r="E15" s="242"/>
      <c r="F15" s="243"/>
      <c r="G15" s="66"/>
      <c r="H15" s="66"/>
      <c r="I15" s="66"/>
      <c r="J15" s="65"/>
      <c r="K15" s="65"/>
      <c r="L15" s="244"/>
      <c r="M15" s="66"/>
      <c r="N15" s="66"/>
      <c r="O15" s="66"/>
      <c r="P15" s="245"/>
    </row>
    <row r="16" spans="1:16" ht="16.5" thickBot="1">
      <c r="A16" s="1"/>
      <c r="B16" s="241"/>
      <c r="C16" s="246"/>
      <c r="D16" s="64"/>
      <c r="E16" s="242"/>
      <c r="F16" s="243"/>
      <c r="G16" s="66"/>
      <c r="H16" s="66"/>
      <c r="L16" s="348" t="s">
        <v>84</v>
      </c>
      <c r="M16" s="664">
        <v>8.811</v>
      </c>
      <c r="N16" s="665"/>
      <c r="O16" s="66"/>
      <c r="P16" s="245"/>
    </row>
    <row r="17" spans="1:16" ht="15.75">
      <c r="A17" s="1"/>
      <c r="B17" s="241"/>
      <c r="C17" s="246"/>
      <c r="D17" s="65" t="s">
        <v>89</v>
      </c>
      <c r="E17" s="247">
        <f>MID(B11,16,2)*24</f>
        <v>720</v>
      </c>
      <c r="F17" s="66" t="s">
        <v>90</v>
      </c>
      <c r="G17" s="62"/>
      <c r="H17" s="349"/>
      <c r="I17" s="350" t="s">
        <v>91</v>
      </c>
      <c r="J17" s="659">
        <v>189.499</v>
      </c>
      <c r="K17" s="332"/>
      <c r="L17" s="351" t="s">
        <v>85</v>
      </c>
      <c r="M17" s="666">
        <v>6.612</v>
      </c>
      <c r="N17" s="667"/>
      <c r="O17" s="66"/>
      <c r="P17" s="245"/>
    </row>
    <row r="18" spans="1:16" ht="16.5" thickBot="1">
      <c r="A18" s="1"/>
      <c r="B18" s="241"/>
      <c r="C18" s="246"/>
      <c r="D18" s="65" t="s">
        <v>92</v>
      </c>
      <c r="E18" s="249">
        <v>0.025</v>
      </c>
      <c r="F18" s="62"/>
      <c r="G18" s="62"/>
      <c r="H18" s="352"/>
      <c r="I18" s="353" t="s">
        <v>93</v>
      </c>
      <c r="J18" s="354">
        <v>0.66</v>
      </c>
      <c r="K18" s="355"/>
      <c r="L18" s="356" t="s">
        <v>86</v>
      </c>
      <c r="M18" s="668">
        <v>6.612</v>
      </c>
      <c r="N18" s="669"/>
      <c r="O18" s="66"/>
      <c r="P18" s="245"/>
    </row>
    <row r="19" spans="1:16" ht="15.75">
      <c r="A19" s="1"/>
      <c r="B19" s="241"/>
      <c r="C19" s="246"/>
      <c r="D19" s="65"/>
      <c r="E19" s="249"/>
      <c r="F19" s="62"/>
      <c r="G19" s="62"/>
      <c r="H19" s="62"/>
      <c r="I19" s="62"/>
      <c r="L19" s="244"/>
      <c r="M19" s="66"/>
      <c r="N19" s="66"/>
      <c r="O19" s="66"/>
      <c r="P19" s="245"/>
    </row>
    <row r="20" spans="1:16" ht="15">
      <c r="A20" s="1"/>
      <c r="B20" s="241"/>
      <c r="C20" s="61" t="s">
        <v>94</v>
      </c>
      <c r="D20" s="68"/>
      <c r="E20" s="242"/>
      <c r="F20" s="243"/>
      <c r="G20" s="66"/>
      <c r="H20" s="66"/>
      <c r="I20" s="66"/>
      <c r="J20" s="65"/>
      <c r="K20" s="65"/>
      <c r="L20" s="244"/>
      <c r="M20" s="66"/>
      <c r="N20" s="66"/>
      <c r="O20" s="66"/>
      <c r="P20" s="245"/>
    </row>
    <row r="21" spans="1:16" ht="15">
      <c r="A21" s="1"/>
      <c r="B21" s="241"/>
      <c r="C21" s="66"/>
      <c r="D21" s="66"/>
      <c r="E21" s="66"/>
      <c r="F21" s="66"/>
      <c r="G21" s="66"/>
      <c r="H21" s="250"/>
      <c r="I21" s="66"/>
      <c r="J21" s="66"/>
      <c r="K21" s="66"/>
      <c r="L21" s="66"/>
      <c r="M21" s="66"/>
      <c r="N21" s="66"/>
      <c r="O21" s="66"/>
      <c r="P21" s="245"/>
    </row>
    <row r="22" spans="1:16" ht="15">
      <c r="A22" s="1"/>
      <c r="B22" s="241"/>
      <c r="C22" s="66"/>
      <c r="D22" s="65" t="s">
        <v>95</v>
      </c>
      <c r="E22" s="66"/>
      <c r="F22" s="250" t="s">
        <v>24</v>
      </c>
      <c r="G22" s="66"/>
      <c r="H22" s="64"/>
      <c r="I22" s="357">
        <v>0</v>
      </c>
      <c r="J22" s="66"/>
      <c r="K22" s="66"/>
      <c r="L22" s="358"/>
      <c r="M22" s="66"/>
      <c r="N22" s="66"/>
      <c r="O22" s="66"/>
      <c r="P22" s="245"/>
    </row>
    <row r="23" spans="1:16" ht="15">
      <c r="A23" s="1"/>
      <c r="B23" s="241"/>
      <c r="C23" s="66"/>
      <c r="D23" s="66"/>
      <c r="E23" s="66"/>
      <c r="F23" s="250" t="s">
        <v>96</v>
      </c>
      <c r="G23" s="66"/>
      <c r="H23" s="64"/>
      <c r="I23" s="357">
        <v>0</v>
      </c>
      <c r="J23" s="66"/>
      <c r="K23" s="66"/>
      <c r="L23" s="358"/>
      <c r="M23" s="66"/>
      <c r="N23" s="66"/>
      <c r="O23" s="66"/>
      <c r="P23" s="245"/>
    </row>
    <row r="24" spans="1:16" ht="15">
      <c r="A24" s="1"/>
      <c r="B24" s="241"/>
      <c r="C24" s="66"/>
      <c r="D24" s="66"/>
      <c r="E24" s="66"/>
      <c r="F24" s="250" t="s">
        <v>3</v>
      </c>
      <c r="G24" s="66"/>
      <c r="H24" s="64"/>
      <c r="I24" s="359">
        <v>371.93</v>
      </c>
      <c r="J24" s="66"/>
      <c r="K24" s="66"/>
      <c r="L24" s="656"/>
      <c r="M24" s="66"/>
      <c r="N24" s="66"/>
      <c r="O24" s="66"/>
      <c r="P24" s="245"/>
    </row>
    <row r="25" spans="1:16" ht="15.75" thickBot="1">
      <c r="A25" s="1"/>
      <c r="B25" s="241"/>
      <c r="C25" s="66"/>
      <c r="D25" s="66"/>
      <c r="E25" s="66"/>
      <c r="F25" s="66"/>
      <c r="G25" s="66"/>
      <c r="H25" s="250"/>
      <c r="I25" s="66"/>
      <c r="J25" s="66"/>
      <c r="K25" s="66"/>
      <c r="L25" s="66"/>
      <c r="M25" s="66"/>
      <c r="N25" s="66"/>
      <c r="O25" s="66"/>
      <c r="P25" s="245"/>
    </row>
    <row r="26" spans="2:16" ht="20.25" thickBot="1" thickTop="1">
      <c r="B26" s="241"/>
      <c r="C26" s="72"/>
      <c r="H26" s="360" t="s">
        <v>97</v>
      </c>
      <c r="I26" s="148">
        <f>SUM(I22:I25)</f>
        <v>371.93</v>
      </c>
      <c r="L26" s="69"/>
      <c r="M26" s="69"/>
      <c r="N26" s="70"/>
      <c r="O26" s="71"/>
      <c r="P26" s="251"/>
    </row>
    <row r="27" spans="2:16" ht="15.75" thickTop="1">
      <c r="B27" s="241"/>
      <c r="C27" s="72"/>
      <c r="D27" s="68"/>
      <c r="E27" s="68"/>
      <c r="F27" s="74"/>
      <c r="G27" s="69"/>
      <c r="H27" s="69"/>
      <c r="I27" s="69"/>
      <c r="J27" s="69"/>
      <c r="K27" s="69"/>
      <c r="L27" s="69"/>
      <c r="M27" s="69"/>
      <c r="N27" s="70"/>
      <c r="O27" s="71"/>
      <c r="P27" s="251"/>
    </row>
    <row r="28" spans="2:16" ht="15">
      <c r="B28" s="241"/>
      <c r="C28" s="61" t="s">
        <v>98</v>
      </c>
      <c r="D28" s="68"/>
      <c r="E28" s="68"/>
      <c r="F28" s="74"/>
      <c r="G28" s="69"/>
      <c r="H28" s="69"/>
      <c r="I28" s="69"/>
      <c r="J28" s="69"/>
      <c r="K28" s="69"/>
      <c r="L28" s="69"/>
      <c r="M28" s="69"/>
      <c r="N28" s="70"/>
      <c r="O28" s="71"/>
      <c r="P28" s="251"/>
    </row>
    <row r="29" spans="2:16" ht="15">
      <c r="B29" s="241"/>
      <c r="C29" s="72"/>
      <c r="D29" s="68"/>
      <c r="E29" s="68"/>
      <c r="F29" s="74"/>
      <c r="G29" s="69"/>
      <c r="H29" s="69"/>
      <c r="I29" s="69"/>
      <c r="J29" s="69"/>
      <c r="K29" s="69"/>
      <c r="L29" s="69"/>
      <c r="M29" s="69"/>
      <c r="N29" s="70"/>
      <c r="O29" s="71"/>
      <c r="P29" s="251"/>
    </row>
    <row r="30" spans="2:16" ht="15.75">
      <c r="B30" s="241"/>
      <c r="C30" s="72"/>
      <c r="D30" s="361" t="s">
        <v>99</v>
      </c>
      <c r="E30" s="362" t="s">
        <v>20</v>
      </c>
      <c r="F30" s="363" t="s">
        <v>100</v>
      </c>
      <c r="G30" s="364"/>
      <c r="H30" s="590" t="s">
        <v>136</v>
      </c>
      <c r="I30" s="589" t="s">
        <v>135</v>
      </c>
      <c r="J30" s="585"/>
      <c r="K30" s="389"/>
      <c r="L30" s="367" t="s">
        <v>2</v>
      </c>
      <c r="N30" s="70"/>
      <c r="O30" s="71"/>
      <c r="P30" s="251"/>
    </row>
    <row r="31" spans="2:16" ht="15.75">
      <c r="B31" s="241"/>
      <c r="C31" s="72"/>
      <c r="D31" s="368" t="s">
        <v>126</v>
      </c>
      <c r="E31" s="369">
        <v>132</v>
      </c>
      <c r="F31" s="370">
        <v>42.6</v>
      </c>
      <c r="G31" s="371"/>
      <c r="H31" s="372">
        <f>F31*$J$17*$E$17/100</f>
        <v>58123.133279999995</v>
      </c>
      <c r="I31" s="373">
        <v>69560</v>
      </c>
      <c r="J31" s="587" t="s">
        <v>149</v>
      </c>
      <c r="K31" s="375"/>
      <c r="L31" s="376">
        <f>SUM(H31:K31)</f>
        <v>127683.13328</v>
      </c>
      <c r="M31" s="69"/>
      <c r="N31" s="70"/>
      <c r="O31" s="71"/>
      <c r="P31" s="251"/>
    </row>
    <row r="32" spans="2:16" ht="15.75">
      <c r="B32" s="241"/>
      <c r="C32" s="72"/>
      <c r="D32" s="396" t="s">
        <v>127</v>
      </c>
      <c r="E32" s="68">
        <v>132</v>
      </c>
      <c r="F32" s="74">
        <v>33.6</v>
      </c>
      <c r="G32" s="69"/>
      <c r="H32" s="256">
        <f>F32*$J$17*$E$17/100</f>
        <v>45843.59808</v>
      </c>
      <c r="I32" s="413">
        <v>12970</v>
      </c>
      <c r="J32" s="586" t="s">
        <v>149</v>
      </c>
      <c r="K32" s="248"/>
      <c r="L32" s="397">
        <f>SUM(H32:K32)</f>
        <v>58813.59808</v>
      </c>
      <c r="M32" s="69"/>
      <c r="N32" s="70"/>
      <c r="O32" s="71"/>
      <c r="P32" s="251"/>
    </row>
    <row r="33" spans="2:16" ht="15.75">
      <c r="B33" s="241"/>
      <c r="C33" s="72"/>
      <c r="D33" s="396" t="s">
        <v>128</v>
      </c>
      <c r="E33" s="68">
        <v>132</v>
      </c>
      <c r="F33" s="74">
        <v>41</v>
      </c>
      <c r="G33" s="69"/>
      <c r="H33" s="256">
        <f>F33*$J$17*$E$17/100</f>
        <v>55940.104799999994</v>
      </c>
      <c r="I33" s="413">
        <v>1138</v>
      </c>
      <c r="J33" s="586" t="s">
        <v>149</v>
      </c>
      <c r="K33" s="248"/>
      <c r="L33" s="397">
        <f>SUM(H33:K33)</f>
        <v>57078.104799999994</v>
      </c>
      <c r="M33" s="69"/>
      <c r="N33" s="70"/>
      <c r="O33" s="71"/>
      <c r="P33" s="251"/>
    </row>
    <row r="34" spans="2:16" ht="15.75">
      <c r="B34" s="241"/>
      <c r="C34" s="72"/>
      <c r="D34" s="377"/>
      <c r="E34" s="378"/>
      <c r="F34" s="379"/>
      <c r="G34" s="380"/>
      <c r="H34" s="381"/>
      <c r="I34" s="382"/>
      <c r="J34" s="588"/>
      <c r="K34" s="384"/>
      <c r="L34" s="385"/>
      <c r="M34" s="69"/>
      <c r="N34" s="70"/>
      <c r="O34" s="71"/>
      <c r="P34" s="251"/>
    </row>
    <row r="35" spans="2:16" ht="15">
      <c r="B35" s="241"/>
      <c r="C35" s="72"/>
      <c r="D35" s="68"/>
      <c r="E35" s="68"/>
      <c r="F35" s="252"/>
      <c r="G35" s="69"/>
      <c r="I35" s="75"/>
      <c r="J35" s="248"/>
      <c r="K35" s="248"/>
      <c r="L35" s="386">
        <f>SUM(L31:L34)</f>
        <v>243574.83616</v>
      </c>
      <c r="M35" s="69"/>
      <c r="N35" s="70"/>
      <c r="O35" s="71"/>
      <c r="P35" s="251"/>
    </row>
    <row r="36" spans="2:16" ht="15">
      <c r="B36" s="241"/>
      <c r="C36" s="72"/>
      <c r="D36" s="68"/>
      <c r="E36" s="68"/>
      <c r="F36" s="252"/>
      <c r="G36" s="69"/>
      <c r="I36" s="75"/>
      <c r="J36" s="248"/>
      <c r="K36" s="248"/>
      <c r="L36" s="253"/>
      <c r="M36" s="69"/>
      <c r="N36" s="70"/>
      <c r="O36" s="71"/>
      <c r="P36" s="251"/>
    </row>
    <row r="37" spans="2:16" ht="15.75">
      <c r="B37" s="241"/>
      <c r="C37" s="72"/>
      <c r="D37" s="361" t="s">
        <v>101</v>
      </c>
      <c r="E37" s="362" t="s">
        <v>102</v>
      </c>
      <c r="F37" s="414" t="s">
        <v>114</v>
      </c>
      <c r="G37" s="415"/>
      <c r="H37" s="591" t="s">
        <v>137</v>
      </c>
      <c r="J37" s="387" t="s">
        <v>104</v>
      </c>
      <c r="K37" s="388"/>
      <c r="L37" s="389" t="s">
        <v>52</v>
      </c>
      <c r="M37" s="362" t="s">
        <v>20</v>
      </c>
      <c r="N37" s="390" t="s">
        <v>105</v>
      </c>
      <c r="O37" s="391"/>
      <c r="P37" s="251"/>
    </row>
    <row r="38" spans="2:16" ht="15">
      <c r="B38" s="241"/>
      <c r="C38" s="72"/>
      <c r="D38" s="368"/>
      <c r="E38" s="369"/>
      <c r="F38" s="416"/>
      <c r="G38" s="417"/>
      <c r="H38" s="376">
        <f>+F38*$J$18*$E$17</f>
        <v>0</v>
      </c>
      <c r="J38" s="592" t="s">
        <v>129</v>
      </c>
      <c r="K38" s="593"/>
      <c r="L38" s="594" t="s">
        <v>131</v>
      </c>
      <c r="M38" s="393">
        <v>132</v>
      </c>
      <c r="N38" s="394">
        <f aca="true" t="shared" si="0" ref="N38:N43">$M$16*$E$17</f>
        <v>6343.92</v>
      </c>
      <c r="O38" s="395"/>
      <c r="P38" s="251"/>
    </row>
    <row r="39" spans="2:16" ht="15">
      <c r="B39" s="241"/>
      <c r="C39" s="72"/>
      <c r="D39" s="396"/>
      <c r="E39" s="68"/>
      <c r="F39" s="418"/>
      <c r="G39" s="419"/>
      <c r="H39" s="397">
        <f>+F39*$J$18*$E$17</f>
        <v>0</v>
      </c>
      <c r="J39" s="595" t="s">
        <v>129</v>
      </c>
      <c r="K39" s="596"/>
      <c r="L39" s="597" t="s">
        <v>143</v>
      </c>
      <c r="M39" s="70">
        <v>132</v>
      </c>
      <c r="N39" s="400">
        <f t="shared" si="0"/>
        <v>6343.92</v>
      </c>
      <c r="O39" s="401"/>
      <c r="P39" s="251"/>
    </row>
    <row r="40" spans="2:16" ht="15">
      <c r="B40" s="241"/>
      <c r="C40" s="72"/>
      <c r="D40" s="396"/>
      <c r="E40" s="68"/>
      <c r="F40" s="418"/>
      <c r="G40" s="419"/>
      <c r="H40" s="397">
        <f>+F40*$J$18*$E$17</f>
        <v>0</v>
      </c>
      <c r="J40" s="595" t="s">
        <v>130</v>
      </c>
      <c r="K40" s="596"/>
      <c r="L40" s="597" t="s">
        <v>131</v>
      </c>
      <c r="M40" s="70">
        <v>132</v>
      </c>
      <c r="N40" s="400">
        <f t="shared" si="0"/>
        <v>6343.92</v>
      </c>
      <c r="O40" s="401"/>
      <c r="P40" s="251"/>
    </row>
    <row r="41" spans="2:16" ht="15">
      <c r="B41" s="241"/>
      <c r="C41" s="72"/>
      <c r="D41" s="396"/>
      <c r="E41" s="68"/>
      <c r="F41" s="418"/>
      <c r="G41" s="419"/>
      <c r="H41" s="397">
        <f>+F41*$J$18*$E$17</f>
        <v>0</v>
      </c>
      <c r="J41" s="595" t="s">
        <v>132</v>
      </c>
      <c r="K41" s="596"/>
      <c r="L41" s="597" t="s">
        <v>133</v>
      </c>
      <c r="M41" s="70">
        <v>132</v>
      </c>
      <c r="N41" s="400">
        <f t="shared" si="0"/>
        <v>6343.92</v>
      </c>
      <c r="O41" s="401"/>
      <c r="P41" s="251"/>
    </row>
    <row r="42" spans="2:16" ht="15">
      <c r="B42" s="241"/>
      <c r="C42" s="72"/>
      <c r="D42" s="377"/>
      <c r="E42" s="378"/>
      <c r="F42" s="420"/>
      <c r="G42" s="421"/>
      <c r="H42" s="397">
        <f>+F42*$J$18*$E$17</f>
        <v>0</v>
      </c>
      <c r="J42" s="595" t="s">
        <v>132</v>
      </c>
      <c r="K42" s="596"/>
      <c r="L42" s="597" t="s">
        <v>134</v>
      </c>
      <c r="M42" s="70">
        <v>132</v>
      </c>
      <c r="N42" s="400">
        <f t="shared" si="0"/>
        <v>6343.92</v>
      </c>
      <c r="O42" s="401"/>
      <c r="P42" s="251"/>
    </row>
    <row r="43" spans="2:16" ht="15">
      <c r="B43" s="241"/>
      <c r="C43" s="72"/>
      <c r="D43" s="68"/>
      <c r="E43" s="68"/>
      <c r="F43" s="252"/>
      <c r="G43" s="69"/>
      <c r="H43" s="386">
        <f>SUM(H38:H42)</f>
        <v>0</v>
      </c>
      <c r="J43" s="598" t="s">
        <v>132</v>
      </c>
      <c r="K43" s="599"/>
      <c r="L43" s="600" t="s">
        <v>144</v>
      </c>
      <c r="M43" s="403">
        <v>132</v>
      </c>
      <c r="N43" s="404">
        <f t="shared" si="0"/>
        <v>6343.92</v>
      </c>
      <c r="O43" s="405"/>
      <c r="P43" s="251"/>
    </row>
    <row r="44" spans="2:16" ht="15">
      <c r="B44" s="241"/>
      <c r="C44" s="72"/>
      <c r="D44" s="68"/>
      <c r="E44" s="68"/>
      <c r="F44" s="252"/>
      <c r="G44" s="69"/>
      <c r="I44" s="75"/>
      <c r="J44" s="248"/>
      <c r="K44" s="248"/>
      <c r="L44" s="253"/>
      <c r="M44" s="69"/>
      <c r="N44" s="406">
        <f>SUM(N38:N43)</f>
        <v>38063.52</v>
      </c>
      <c r="O44" s="391"/>
      <c r="P44" s="251"/>
    </row>
    <row r="45" spans="2:16" ht="12.75" customHeight="1" thickBot="1">
      <c r="B45" s="241"/>
      <c r="C45" s="72"/>
      <c r="D45" s="68"/>
      <c r="E45" s="68"/>
      <c r="F45" s="74"/>
      <c r="G45" s="69"/>
      <c r="H45" s="75"/>
      <c r="I45" s="68"/>
      <c r="J45" s="68"/>
      <c r="K45" s="68"/>
      <c r="L45" s="69"/>
      <c r="M45" s="69"/>
      <c r="N45" s="70"/>
      <c r="O45" s="71"/>
      <c r="P45" s="251"/>
    </row>
    <row r="46" spans="2:16" ht="20.25" thickBot="1" thickTop="1">
      <c r="B46" s="241"/>
      <c r="C46" s="72"/>
      <c r="D46" s="68"/>
      <c r="E46" s="68"/>
      <c r="F46" s="74"/>
      <c r="G46" s="69"/>
      <c r="H46" s="407" t="s">
        <v>106</v>
      </c>
      <c r="I46" s="408">
        <f>+H43+N44+L35</f>
        <v>281638.35616</v>
      </c>
      <c r="J46" s="68"/>
      <c r="K46" s="407" t="s">
        <v>184</v>
      </c>
      <c r="L46" s="408">
        <v>156510.28</v>
      </c>
      <c r="M46" s="69"/>
      <c r="N46" s="70"/>
      <c r="O46" s="71"/>
      <c r="P46" s="251"/>
    </row>
    <row r="47" spans="2:16" ht="15.75" thickTop="1">
      <c r="B47" s="241"/>
      <c r="C47" s="72"/>
      <c r="D47" s="68"/>
      <c r="E47" s="68"/>
      <c r="F47" s="74"/>
      <c r="G47" s="69"/>
      <c r="H47" s="75"/>
      <c r="I47" s="68"/>
      <c r="J47" s="68"/>
      <c r="K47" s="68"/>
      <c r="L47" s="69"/>
      <c r="M47" s="69"/>
      <c r="N47" s="70"/>
      <c r="O47" s="71"/>
      <c r="P47" s="251"/>
    </row>
    <row r="48" spans="2:16" ht="15.75">
      <c r="B48" s="241"/>
      <c r="C48" s="409" t="s">
        <v>107</v>
      </c>
      <c r="D48" s="68"/>
      <c r="E48" s="68"/>
      <c r="F48" s="74"/>
      <c r="G48" s="69"/>
      <c r="H48" s="75"/>
      <c r="I48" s="68"/>
      <c r="J48" s="68"/>
      <c r="K48" s="68"/>
      <c r="L48" s="69"/>
      <c r="M48" s="69"/>
      <c r="N48" s="70"/>
      <c r="O48" s="71"/>
      <c r="P48" s="251"/>
    </row>
    <row r="49" spans="2:16" ht="15.75" thickBot="1">
      <c r="B49" s="241"/>
      <c r="C49" s="72"/>
      <c r="D49" s="68"/>
      <c r="E49" s="68"/>
      <c r="F49" s="74"/>
      <c r="G49" s="69"/>
      <c r="H49" s="75"/>
      <c r="I49" s="68"/>
      <c r="J49" s="68"/>
      <c r="K49" s="68"/>
      <c r="L49" s="69"/>
      <c r="M49" s="69"/>
      <c r="N49" s="70"/>
      <c r="O49" s="71"/>
      <c r="P49" s="251"/>
    </row>
    <row r="50" spans="2:16" ht="20.25" thickBot="1" thickTop="1">
      <c r="B50" s="241"/>
      <c r="C50" s="72"/>
      <c r="D50" s="203" t="s">
        <v>108</v>
      </c>
      <c r="F50" s="254"/>
      <c r="G50" s="66"/>
      <c r="H50" s="147" t="s">
        <v>109</v>
      </c>
      <c r="I50" s="410">
        <f>E18*L46</f>
        <v>3912.757</v>
      </c>
      <c r="J50" s="62"/>
      <c r="K50" s="62"/>
      <c r="O50" s="62"/>
      <c r="P50" s="251"/>
    </row>
    <row r="51" spans="2:16" ht="21.75" thickTop="1">
      <c r="B51" s="241"/>
      <c r="C51" s="72"/>
      <c r="F51" s="255"/>
      <c r="G51" s="40"/>
      <c r="I51" s="62"/>
      <c r="J51" s="62"/>
      <c r="K51" s="62"/>
      <c r="O51" s="62"/>
      <c r="P51" s="251"/>
    </row>
    <row r="52" spans="2:16" ht="15">
      <c r="B52" s="241"/>
      <c r="C52" s="61" t="s">
        <v>110</v>
      </c>
      <c r="E52" s="62"/>
      <c r="F52" s="62"/>
      <c r="G52" s="62"/>
      <c r="H52" s="62"/>
      <c r="I52" s="69"/>
      <c r="J52" s="69"/>
      <c r="K52" s="69"/>
      <c r="L52" s="69"/>
      <c r="M52" s="69"/>
      <c r="N52" s="70"/>
      <c r="O52" s="71"/>
      <c r="P52" s="251"/>
    </row>
    <row r="53" spans="2:16" ht="15">
      <c r="B53" s="241"/>
      <c r="C53" s="72"/>
      <c r="D53" s="67" t="s">
        <v>111</v>
      </c>
      <c r="E53" s="256">
        <f>10*I26*I50/I46</f>
        <v>51.67164483033886</v>
      </c>
      <c r="F53" s="411"/>
      <c r="H53" s="62"/>
      <c r="I53" s="69"/>
      <c r="J53" s="69"/>
      <c r="K53" s="69"/>
      <c r="L53" s="69"/>
      <c r="M53" s="69"/>
      <c r="N53" s="70"/>
      <c r="O53" s="71"/>
      <c r="P53" s="251"/>
    </row>
    <row r="54" spans="2:16" ht="15">
      <c r="B54" s="241"/>
      <c r="C54" s="72"/>
      <c r="D54" s="62"/>
      <c r="E54" s="62"/>
      <c r="J54" s="69"/>
      <c r="K54" s="69"/>
      <c r="L54" s="69"/>
      <c r="M54" s="69"/>
      <c r="N54" s="70"/>
      <c r="O54" s="71"/>
      <c r="P54" s="251"/>
    </row>
    <row r="55" spans="2:16" ht="15">
      <c r="B55" s="241"/>
      <c r="C55" s="72"/>
      <c r="D55" s="62" t="s">
        <v>183</v>
      </c>
      <c r="E55" s="62"/>
      <c r="F55" s="62"/>
      <c r="G55" s="62"/>
      <c r="H55" s="62"/>
      <c r="M55" s="69"/>
      <c r="N55" s="70"/>
      <c r="O55" s="71"/>
      <c r="P55" s="251"/>
    </row>
    <row r="56" spans="2:16" ht="15.75" thickBot="1">
      <c r="B56" s="241"/>
      <c r="C56" s="72"/>
      <c r="D56" s="62"/>
      <c r="E56" s="62"/>
      <c r="F56" s="62"/>
      <c r="G56" s="62"/>
      <c r="H56" s="62"/>
      <c r="M56" s="69"/>
      <c r="N56" s="70"/>
      <c r="O56" s="71"/>
      <c r="P56" s="251"/>
    </row>
    <row r="57" spans="2:16" ht="20.25" thickBot="1" thickTop="1">
      <c r="B57" s="241"/>
      <c r="C57" s="72"/>
      <c r="D57" s="68"/>
      <c r="E57" s="68"/>
      <c r="F57" s="74"/>
      <c r="G57" s="69"/>
      <c r="H57" s="204" t="s">
        <v>113</v>
      </c>
      <c r="I57" s="412">
        <f>IF($E$53&gt;3*I50,3*I50,$E$53)</f>
        <v>51.67164483033886</v>
      </c>
      <c r="J57" s="69"/>
      <c r="K57" s="69"/>
      <c r="L57" s="69"/>
      <c r="M57" s="69"/>
      <c r="N57" s="70"/>
      <c r="O57" s="71"/>
      <c r="P57" s="251"/>
    </row>
    <row r="58" spans="2:16" ht="16.5" thickBot="1" thickTop="1">
      <c r="B58" s="257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9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2014-12-17T13:58:16Z</cp:lastPrinted>
  <dcterms:created xsi:type="dcterms:W3CDTF">2000-10-04T20:14:32Z</dcterms:created>
  <dcterms:modified xsi:type="dcterms:W3CDTF">2016-07-13T15:49:01Z</dcterms:modified>
  <cp:category/>
  <cp:version/>
  <cp:contentType/>
  <cp:contentStatus/>
</cp:coreProperties>
</file>