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1970" windowHeight="3525" tabRatio="895" activeTab="0"/>
  </bookViews>
  <sheets>
    <sheet name="TOT-0214" sheetId="1" r:id="rId1"/>
    <sheet name="LI-02 (1)" sheetId="2" r:id="rId2"/>
    <sheet name="LI-EDERSA-02 (1)" sheetId="3" r:id="rId3"/>
    <sheet name="LI-TRANSACUE-02 (1)" sheetId="4" r:id="rId4"/>
    <sheet name="TR-02 (1)" sheetId="5" r:id="rId5"/>
    <sheet name="TR-EDERSA-02 (1)" sheetId="6" r:id="rId6"/>
    <sheet name="TR-TRANSACUE-02 (1)" sheetId="7" r:id="rId7"/>
    <sheet name="SA-02 (1)" sheetId="8" r:id="rId8"/>
    <sheet name="SA-EDERSA-02 (1)" sheetId="9" r:id="rId9"/>
    <sheet name="SA-TRANSACUE-02 (1)" sheetId="10" r:id="rId10"/>
    <sheet name="SUP-EDERSA" sheetId="11" r:id="rId11"/>
    <sheet name="SUP-TRANSACUE" sheetId="12" r:id="rId12"/>
  </sheets>
  <definedNames>
    <definedName name="DD">[0]!DD</definedName>
    <definedName name="DDD">[0]!DDD</definedName>
    <definedName name="DISTROCUYO">[0]!DISTROCUYO</definedName>
    <definedName name="INICIO">[0]!INICIO</definedName>
    <definedName name="INICIOTI">[0]!INICIOTI</definedName>
    <definedName name="LINEAS">[0]!LINEAS</definedName>
    <definedName name="NAME_L">[0]!NAME_L</definedName>
    <definedName name="NAME_L_TI">[0]!NAME_L_TI</definedName>
    <definedName name="TRAN">[0]!TRAN</definedName>
    <definedName name="TRANSNOA">[0]!TRANSNOA</definedName>
    <definedName name="x">[0]!x</definedName>
    <definedName name="XX">[0]!XX</definedName>
  </definedNames>
  <calcPr fullCalcOnLoad="1"/>
</workbook>
</file>

<file path=xl/comments10.xml><?xml version="1.0" encoding="utf-8"?>
<comments xmlns="http://schemas.openxmlformats.org/spreadsheetml/2006/main">
  <authors>
    <author>jmessina</author>
  </authors>
  <commentList>
    <comment ref="G16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3,030 hasta 01/07/2008 RES330</t>
        </r>
      </text>
    </comment>
    <comment ref="G17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2,274 hasta 01/07/2008 RES330</t>
        </r>
      </text>
    </comment>
    <comment ref="G18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2,274 hasta 01/07/2008 RES330</t>
        </r>
      </text>
    </comment>
  </commentList>
</comments>
</file>

<file path=xl/comments11.xml><?xml version="1.0" encoding="utf-8"?>
<comments xmlns="http://schemas.openxmlformats.org/spreadsheetml/2006/main">
  <authors>
    <author>Ing. Juan Messina</author>
  </authors>
  <commentList>
    <comment ref="K30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ATRAXX.TXT
SECCION A21
DISTPAT
SAO -132    SAE -132
EDERPSAT</t>
        </r>
      </text>
    </comment>
  </commentList>
</comments>
</file>

<file path=xl/comments12.xml><?xml version="1.0" encoding="utf-8"?>
<comments xmlns="http://schemas.openxmlformats.org/spreadsheetml/2006/main">
  <authors>
    <author>Ing. Juan Messina</author>
  </authors>
  <commentList>
    <comment ref="K30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ATRAXX.TXT
SECCION A21
DISTPAT
SAO -132    SAE -132
EDERPSAT</t>
        </r>
      </text>
    </comment>
  </commentList>
</comments>
</file>

<file path=xl/comments8.xml><?xml version="1.0" encoding="utf-8"?>
<comments xmlns="http://schemas.openxmlformats.org/spreadsheetml/2006/main">
  <authors>
    <author>jmessina</author>
  </authors>
  <commentList>
    <comment ref="G16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7,577 
hasta 01/07/2008 RES330</t>
        </r>
      </text>
    </comment>
    <comment ref="G17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3,030 hasta 01/07/2008 RES330</t>
        </r>
      </text>
    </comment>
    <comment ref="G18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2,274 hasta 01/07/2008 RES330</t>
        </r>
      </text>
    </comment>
    <comment ref="G19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2,274 hasta 01/07/2008 RES330</t>
        </r>
      </text>
    </comment>
  </commentList>
</comments>
</file>

<file path=xl/comments9.xml><?xml version="1.0" encoding="utf-8"?>
<comments xmlns="http://schemas.openxmlformats.org/spreadsheetml/2006/main">
  <authors>
    <author>jmessina</author>
  </authors>
  <commentList>
    <comment ref="G16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3,030 hasta 01/07/2008 RES330</t>
        </r>
      </text>
    </comment>
    <comment ref="G17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2,274 hasta 01/07/2008 RES330</t>
        </r>
      </text>
    </comment>
    <comment ref="G18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2,274 hasta 01/07/2008 RES330</t>
        </r>
      </text>
    </comment>
  </commentList>
</comments>
</file>

<file path=xl/sharedStrings.xml><?xml version="1.0" encoding="utf-8"?>
<sst xmlns="http://schemas.openxmlformats.org/spreadsheetml/2006/main" count="530" uniqueCount="194">
  <si>
    <t>SISTEMA DE TRANSPORTE DE ENERGÍA ELÉCTRICA POR DISTRIBUCIÓN TRONCAL</t>
  </si>
  <si>
    <t>TRANSPA S.A.</t>
  </si>
  <si>
    <t>TOTAL</t>
  </si>
  <si>
    <t>SALIDAS</t>
  </si>
  <si>
    <t>PUNTA COLORADA - SIERRA GRANDE</t>
  </si>
  <si>
    <t>S.A. OESTE - SIERRA GRANDE</t>
  </si>
  <si>
    <t>S.A. OESTE - VIEDMA</t>
  </si>
  <si>
    <t>VIEDMA - CARMEN DE PATAGONES</t>
  </si>
  <si>
    <t>TRAFO 1</t>
  </si>
  <si>
    <t>PUNTA COLORADA</t>
  </si>
  <si>
    <t>SAN ANTONIO ESTE</t>
  </si>
  <si>
    <t>SAN ANTONIO OESTE</t>
  </si>
  <si>
    <t>SIERRA GRANDE</t>
  </si>
  <si>
    <t>VIEDMA</t>
  </si>
  <si>
    <t>EQUIPO</t>
  </si>
  <si>
    <t>U [kV]</t>
  </si>
  <si>
    <t xml:space="preserve">ENTE NACIONAL REGULADOR </t>
  </si>
  <si>
    <t>DE LA ELECTRICIDAD</t>
  </si>
  <si>
    <t>1.-</t>
  </si>
  <si>
    <t>LÍNEAS</t>
  </si>
  <si>
    <t>1.1.-</t>
  </si>
  <si>
    <t>Equipamiento propio</t>
  </si>
  <si>
    <t>1.2.-</t>
  </si>
  <si>
    <t>Transportista Independiente E.D.E.R.S.A.</t>
  </si>
  <si>
    <t>1.3.-</t>
  </si>
  <si>
    <t>2.-</t>
  </si>
  <si>
    <t>CONEXIÓN</t>
  </si>
  <si>
    <t>2.1.-</t>
  </si>
  <si>
    <t>Transformación</t>
  </si>
  <si>
    <t>2.1.1.-</t>
  </si>
  <si>
    <t>2.1.2.-</t>
  </si>
  <si>
    <t>2.1.3.-</t>
  </si>
  <si>
    <t>2.2.-</t>
  </si>
  <si>
    <t>Salidas</t>
  </si>
  <si>
    <t>2.2.1.-</t>
  </si>
  <si>
    <t>2.2.2.-</t>
  </si>
  <si>
    <t>2.2.3.-</t>
  </si>
  <si>
    <t>3.-</t>
  </si>
  <si>
    <t>SUPERVISIÓN</t>
  </si>
  <si>
    <t xml:space="preserve">TOTAL </t>
  </si>
  <si>
    <t>SISTEMA DE TRANSPORTE DE ENERGÍA ELÉCTRICA POR DISTRIBUCIÓN TRONCAL - TRANSPA S.A.</t>
  </si>
  <si>
    <t>1.- LÍNEAS</t>
  </si>
  <si>
    <t>1.1.- Equipamiento propio</t>
  </si>
  <si>
    <t xml:space="preserve">$/100 km-h : LINEAS 330 kV </t>
  </si>
  <si>
    <t xml:space="preserve">$/100 km-h : LINEAS 132 kV </t>
  </si>
  <si>
    <t>FACTOR DE PENALIZACION  K =</t>
  </si>
  <si>
    <t>N°</t>
  </si>
  <si>
    <t>U
[kV]</t>
  </si>
  <si>
    <t>Long.
[km]</t>
  </si>
  <si>
    <t>$/h</t>
  </si>
  <si>
    <t>Salida</t>
  </si>
  <si>
    <t>Entrada</t>
  </si>
  <si>
    <t>Hs. 
Indisp</t>
  </si>
  <si>
    <t>Minutos
Indisp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</si>
  <si>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</si>
  <si>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C.R.
%</t>
  </si>
  <si>
    <t>PENALIZ.
PROGRAM.</t>
  </si>
  <si>
    <t>REDUCC.
PROGRAM.</t>
  </si>
  <si>
    <t>PENALIZACION FORZADA
Por Salida   1ras 3 hs.   hs. Restante</t>
  </si>
  <si>
    <t>REDUCC. FORZADA
Por Salida   1ras 3 hs.   hs. Restante</t>
  </si>
  <si>
    <t>RESTANTE
FORZADA</t>
  </si>
  <si>
    <t>REDUCC.
RESTANTE</t>
  </si>
  <si>
    <t>Informó
en 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</si>
  <si>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</si>
  <si>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</si>
  <si>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2.- CONEXIÓN</t>
  </si>
  <si>
    <t>2.1.- Transformación</t>
  </si>
  <si>
    <t>2.1.1.- Equipamiento propio</t>
  </si>
  <si>
    <t>Por Transformador por MVA    $ =</t>
  </si>
  <si>
    <t>Coeficiente de penalización por salida forzada   =</t>
  </si>
  <si>
    <t>ESTACIÓN
TRANSFORMADORA</t>
  </si>
  <si>
    <t>POT.
[MVA]</t>
  </si>
  <si>
    <t xml:space="preserve">  Salida</t>
  </si>
  <si>
    <t xml:space="preserve">  Entrada</t>
  </si>
  <si>
    <t>Hs.
Indisp.</t>
  </si>
  <si>
    <t>Mtos.
Indisp.</t>
  </si>
  <si>
    <t>AUT.</t>
  </si>
  <si>
    <t>REST.
%</t>
  </si>
  <si>
    <t>E.N.S.</t>
  </si>
  <si>
    <t>K (P;ENS)</t>
  </si>
  <si>
    <t>PENALIZACIONES
Por Salida  hs. Restantes</t>
  </si>
  <si>
    <t xml:space="preserve"> 2.1.2.- Transportista Independiente E.D.E.R.S.A.</t>
  </si>
  <si>
    <t>2.2.- Salidas</t>
  </si>
  <si>
    <t>2.2.1.- Equipamiento propio</t>
  </si>
  <si>
    <t>Salida en 330 kV</t>
  </si>
  <si>
    <t xml:space="preserve">Salida en 132 kV o 66 kV = </t>
  </si>
  <si>
    <t xml:space="preserve">Salida en 33 kV </t>
  </si>
  <si>
    <t>Salida en 13,2 kV =</t>
  </si>
  <si>
    <t>K (U)</t>
  </si>
  <si>
    <r>
      <t xml:space="preserve">a) </t>
    </r>
    <r>
      <rPr>
        <b/>
        <u val="single"/>
        <sz val="12"/>
        <rFont val="Times New Roman"/>
        <family val="1"/>
      </rPr>
      <t>Datos</t>
    </r>
  </si>
  <si>
    <t>Tiempo de servicio =</t>
  </si>
  <si>
    <t>hs</t>
  </si>
  <si>
    <t xml:space="preserve">$/100 km-h : LÍNEAS 132 kV </t>
  </si>
  <si>
    <t>Porcentaje por Supervisión  =</t>
  </si>
  <si>
    <t xml:space="preserve">Cargo por Transformador por MVA = </t>
  </si>
  <si>
    <r>
      <t xml:space="preserve">b) </t>
    </r>
    <r>
      <rPr>
        <b/>
        <u val="single"/>
        <sz val="11"/>
        <rFont val="Times New Roman"/>
        <family val="1"/>
      </rPr>
      <t>SM</t>
    </r>
    <r>
      <rPr>
        <b/>
        <sz val="11"/>
        <rFont val="Times New Roman"/>
        <family val="1"/>
      </rPr>
      <t>:</t>
    </r>
    <r>
      <rPr>
        <sz val="11"/>
        <rFont val="Times New Roman"/>
        <family val="1"/>
      </rPr>
      <t xml:space="preserve">  es la suma de las sanciones a que en cada mes se hiciere pasible el Transportista Independiente, valorizadas con idénticos criterios que los que se aplican a la Concesionaria.</t>
    </r>
  </si>
  <si>
    <t>SANCIÓN al T.I.</t>
  </si>
  <si>
    <t>TRANSFORMACIÓN</t>
  </si>
  <si>
    <t>SM =</t>
  </si>
  <si>
    <r>
      <t xml:space="preserve">c) </t>
    </r>
    <r>
      <rPr>
        <b/>
        <u val="single"/>
        <sz val="11"/>
        <rFont val="Times New Roman"/>
        <family val="1"/>
      </rPr>
      <t xml:space="preserve">RM </t>
    </r>
    <r>
      <rPr>
        <sz val="11"/>
        <rFont val="Times New Roman"/>
        <family val="1"/>
      </rPr>
      <t>: es la remuneración que mensualmente recibiría el Transportista Independiente, si su servicio fuera valorizado conforme al régimen remuneratorio que se aplica a la Concesionaria.</t>
    </r>
  </si>
  <si>
    <t>Cargo por Capacidad de Transporte</t>
  </si>
  <si>
    <t>Long [km]</t>
  </si>
  <si>
    <t>Cargo por Capacidad de Transformación</t>
  </si>
  <si>
    <t>Equipo</t>
  </si>
  <si>
    <t>E.T</t>
  </si>
  <si>
    <t>Cargo</t>
  </si>
  <si>
    <t>RM =</t>
  </si>
  <si>
    <r>
      <t xml:space="preserve">d) </t>
    </r>
    <r>
      <rPr>
        <b/>
        <u val="single"/>
        <sz val="12"/>
        <rFont val="Times New Roman"/>
        <family val="1"/>
      </rPr>
      <t>CS:</t>
    </r>
    <r>
      <rPr>
        <sz val="12"/>
        <rFont val="Times New Roman"/>
        <family val="1"/>
      </rPr>
      <t xml:space="preserve"> Es el cargo por Supervisión de la Operación que la Transportista percibe por supervisar la operación y mantenimiento del Transportista Independiente.</t>
    </r>
  </si>
  <si>
    <t xml:space="preserve">Cargo por Supervisión afectado a la sanción </t>
  </si>
  <si>
    <t>CS =</t>
  </si>
  <si>
    <r>
      <t xml:space="preserve">e) </t>
    </r>
    <r>
      <rPr>
        <b/>
        <u val="single"/>
        <sz val="11"/>
        <rFont val="Times New Roman"/>
        <family val="1"/>
      </rPr>
      <t>SANCIÓN</t>
    </r>
  </si>
  <si>
    <t>Sanción Calculada</t>
  </si>
  <si>
    <t>SANCIÓN  =</t>
  </si>
  <si>
    <t>Pot  E.T. [MVA]</t>
  </si>
  <si>
    <t>TRAFOS 1y2</t>
  </si>
  <si>
    <t>C. DE PATAGONES</t>
  </si>
  <si>
    <t>Salida Viedma</t>
  </si>
  <si>
    <t>Tr 1, 2, 4 y 5</t>
  </si>
  <si>
    <t>Salida Conesa y SA Oeste</t>
  </si>
  <si>
    <t>Salidas Valcheta, SA Oeste y SA Este</t>
  </si>
  <si>
    <t>Alimentadores 1,2,3,5,6 y 8</t>
  </si>
  <si>
    <t>TRAFOS 1 y 2</t>
  </si>
  <si>
    <t>Alimentadores en 33 y 6,6 (2)</t>
  </si>
  <si>
    <t>Salidas en 132, 33, 13,2 (3), 6,6 (2)</t>
  </si>
  <si>
    <t>TOTAL A PENALIZAR A TRANSPA S.A. POR SUPERVISIÓN A EDERSA</t>
  </si>
  <si>
    <t>E.T. PATAGONIA - P. CASTILLO</t>
  </si>
  <si>
    <t>P. CASTILLO - VALLE HERMOSO</t>
  </si>
  <si>
    <t>VALLE HERMOSO - CERRO NEGRO</t>
  </si>
  <si>
    <t>VALLE HERMOSO</t>
  </si>
  <si>
    <t>CERRO NEGRO</t>
  </si>
  <si>
    <t>SALIDA TRAFO 4TR02</t>
  </si>
  <si>
    <t>PAMPA DEL CASTILLO</t>
  </si>
  <si>
    <t>SALIDA TRAFO 4 TR02</t>
  </si>
  <si>
    <t>SALIDA TRAFO 4 TR03</t>
  </si>
  <si>
    <r>
      <t xml:space="preserve">        RM</t>
    </r>
    <r>
      <rPr>
        <sz val="12"/>
        <rFont val="Times New Roman"/>
        <family val="1"/>
      </rPr>
      <t xml:space="preserve"> por Energía Transportada</t>
    </r>
  </si>
  <si>
    <r>
      <t xml:space="preserve">  RM</t>
    </r>
    <r>
      <rPr>
        <sz val="12"/>
        <rFont val="Times New Roman"/>
        <family val="1"/>
      </rPr>
      <t xml:space="preserve"> por Cap. Transporte</t>
    </r>
  </si>
  <si>
    <r>
      <t>RM</t>
    </r>
    <r>
      <rPr>
        <sz val="12"/>
        <rFont val="Times New Roman"/>
        <family val="1"/>
      </rPr>
      <t xml:space="preserve"> Cap. Transformación</t>
    </r>
  </si>
  <si>
    <t>Transportista Independiente TRANSACUE S.A.</t>
  </si>
  <si>
    <t>Transportista Indep.TRANSACUE S.A.</t>
  </si>
  <si>
    <t>SALIDA ALIM Coop. C. RIVADAVIA</t>
  </si>
  <si>
    <t>SALIDA LIN PAMPA CASTILLO - EL TORDILLO</t>
  </si>
  <si>
    <t>2.2.4.- Transportista Independiente TRANSACUE S.A.</t>
  </si>
  <si>
    <t>2.2.2.- Transportista Independiente E.D.E.R.S.A.</t>
  </si>
  <si>
    <t>1.2.- Transportista Independiente E.D.E.R.S.A.</t>
  </si>
  <si>
    <t>ID EQUIPO</t>
  </si>
  <si>
    <t>INDISP</t>
  </si>
  <si>
    <t xml:space="preserve">        DE LA ELECTRICIDAD</t>
  </si>
  <si>
    <t xml:space="preserve">              DE LA ELECTRICIDAD</t>
  </si>
  <si>
    <t xml:space="preserve">           ENTE NACIONAL REGULADOR </t>
  </si>
  <si>
    <t>(DTE 0609)</t>
  </si>
  <si>
    <t>Desde el 01 al 28 de febrero de 2014</t>
  </si>
  <si>
    <t>FUTALEUFU - ESQUEL</t>
  </si>
  <si>
    <t>P</t>
  </si>
  <si>
    <t>SI</t>
  </si>
  <si>
    <t>0,000</t>
  </si>
  <si>
    <t>PICO TRUNCADO I - CDORO. RIVADAVIA</t>
  </si>
  <si>
    <t>TRELEW - FLORENTINO AMEGHINO</t>
  </si>
  <si>
    <t>S.A. ESTE - VIEDMA</t>
  </si>
  <si>
    <t>F</t>
  </si>
  <si>
    <t>ESQUEL</t>
  </si>
  <si>
    <t>132/33/13,2</t>
  </si>
  <si>
    <t>SALIDA TRAFO 4 COOP 16 DE OCTUBRE</t>
  </si>
  <si>
    <t>CDORO. RIVADAVIA "A1"</t>
  </si>
  <si>
    <t>ALIMENT. PARQUE IND. COOP. C. RIV.</t>
  </si>
  <si>
    <t>ESQUEL - EL COIHUE</t>
  </si>
  <si>
    <t>EL COIHUE</t>
  </si>
  <si>
    <t>132/33/6,6</t>
  </si>
  <si>
    <t>ALIM. A EL MAITEN</t>
  </si>
  <si>
    <t>ALIM. A EPUYEN Y CHOLILA</t>
  </si>
  <si>
    <t>ALIM. A LAGO PUELO</t>
  </si>
  <si>
    <t>S. ANTONIO ESTE</t>
  </si>
  <si>
    <t>S.A.OESTE</t>
  </si>
  <si>
    <t>SALIDA LINEA P. S. A. ESTE</t>
  </si>
  <si>
    <t>SALIDA LINEA A EL COIHUE</t>
  </si>
  <si>
    <t>Transp. Indep.  TRANSACUE S.A.</t>
  </si>
  <si>
    <t>3.1.-</t>
  </si>
  <si>
    <t>3.2.-</t>
  </si>
  <si>
    <t>1.3.- Transportista Independiente TRANSACUE S.A.</t>
  </si>
  <si>
    <t xml:space="preserve"> 2.1.3.- Transportista Independiente TRANSACUE</t>
  </si>
  <si>
    <t>3.1.- SUPERVISIÓN - Transportista Independiente E.D.E.R.S.A.</t>
  </si>
  <si>
    <t>3.2.- SUPERVISIÓN - Transportista Independiente TRANSACUE S.A.</t>
  </si>
  <si>
    <t>(DTE 0214)</t>
  </si>
  <si>
    <t xml:space="preserve"> - </t>
  </si>
  <si>
    <t>P - PROGRAMADA</t>
  </si>
  <si>
    <t>F - FORZADA</t>
  </si>
  <si>
    <t xml:space="preserve">P - PROGRAMADA </t>
  </si>
  <si>
    <t xml:space="preserve">                 DE LA ELECTRICIDAD</t>
  </si>
  <si>
    <t>TOTAL DE PENALIZACIONES A APLICAR</t>
  </si>
  <si>
    <t>Valores remuneratorios  de acuerdo al Acuerdo Instrumental del Acta Acuerdo -  Res. ENRE N° 645/08 - Nota ENRE Nº 112183</t>
  </si>
  <si>
    <t>Recurso</t>
  </si>
  <si>
    <t>Res. 93/15</t>
  </si>
  <si>
    <t>Diferencia</t>
  </si>
  <si>
    <t>RM* =</t>
  </si>
  <si>
    <t>ANEXO II al Memorándum  D.T.E.E.  N°  223 /2016               .-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</si>
</sst>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#,##0.0000"/>
    <numFmt numFmtId="167" formatCode="0.00_)"/>
    <numFmt numFmtId="168" formatCode="#,##0.00000"/>
    <numFmt numFmtId="169" formatCode="&quot;$&quot;\ #,##0.000;&quot;$&quot;\ \-#,##0.000"/>
    <numFmt numFmtId="170" formatCode="#,##0.0"/>
    <numFmt numFmtId="171" formatCode="0.000"/>
    <numFmt numFmtId="172" formatCode="0.000_)"/>
    <numFmt numFmtId="173" formatCode="&quot;$&quot;\ #,##0.000;[Red]&quot;$&quot;\ \-#,##0.000"/>
  </numFmts>
  <fonts count="10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11"/>
      <color indexed="12"/>
      <name val="Times New Roman"/>
      <family val="1"/>
    </font>
    <font>
      <b/>
      <u val="single"/>
      <sz val="2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MS Sans Serif"/>
      <family val="2"/>
    </font>
    <font>
      <sz val="11"/>
      <name val="MS Sans Serif"/>
      <family val="2"/>
    </font>
    <font>
      <sz val="11"/>
      <color indexed="8"/>
      <name val="MS Sans Serif"/>
      <family val="2"/>
    </font>
    <font>
      <sz val="2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 val="double"/>
      <sz val="10"/>
      <name val="Times New Roman"/>
      <family val="1"/>
    </font>
    <font>
      <b/>
      <sz val="20"/>
      <name val="Times New Roman"/>
      <family val="1"/>
    </font>
    <font>
      <sz val="16"/>
      <name val="MS Sans Serif"/>
      <family val="2"/>
    </font>
    <font>
      <b/>
      <i/>
      <u val="single"/>
      <sz val="10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7"/>
      <name val="MS Sans Serif"/>
      <family val="2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sz val="11"/>
      <color indexed="48"/>
      <name val="MS Sans Serif"/>
      <family val="2"/>
    </font>
    <font>
      <sz val="10"/>
      <color indexed="48"/>
      <name val="MS Sans Serif"/>
      <family val="2"/>
    </font>
    <font>
      <sz val="10"/>
      <color indexed="48"/>
      <name val="Times New Roman"/>
      <family val="1"/>
    </font>
    <font>
      <sz val="11"/>
      <color indexed="12"/>
      <name val="MS Sans Serif"/>
      <family val="2"/>
    </font>
    <font>
      <b/>
      <sz val="10"/>
      <color indexed="12"/>
      <name val="Times New Roman"/>
      <family val="1"/>
    </font>
    <font>
      <sz val="10"/>
      <color indexed="3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MS Sans Serif"/>
      <family val="2"/>
    </font>
    <font>
      <b/>
      <sz val="10"/>
      <color indexed="9"/>
      <name val="MS Sans Serif"/>
      <family val="2"/>
    </font>
    <font>
      <sz val="10"/>
      <color indexed="9"/>
      <name val="Times New Roman"/>
      <family val="1"/>
    </font>
    <font>
      <b/>
      <sz val="10"/>
      <color indexed="8"/>
      <name val="MS Sans Serif"/>
      <family val="2"/>
    </font>
    <font>
      <b/>
      <sz val="10"/>
      <color indexed="8"/>
      <name val="Times New Roman"/>
      <family val="1"/>
    </font>
    <font>
      <sz val="12"/>
      <color indexed="9"/>
      <name val="Times New Roman"/>
      <family val="1"/>
    </font>
    <font>
      <b/>
      <sz val="10"/>
      <color indexed="48"/>
      <name val="MS Sans Serif"/>
      <family val="2"/>
    </font>
    <font>
      <b/>
      <sz val="10"/>
      <color indexed="48"/>
      <name val="Times New Roman"/>
      <family val="1"/>
    </font>
    <font>
      <b/>
      <i/>
      <sz val="10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imes New Roman"/>
      <family val="1"/>
    </font>
    <font>
      <b/>
      <sz val="15"/>
      <color indexed="62"/>
      <name val="Calibri"/>
      <family val="2"/>
    </font>
    <font>
      <sz val="2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 style="double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double"/>
      <bottom style="double"/>
    </border>
    <border>
      <left style="thin"/>
      <right style="medium"/>
      <top style="medium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90" fillId="20" borderId="0" applyNumberFormat="0" applyBorder="0" applyAlignment="0" applyProtection="0"/>
    <xf numFmtId="0" fontId="91" fillId="21" borderId="1" applyNumberFormat="0" applyAlignment="0" applyProtection="0"/>
    <xf numFmtId="0" fontId="92" fillId="22" borderId="2" applyNumberFormat="0" applyAlignment="0" applyProtection="0"/>
    <xf numFmtId="0" fontId="93" fillId="0" borderId="3" applyNumberFormat="0" applyFill="0" applyAlignment="0" applyProtection="0"/>
    <xf numFmtId="0" fontId="71" fillId="0" borderId="4" applyNumberFormat="0" applyFill="0" applyAlignment="0" applyProtection="0"/>
    <xf numFmtId="0" fontId="94" fillId="0" borderId="0" applyNumberFormat="0" applyFill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89" fillId="26" borderId="0" applyNumberFormat="0" applyBorder="0" applyAlignment="0" applyProtection="0"/>
    <xf numFmtId="0" fontId="89" fillId="27" borderId="0" applyNumberFormat="0" applyBorder="0" applyAlignment="0" applyProtection="0"/>
    <xf numFmtId="0" fontId="89" fillId="28" borderId="0" applyNumberFormat="0" applyBorder="0" applyAlignment="0" applyProtection="0"/>
    <xf numFmtId="0" fontId="95" fillId="29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6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98" fillId="21" borderId="6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7" applyNumberFormat="0" applyFill="0" applyAlignment="0" applyProtection="0"/>
    <xf numFmtId="0" fontId="103" fillId="0" borderId="8" applyNumberFormat="0" applyFill="0" applyAlignment="0" applyProtection="0"/>
    <xf numFmtId="0" fontId="94" fillId="0" borderId="9" applyNumberFormat="0" applyFill="0" applyAlignment="0" applyProtection="0"/>
    <xf numFmtId="0" fontId="104" fillId="0" borderId="10" applyNumberFormat="0" applyFill="0" applyAlignment="0" applyProtection="0"/>
  </cellStyleXfs>
  <cellXfs count="7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170" fontId="9" fillId="0" borderId="13" xfId="0" applyNumberFormat="1" applyFont="1" applyFill="1" applyBorder="1" applyAlignment="1" applyProtection="1">
      <alignment horizontal="center"/>
      <protection/>
    </xf>
    <xf numFmtId="2" fontId="7" fillId="0" borderId="13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67" fontId="7" fillId="0" borderId="14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167" fontId="7" fillId="0" borderId="13" xfId="0" applyNumberFormat="1" applyFont="1" applyFill="1" applyBorder="1" applyAlignment="1" applyProtection="1">
      <alignment horizontal="center"/>
      <protection/>
    </xf>
    <xf numFmtId="2" fontId="7" fillId="0" borderId="13" xfId="0" applyNumberFormat="1" applyFont="1" applyFill="1" applyBorder="1" applyAlignment="1" applyProtection="1">
      <alignment horizontal="center"/>
      <protection/>
    </xf>
    <xf numFmtId="3" fontId="7" fillId="0" borderId="13" xfId="0" applyNumberFormat="1" applyFont="1" applyFill="1" applyBorder="1" applyAlignment="1" applyProtection="1">
      <alignment horizontal="center"/>
      <protection/>
    </xf>
    <xf numFmtId="167" fontId="7" fillId="0" borderId="17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13" fillId="0" borderId="15" xfId="0" applyFont="1" applyFill="1" applyBorder="1" applyAlignment="1" applyProtection="1">
      <alignment horizontal="center"/>
      <protection/>
    </xf>
    <xf numFmtId="22" fontId="7" fillId="0" borderId="19" xfId="0" applyNumberFormat="1" applyFont="1" applyFill="1" applyBorder="1" applyAlignment="1">
      <alignment horizontal="center"/>
    </xf>
    <xf numFmtId="22" fontId="7" fillId="0" borderId="20" xfId="0" applyNumberFormat="1" applyFont="1" applyFill="1" applyBorder="1" applyAlignment="1" applyProtection="1">
      <alignment horizontal="center"/>
      <protection/>
    </xf>
    <xf numFmtId="2" fontId="7" fillId="0" borderId="17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>
      <alignment/>
    </xf>
    <xf numFmtId="0" fontId="7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1" xfId="0" applyFont="1" applyBorder="1" applyAlignment="1">
      <alignment/>
    </xf>
    <xf numFmtId="0" fontId="16" fillId="0" borderId="0" xfId="0" applyFont="1" applyBorder="1" applyAlignment="1">
      <alignment/>
    </xf>
    <xf numFmtId="7" fontId="8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0" fillId="0" borderId="13" xfId="0" applyBorder="1" applyAlignment="1">
      <alignment/>
    </xf>
    <xf numFmtId="0" fontId="0" fillId="0" borderId="27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4" fontId="10" fillId="0" borderId="13" xfId="0" applyNumberFormat="1" applyFont="1" applyBorder="1" applyAlignment="1">
      <alignment horizontal="right"/>
    </xf>
    <xf numFmtId="0" fontId="0" fillId="0" borderId="11" xfId="0" applyBorder="1" applyAlignment="1">
      <alignment horizontal="center"/>
    </xf>
    <xf numFmtId="7" fontId="7" fillId="0" borderId="28" xfId="0" applyNumberFormat="1" applyFont="1" applyBorder="1" applyAlignment="1">
      <alignment horizontal="center"/>
    </xf>
    <xf numFmtId="167" fontId="7" fillId="0" borderId="0" xfId="0" applyNumberFormat="1" applyFont="1" applyBorder="1" applyAlignment="1" applyProtection="1">
      <alignment horizontal="center"/>
      <protection/>
    </xf>
    <xf numFmtId="167" fontId="7" fillId="0" borderId="0" xfId="0" applyNumberFormat="1" applyFont="1" applyBorder="1" applyAlignment="1" applyProtection="1" quotePrefix="1">
      <alignment horizontal="center"/>
      <protection/>
    </xf>
    <xf numFmtId="4" fontId="9" fillId="0" borderId="0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0" fillId="0" borderId="16" xfId="0" applyFont="1" applyFill="1" applyBorder="1" applyAlignment="1">
      <alignment/>
    </xf>
    <xf numFmtId="167" fontId="10" fillId="0" borderId="17" xfId="0" applyNumberFormat="1" applyFont="1" applyFill="1" applyBorder="1" applyAlignment="1">
      <alignment horizontal="right"/>
    </xf>
    <xf numFmtId="164" fontId="7" fillId="0" borderId="13" xfId="0" applyNumberFormat="1" applyFont="1" applyFill="1" applyBorder="1" applyAlignment="1" applyProtection="1" quotePrefix="1">
      <alignment horizontal="center"/>
      <protection/>
    </xf>
    <xf numFmtId="167" fontId="10" fillId="0" borderId="13" xfId="0" applyNumberFormat="1" applyFont="1" applyFill="1" applyBorder="1" applyAlignment="1">
      <alignment horizontal="right"/>
    </xf>
    <xf numFmtId="7" fontId="7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167" fontId="10" fillId="0" borderId="0" xfId="0" applyNumberFormat="1" applyFont="1" applyBorder="1" applyAlignment="1" applyProtection="1">
      <alignment horizontal="center"/>
      <protection/>
    </xf>
    <xf numFmtId="167" fontId="10" fillId="0" borderId="0" xfId="0" applyNumberFormat="1" applyFont="1" applyBorder="1" applyAlignment="1" applyProtection="1" quotePrefix="1">
      <alignment horizontal="center"/>
      <protection/>
    </xf>
    <xf numFmtId="2" fontId="2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7" fontId="10" fillId="0" borderId="0" xfId="0" applyNumberFormat="1" applyFont="1" applyBorder="1" applyAlignment="1" applyProtection="1">
      <alignment horizontal="left"/>
      <protection/>
    </xf>
    <xf numFmtId="2" fontId="10" fillId="0" borderId="0" xfId="0" applyNumberFormat="1" applyFont="1" applyBorder="1" applyAlignment="1" applyProtection="1">
      <alignment horizontal="center"/>
      <protection/>
    </xf>
    <xf numFmtId="5" fontId="10" fillId="0" borderId="0" xfId="0" applyNumberFormat="1" applyFont="1" applyBorder="1" applyAlignment="1" applyProtection="1">
      <alignment horizontal="center"/>
      <protection/>
    </xf>
    <xf numFmtId="0" fontId="20" fillId="0" borderId="0" xfId="0" applyFont="1" applyFill="1" applyBorder="1" applyAlignment="1">
      <alignment/>
    </xf>
    <xf numFmtId="0" fontId="0" fillId="0" borderId="0" xfId="0" applyAlignment="1">
      <alignment horizontal="centerContinuous"/>
    </xf>
    <xf numFmtId="0" fontId="15" fillId="0" borderId="0" xfId="0" applyFont="1" applyBorder="1" applyAlignment="1" applyProtection="1">
      <alignment horizontal="centerContinuous"/>
      <protection/>
    </xf>
    <xf numFmtId="0" fontId="15" fillId="0" borderId="11" xfId="0" applyFont="1" applyBorder="1" applyAlignment="1" applyProtection="1">
      <alignment horizontal="centerContinuous"/>
      <protection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29" xfId="0" applyFont="1" applyBorder="1" applyAlignment="1">
      <alignment horizontal="center" vertical="center"/>
    </xf>
    <xf numFmtId="0" fontId="26" fillId="0" borderId="29" xfId="0" applyFont="1" applyBorder="1" applyAlignment="1" applyProtection="1">
      <alignment horizontal="center" vertical="center"/>
      <protection/>
    </xf>
    <xf numFmtId="0" fontId="26" fillId="0" borderId="29" xfId="0" applyFont="1" applyBorder="1" applyAlignment="1" applyProtection="1">
      <alignment horizontal="center" vertical="center" wrapText="1"/>
      <protection/>
    </xf>
    <xf numFmtId="0" fontId="26" fillId="0" borderId="30" xfId="0" applyFont="1" applyBorder="1" applyAlignment="1" applyProtection="1">
      <alignment horizontal="center" vertical="center" wrapText="1"/>
      <protection/>
    </xf>
    <xf numFmtId="0" fontId="26" fillId="0" borderId="31" xfId="0" applyFont="1" applyBorder="1" applyAlignment="1" applyProtection="1">
      <alignment horizontal="center" vertical="center" wrapText="1"/>
      <protection/>
    </xf>
    <xf numFmtId="0" fontId="26" fillId="0" borderId="29" xfId="0" applyFont="1" applyBorder="1" applyAlignment="1">
      <alignment horizontal="center" vertical="center" wrapText="1"/>
    </xf>
    <xf numFmtId="0" fontId="26" fillId="0" borderId="12" xfId="0" applyFont="1" applyBorder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0" fillId="0" borderId="0" xfId="0" applyFont="1" applyAlignment="1">
      <alignment/>
    </xf>
    <xf numFmtId="0" fontId="16" fillId="0" borderId="11" xfId="0" applyFont="1" applyBorder="1" applyAlignment="1">
      <alignment/>
    </xf>
    <xf numFmtId="0" fontId="16" fillId="0" borderId="0" xfId="0" applyFont="1" applyAlignment="1">
      <alignment/>
    </xf>
    <xf numFmtId="0" fontId="16" fillId="0" borderId="12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 applyProtection="1">
      <alignment horizontal="centerContinuous"/>
      <protection/>
    </xf>
    <xf numFmtId="0" fontId="17" fillId="0" borderId="12" xfId="0" applyFont="1" applyBorder="1" applyAlignment="1">
      <alignment horizontal="centerContinuous"/>
    </xf>
    <xf numFmtId="0" fontId="17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3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9" fillId="0" borderId="0" xfId="0" applyFont="1" applyFill="1" applyBorder="1" applyAlignment="1" applyProtection="1">
      <alignment horizontal="centerContinuous"/>
      <protection/>
    </xf>
    <xf numFmtId="0" fontId="30" fillId="0" borderId="0" xfId="0" applyNumberFormat="1" applyFont="1" applyAlignment="1">
      <alignment horizontal="left"/>
    </xf>
    <xf numFmtId="0" fontId="30" fillId="0" borderId="0" xfId="0" applyFont="1" applyBorder="1" applyAlignment="1">
      <alignment/>
    </xf>
    <xf numFmtId="0" fontId="32" fillId="0" borderId="0" xfId="0" applyFont="1" applyFill="1" applyBorder="1" applyAlignment="1" applyProtection="1">
      <alignment horizontal="left"/>
      <protection/>
    </xf>
    <xf numFmtId="0" fontId="28" fillId="0" borderId="0" xfId="0" applyFont="1" applyBorder="1" applyAlignment="1">
      <alignment/>
    </xf>
    <xf numFmtId="0" fontId="16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/>
    </xf>
    <xf numFmtId="0" fontId="0" fillId="0" borderId="0" xfId="0" applyNumberForma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17" fillId="0" borderId="11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7" fillId="0" borderId="12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31" xfId="0" applyFont="1" applyBorder="1" applyAlignment="1">
      <alignment horizontal="center"/>
    </xf>
    <xf numFmtId="7" fontId="8" fillId="0" borderId="32" xfId="0" applyNumberFormat="1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25" xfId="0" applyNumberFormat="1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26" xfId="0" applyFont="1" applyBorder="1" applyAlignment="1">
      <alignment/>
    </xf>
    <xf numFmtId="4" fontId="20" fillId="0" borderId="0" xfId="0" applyNumberFormat="1" applyFont="1" applyFill="1" applyBorder="1" applyAlignment="1">
      <alignment/>
    </xf>
    <xf numFmtId="7" fontId="20" fillId="0" borderId="0" xfId="0" applyNumberFormat="1" applyFont="1" applyBorder="1" applyAlignment="1">
      <alignment/>
    </xf>
    <xf numFmtId="167" fontId="20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5" fillId="0" borderId="0" xfId="0" applyFont="1" applyBorder="1" applyAlignment="1">
      <alignment horizontal="centerContinuous"/>
    </xf>
    <xf numFmtId="0" fontId="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Continuous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164" fontId="7" fillId="0" borderId="0" xfId="0" applyNumberFormat="1" applyFont="1" applyFill="1" applyBorder="1" applyAlignment="1" applyProtection="1">
      <alignment/>
      <protection/>
    </xf>
    <xf numFmtId="22" fontId="7" fillId="0" borderId="0" xfId="0" applyNumberFormat="1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31" fillId="0" borderId="0" xfId="0" applyFont="1" applyFill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left"/>
    </xf>
    <xf numFmtId="0" fontId="3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11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/>
      <protection/>
    </xf>
    <xf numFmtId="164" fontId="16" fillId="0" borderId="0" xfId="0" applyNumberFormat="1" applyFont="1" applyFill="1" applyBorder="1" applyAlignment="1" applyProtection="1">
      <alignment/>
      <protection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centerContinuous"/>
    </xf>
    <xf numFmtId="0" fontId="15" fillId="0" borderId="0" xfId="0" applyFont="1" applyFill="1" applyBorder="1" applyAlignment="1">
      <alignment horizontal="centerContinuous"/>
    </xf>
    <xf numFmtId="0" fontId="17" fillId="0" borderId="12" xfId="0" applyFont="1" applyFill="1" applyBorder="1" applyAlignment="1">
      <alignment horizontal="centerContinuous"/>
    </xf>
    <xf numFmtId="0" fontId="0" fillId="0" borderId="31" xfId="0" applyFont="1" applyFill="1" applyBorder="1" applyAlignment="1" applyProtection="1">
      <alignment horizontal="left"/>
      <protection/>
    </xf>
    <xf numFmtId="0" fontId="0" fillId="0" borderId="33" xfId="0" applyFont="1" applyFill="1" applyBorder="1" applyAlignment="1" applyProtection="1">
      <alignment horizontal="center"/>
      <protection/>
    </xf>
    <xf numFmtId="0" fontId="0" fillId="0" borderId="33" xfId="0" applyFont="1" applyFill="1" applyBorder="1" applyAlignment="1">
      <alignment/>
    </xf>
    <xf numFmtId="0" fontId="0" fillId="0" borderId="31" xfId="0" applyFont="1" applyFill="1" applyBorder="1" applyAlignment="1" applyProtection="1" quotePrefix="1">
      <alignment horizontal="left"/>
      <protection/>
    </xf>
    <xf numFmtId="0" fontId="0" fillId="0" borderId="30" xfId="0" applyFont="1" applyFill="1" applyBorder="1" applyAlignment="1" applyProtection="1">
      <alignment horizontal="center"/>
      <protection/>
    </xf>
    <xf numFmtId="164" fontId="0" fillId="0" borderId="29" xfId="0" applyNumberFormat="1" applyFont="1" applyFill="1" applyBorder="1" applyAlignment="1" applyProtection="1">
      <alignment horizontal="center"/>
      <protection/>
    </xf>
    <xf numFmtId="0" fontId="26" fillId="0" borderId="0" xfId="0" applyFont="1" applyFill="1" applyAlignment="1">
      <alignment/>
    </xf>
    <xf numFmtId="0" fontId="26" fillId="0" borderId="11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26" fillId="0" borderId="31" xfId="0" applyFont="1" applyFill="1" applyBorder="1" applyAlignment="1">
      <alignment horizontal="center" vertical="center"/>
    </xf>
    <xf numFmtId="0" fontId="26" fillId="0" borderId="29" xfId="0" applyFont="1" applyFill="1" applyBorder="1" applyAlignment="1" applyProtection="1">
      <alignment horizontal="center" vertical="center"/>
      <protection/>
    </xf>
    <xf numFmtId="0" fontId="26" fillId="0" borderId="29" xfId="0" applyFont="1" applyFill="1" applyBorder="1" applyAlignment="1" applyProtection="1" quotePrefix="1">
      <alignment horizontal="center" vertical="center" wrapText="1"/>
      <protection/>
    </xf>
    <xf numFmtId="0" fontId="26" fillId="0" borderId="29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 applyProtection="1" quotePrefix="1">
      <alignment horizontal="center" vertical="center"/>
      <protection/>
    </xf>
    <xf numFmtId="0" fontId="26" fillId="0" borderId="29" xfId="0" applyFont="1" applyFill="1" applyBorder="1" applyAlignment="1" applyProtection="1">
      <alignment horizontal="center" vertical="center" wrapText="1"/>
      <protection/>
    </xf>
    <xf numFmtId="0" fontId="26" fillId="0" borderId="31" xfId="0" applyFont="1" applyFill="1" applyBorder="1" applyAlignment="1" applyProtection="1">
      <alignment horizontal="center" vertical="center"/>
      <protection/>
    </xf>
    <xf numFmtId="0" fontId="26" fillId="0" borderId="29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2" fillId="0" borderId="0" xfId="0" applyFont="1" applyFill="1" applyAlignment="1">
      <alignment/>
    </xf>
    <xf numFmtId="22" fontId="7" fillId="0" borderId="0" xfId="0" applyNumberFormat="1" applyFont="1" applyBorder="1" applyAlignment="1">
      <alignment/>
    </xf>
    <xf numFmtId="169" fontId="7" fillId="0" borderId="0" xfId="0" applyNumberFormat="1" applyFont="1" applyBorder="1" applyAlignment="1">
      <alignment/>
    </xf>
    <xf numFmtId="0" fontId="7" fillId="0" borderId="0" xfId="0" applyFont="1" applyBorder="1" applyAlignment="1" quotePrefix="1">
      <alignment horizontal="center"/>
    </xf>
    <xf numFmtId="0" fontId="0" fillId="0" borderId="31" xfId="0" applyFont="1" applyBorder="1" applyAlignment="1" applyProtection="1">
      <alignment horizontal="left"/>
      <protection/>
    </xf>
    <xf numFmtId="169" fontId="0" fillId="0" borderId="34" xfId="0" applyNumberFormat="1" applyFont="1" applyBorder="1" applyAlignment="1" applyProtection="1">
      <alignment horizontal="center"/>
      <protection/>
    </xf>
    <xf numFmtId="0" fontId="0" fillId="0" borderId="31" xfId="0" applyFont="1" applyBorder="1" applyAlignment="1">
      <alignment/>
    </xf>
    <xf numFmtId="169" fontId="25" fillId="0" borderId="3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1" xfId="0" applyFont="1" applyBorder="1" applyAlignment="1">
      <alignment horizontal="left"/>
    </xf>
    <xf numFmtId="1" fontId="0" fillId="0" borderId="14" xfId="0" applyNumberFormat="1" applyFont="1" applyBorder="1" applyAlignment="1">
      <alignment horizontal="center"/>
    </xf>
    <xf numFmtId="0" fontId="26" fillId="0" borderId="32" xfId="0" applyFont="1" applyFill="1" applyBorder="1" applyAlignment="1" applyProtection="1">
      <alignment horizontal="center" vertical="center"/>
      <protection/>
    </xf>
    <xf numFmtId="167" fontId="10" fillId="0" borderId="13" xfId="0" applyNumberFormat="1" applyFont="1" applyFill="1" applyBorder="1" applyAlignment="1">
      <alignment horizontal="center"/>
    </xf>
    <xf numFmtId="0" fontId="26" fillId="0" borderId="32" xfId="0" applyFont="1" applyFill="1" applyBorder="1" applyAlignment="1" applyProtection="1">
      <alignment horizontal="center" vertical="center" wrapText="1"/>
      <protection/>
    </xf>
    <xf numFmtId="0" fontId="26" fillId="0" borderId="3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Continuous"/>
    </xf>
    <xf numFmtId="0" fontId="36" fillId="0" borderId="0" xfId="0" applyFont="1" applyFill="1" applyBorder="1" applyAlignment="1">
      <alignment/>
    </xf>
    <xf numFmtId="167" fontId="10" fillId="0" borderId="0" xfId="0" applyNumberFormat="1" applyFont="1" applyBorder="1" applyAlignment="1" applyProtection="1">
      <alignment horizontal="right"/>
      <protection/>
    </xf>
    <xf numFmtId="0" fontId="8" fillId="0" borderId="31" xfId="0" applyFont="1" applyFill="1" applyBorder="1" applyAlignment="1">
      <alignment horizontal="center"/>
    </xf>
    <xf numFmtId="0" fontId="15" fillId="0" borderId="11" xfId="0" applyFont="1" applyBorder="1" applyAlignment="1">
      <alignment horizontal="centerContinuous"/>
    </xf>
    <xf numFmtId="0" fontId="0" fillId="0" borderId="0" xfId="0" applyFont="1" applyAlignment="1" applyProtection="1">
      <alignment/>
      <protection/>
    </xf>
    <xf numFmtId="7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Continuous"/>
    </xf>
    <xf numFmtId="0" fontId="1" fillId="0" borderId="32" xfId="0" applyFont="1" applyBorder="1" applyAlignment="1" applyProtection="1">
      <alignment horizontal="centerContinuous"/>
      <protection/>
    </xf>
    <xf numFmtId="0" fontId="38" fillId="0" borderId="33" xfId="0" applyFont="1" applyBorder="1" applyAlignment="1">
      <alignment horizontal="center"/>
    </xf>
    <xf numFmtId="0" fontId="40" fillId="0" borderId="0" xfId="0" applyFont="1" applyBorder="1" applyAlignment="1" applyProtection="1">
      <alignment horizontal="left"/>
      <protection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 applyProtection="1">
      <alignment horizontal="left" vertical="top"/>
      <protection/>
    </xf>
    <xf numFmtId="0" fontId="41" fillId="0" borderId="0" xfId="0" applyFont="1" applyBorder="1" applyAlignment="1">
      <alignment/>
    </xf>
    <xf numFmtId="0" fontId="41" fillId="0" borderId="11" xfId="0" applyFont="1" applyBorder="1" applyAlignment="1">
      <alignment/>
    </xf>
    <xf numFmtId="0" fontId="38" fillId="0" borderId="0" xfId="0" applyFont="1" applyBorder="1" applyAlignment="1" applyProtection="1">
      <alignment horizontal="center"/>
      <protection/>
    </xf>
    <xf numFmtId="2" fontId="38" fillId="0" borderId="0" xfId="0" applyNumberFormat="1" applyFont="1" applyBorder="1" applyAlignment="1" applyProtection="1">
      <alignment horizontal="center"/>
      <protection/>
    </xf>
    <xf numFmtId="167" fontId="38" fillId="0" borderId="0" xfId="0" applyNumberFormat="1" applyFont="1" applyBorder="1" applyAlignment="1" applyProtection="1">
      <alignment horizontal="center"/>
      <protection/>
    </xf>
    <xf numFmtId="167" fontId="38" fillId="0" borderId="0" xfId="0" applyNumberFormat="1" applyFont="1" applyBorder="1" applyAlignment="1" applyProtection="1" quotePrefix="1">
      <alignment horizontal="center"/>
      <protection/>
    </xf>
    <xf numFmtId="2" fontId="42" fillId="0" borderId="0" xfId="0" applyNumberFormat="1" applyFont="1" applyBorder="1" applyAlignment="1">
      <alignment horizontal="center"/>
    </xf>
    <xf numFmtId="167" fontId="43" fillId="0" borderId="0" xfId="0" applyNumberFormat="1" applyFont="1" applyBorder="1" applyAlignment="1" applyProtection="1" quotePrefix="1">
      <alignment horizontal="center"/>
      <protection/>
    </xf>
    <xf numFmtId="4" fontId="43" fillId="0" borderId="0" xfId="0" applyNumberFormat="1" applyFont="1" applyBorder="1" applyAlignment="1">
      <alignment horizontal="center"/>
    </xf>
    <xf numFmtId="4" fontId="44" fillId="0" borderId="0" xfId="0" applyNumberFormat="1" applyFont="1" applyBorder="1" applyAlignment="1">
      <alignment horizontal="right"/>
    </xf>
    <xf numFmtId="2" fontId="41" fillId="0" borderId="12" xfId="0" applyNumberFormat="1" applyFont="1" applyBorder="1" applyAlignment="1">
      <alignment horizontal="center"/>
    </xf>
    <xf numFmtId="0" fontId="41" fillId="0" borderId="0" xfId="0" applyFont="1" applyAlignment="1">
      <alignment/>
    </xf>
    <xf numFmtId="7" fontId="11" fillId="0" borderId="29" xfId="0" applyNumberFormat="1" applyFont="1" applyFill="1" applyBorder="1" applyAlignment="1">
      <alignment horizontal="right"/>
    </xf>
    <xf numFmtId="0" fontId="38" fillId="0" borderId="11" xfId="0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0" fontId="38" fillId="0" borderId="11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7" fontId="38" fillId="0" borderId="0" xfId="0" applyNumberFormat="1" applyFont="1" applyFill="1" applyBorder="1" applyAlignment="1">
      <alignment horizontal="center"/>
    </xf>
    <xf numFmtId="7" fontId="44" fillId="0" borderId="0" xfId="0" applyNumberFormat="1" applyFont="1" applyFill="1" applyBorder="1" applyAlignment="1">
      <alignment horizontal="right"/>
    </xf>
    <xf numFmtId="0" fontId="38" fillId="0" borderId="12" xfId="0" applyFont="1" applyFill="1" applyBorder="1" applyAlignment="1">
      <alignment/>
    </xf>
    <xf numFmtId="0" fontId="45" fillId="33" borderId="29" xfId="0" applyFont="1" applyFill="1" applyBorder="1" applyAlignment="1" applyProtection="1">
      <alignment horizontal="center" vertical="center"/>
      <protection/>
    </xf>
    <xf numFmtId="0" fontId="46" fillId="33" borderId="16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167" fontId="47" fillId="33" borderId="13" xfId="0" applyNumberFormat="1" applyFont="1" applyFill="1" applyBorder="1" applyAlignment="1" applyProtection="1">
      <alignment horizontal="center"/>
      <protection/>
    </xf>
    <xf numFmtId="167" fontId="47" fillId="33" borderId="14" xfId="0" applyNumberFormat="1" applyFont="1" applyFill="1" applyBorder="1" applyAlignment="1" applyProtection="1">
      <alignment horizontal="center"/>
      <protection/>
    </xf>
    <xf numFmtId="0" fontId="47" fillId="33" borderId="16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169" fontId="47" fillId="33" borderId="13" xfId="0" applyNumberFormat="1" applyFont="1" applyFill="1" applyBorder="1" applyAlignment="1" applyProtection="1">
      <alignment horizontal="center"/>
      <protection/>
    </xf>
    <xf numFmtId="0" fontId="50" fillId="0" borderId="0" xfId="0" applyFont="1" applyAlignment="1">
      <alignment/>
    </xf>
    <xf numFmtId="0" fontId="10" fillId="0" borderId="11" xfId="0" applyFont="1" applyBorder="1" applyAlignment="1">
      <alignment/>
    </xf>
    <xf numFmtId="168" fontId="10" fillId="0" borderId="0" xfId="0" applyNumberFormat="1" applyFont="1" applyBorder="1" applyAlignment="1">
      <alignment horizontal="center"/>
    </xf>
    <xf numFmtId="166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0" fillId="0" borderId="0" xfId="0" applyFont="1" applyBorder="1" applyAlignment="1" applyProtection="1">
      <alignment horizontal="right"/>
      <protection/>
    </xf>
    <xf numFmtId="10" fontId="18" fillId="0" borderId="0" xfId="0" applyNumberFormat="1" applyFont="1" applyFill="1" applyBorder="1" applyAlignment="1">
      <alignment/>
    </xf>
    <xf numFmtId="166" fontId="10" fillId="0" borderId="0" xfId="0" applyNumberFormat="1" applyFont="1" applyBorder="1" applyAlignment="1">
      <alignment/>
    </xf>
    <xf numFmtId="2" fontId="10" fillId="0" borderId="12" xfId="0" applyNumberFormat="1" applyFont="1" applyBorder="1" applyAlignment="1">
      <alignment horizontal="center"/>
    </xf>
    <xf numFmtId="2" fontId="10" fillId="0" borderId="0" xfId="0" applyNumberFormat="1" applyFont="1" applyBorder="1" applyAlignment="1" applyProtection="1">
      <alignment horizontal="right"/>
      <protection/>
    </xf>
    <xf numFmtId="7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 applyProtection="1">
      <alignment horizontal="right"/>
      <protection/>
    </xf>
    <xf numFmtId="0" fontId="33" fillId="0" borderId="0" xfId="0" applyFont="1" applyBorder="1" applyAlignment="1">
      <alignment/>
    </xf>
    <xf numFmtId="7" fontId="10" fillId="0" borderId="0" xfId="0" applyNumberFormat="1" applyFont="1" applyBorder="1" applyAlignment="1" applyProtection="1">
      <alignment horizontal="center"/>
      <protection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52" fillId="34" borderId="29" xfId="0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/>
    </xf>
    <xf numFmtId="0" fontId="53" fillId="34" borderId="13" xfId="0" applyFont="1" applyFill="1" applyBorder="1" applyAlignment="1">
      <alignment/>
    </xf>
    <xf numFmtId="0" fontId="52" fillId="35" borderId="29" xfId="0" applyFont="1" applyFill="1" applyBorder="1" applyAlignment="1">
      <alignment horizontal="center" vertical="center" wrapText="1"/>
    </xf>
    <xf numFmtId="0" fontId="53" fillId="35" borderId="16" xfId="0" applyFont="1" applyFill="1" applyBorder="1" applyAlignment="1">
      <alignment/>
    </xf>
    <xf numFmtId="0" fontId="53" fillId="35" borderId="13" xfId="0" applyFont="1" applyFill="1" applyBorder="1" applyAlignment="1">
      <alignment/>
    </xf>
    <xf numFmtId="0" fontId="27" fillId="36" borderId="29" xfId="0" applyFont="1" applyFill="1" applyBorder="1" applyAlignment="1" applyProtection="1">
      <alignment horizontal="centerContinuous" vertical="center" wrapText="1"/>
      <protection/>
    </xf>
    <xf numFmtId="0" fontId="25" fillId="36" borderId="30" xfId="0" applyFont="1" applyFill="1" applyBorder="1" applyAlignment="1">
      <alignment horizontal="centerContinuous"/>
    </xf>
    <xf numFmtId="0" fontId="27" fillId="36" borderId="32" xfId="0" applyFont="1" applyFill="1" applyBorder="1" applyAlignment="1">
      <alignment horizontal="centerContinuous" vertical="center"/>
    </xf>
    <xf numFmtId="0" fontId="55" fillId="36" borderId="35" xfId="0" applyFont="1" applyFill="1" applyBorder="1" applyAlignment="1">
      <alignment horizontal="center"/>
    </xf>
    <xf numFmtId="0" fontId="55" fillId="36" borderId="36" xfId="0" applyFont="1" applyFill="1" applyBorder="1" applyAlignment="1">
      <alignment/>
    </xf>
    <xf numFmtId="0" fontId="55" fillId="36" borderId="37" xfId="0" applyFont="1" applyFill="1" applyBorder="1" applyAlignment="1">
      <alignment/>
    </xf>
    <xf numFmtId="0" fontId="55" fillId="36" borderId="38" xfId="0" applyFont="1" applyFill="1" applyBorder="1" applyAlignment="1">
      <alignment horizontal="center"/>
    </xf>
    <xf numFmtId="0" fontId="55" fillId="36" borderId="39" xfId="0" applyFont="1" applyFill="1" applyBorder="1" applyAlignment="1">
      <alignment/>
    </xf>
    <xf numFmtId="0" fontId="55" fillId="36" borderId="17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27" fillId="37" borderId="29" xfId="0" applyFont="1" applyFill="1" applyBorder="1" applyAlignment="1" applyProtection="1">
      <alignment horizontal="centerContinuous" vertical="center" wrapText="1"/>
      <protection/>
    </xf>
    <xf numFmtId="0" fontId="25" fillId="37" borderId="30" xfId="0" applyFont="1" applyFill="1" applyBorder="1" applyAlignment="1">
      <alignment horizontal="centerContinuous"/>
    </xf>
    <xf numFmtId="0" fontId="27" fillId="37" borderId="32" xfId="0" applyFont="1" applyFill="1" applyBorder="1" applyAlignment="1">
      <alignment horizontal="centerContinuous" vertical="center"/>
    </xf>
    <xf numFmtId="0" fontId="55" fillId="37" borderId="35" xfId="0" applyFont="1" applyFill="1" applyBorder="1" applyAlignment="1">
      <alignment horizontal="center"/>
    </xf>
    <xf numFmtId="0" fontId="55" fillId="37" borderId="36" xfId="0" applyFont="1" applyFill="1" applyBorder="1" applyAlignment="1">
      <alignment/>
    </xf>
    <xf numFmtId="0" fontId="55" fillId="37" borderId="37" xfId="0" applyFont="1" applyFill="1" applyBorder="1" applyAlignment="1">
      <alignment/>
    </xf>
    <xf numFmtId="0" fontId="55" fillId="37" borderId="38" xfId="0" applyFont="1" applyFill="1" applyBorder="1" applyAlignment="1">
      <alignment horizontal="center"/>
    </xf>
    <xf numFmtId="0" fontId="55" fillId="37" borderId="39" xfId="0" applyFont="1" applyFill="1" applyBorder="1" applyAlignment="1">
      <alignment/>
    </xf>
    <xf numFmtId="0" fontId="55" fillId="37" borderId="17" xfId="0" applyFont="1" applyFill="1" applyBorder="1" applyAlignment="1">
      <alignment/>
    </xf>
    <xf numFmtId="0" fontId="27" fillId="36" borderId="29" xfId="0" applyFont="1" applyFill="1" applyBorder="1" applyAlignment="1">
      <alignment horizontal="center" vertical="center" wrapText="1"/>
    </xf>
    <xf numFmtId="0" fontId="27" fillId="38" borderId="29" xfId="0" applyFont="1" applyFill="1" applyBorder="1" applyAlignment="1">
      <alignment horizontal="center" vertical="center" wrapText="1"/>
    </xf>
    <xf numFmtId="0" fontId="55" fillId="38" borderId="16" xfId="0" applyFont="1" applyFill="1" applyBorder="1" applyAlignment="1">
      <alignment/>
    </xf>
    <xf numFmtId="0" fontId="55" fillId="38" borderId="13" xfId="0" applyFont="1" applyFill="1" applyBorder="1" applyAlignment="1">
      <alignment/>
    </xf>
    <xf numFmtId="0" fontId="52" fillId="39" borderId="29" xfId="0" applyFont="1" applyFill="1" applyBorder="1" applyAlignment="1">
      <alignment horizontal="center" vertical="center" wrapText="1"/>
    </xf>
    <xf numFmtId="0" fontId="53" fillId="39" borderId="16" xfId="0" applyFont="1" applyFill="1" applyBorder="1" applyAlignment="1">
      <alignment/>
    </xf>
    <xf numFmtId="0" fontId="53" fillId="39" borderId="13" xfId="0" applyFont="1" applyFill="1" applyBorder="1" applyAlignment="1">
      <alignment/>
    </xf>
    <xf numFmtId="2" fontId="51" fillId="34" borderId="29" xfId="0" applyNumberFormat="1" applyFont="1" applyFill="1" applyBorder="1" applyAlignment="1">
      <alignment horizontal="center"/>
    </xf>
    <xf numFmtId="2" fontId="51" fillId="35" borderId="29" xfId="0" applyNumberFormat="1" applyFont="1" applyFill="1" applyBorder="1" applyAlignment="1">
      <alignment horizontal="center"/>
    </xf>
    <xf numFmtId="167" fontId="56" fillId="36" borderId="29" xfId="0" applyNumberFormat="1" applyFont="1" applyFill="1" applyBorder="1" applyAlignment="1" applyProtection="1" quotePrefix="1">
      <alignment horizontal="center"/>
      <protection/>
    </xf>
    <xf numFmtId="4" fontId="56" fillId="36" borderId="29" xfId="0" applyNumberFormat="1" applyFont="1" applyFill="1" applyBorder="1" applyAlignment="1">
      <alignment horizontal="center"/>
    </xf>
    <xf numFmtId="167" fontId="56" fillId="37" borderId="29" xfId="0" applyNumberFormat="1" applyFont="1" applyFill="1" applyBorder="1" applyAlignment="1" applyProtection="1" quotePrefix="1">
      <alignment horizontal="center"/>
      <protection/>
    </xf>
    <xf numFmtId="4" fontId="56" fillId="37" borderId="29" xfId="0" applyNumberFormat="1" applyFont="1" applyFill="1" applyBorder="1" applyAlignment="1">
      <alignment horizontal="center"/>
    </xf>
    <xf numFmtId="167" fontId="56" fillId="38" borderId="29" xfId="0" applyNumberFormat="1" applyFont="1" applyFill="1" applyBorder="1" applyAlignment="1" applyProtection="1" quotePrefix="1">
      <alignment horizontal="center"/>
      <protection/>
    </xf>
    <xf numFmtId="4" fontId="51" fillId="39" borderId="29" xfId="0" applyNumberFormat="1" applyFont="1" applyFill="1" applyBorder="1" applyAlignment="1">
      <alignment horizontal="center"/>
    </xf>
    <xf numFmtId="0" fontId="52" fillId="39" borderId="29" xfId="0" applyFont="1" applyFill="1" applyBorder="1" applyAlignment="1" applyProtection="1">
      <alignment horizontal="center" vertical="center"/>
      <protection/>
    </xf>
    <xf numFmtId="0" fontId="51" fillId="39" borderId="16" xfId="0" applyFont="1" applyFill="1" applyBorder="1" applyAlignment="1">
      <alignment/>
    </xf>
    <xf numFmtId="0" fontId="51" fillId="39" borderId="13" xfId="0" applyFont="1" applyFill="1" applyBorder="1" applyAlignment="1">
      <alignment/>
    </xf>
    <xf numFmtId="4" fontId="51" fillId="39" borderId="13" xfId="0" applyNumberFormat="1" applyFont="1" applyFill="1" applyBorder="1" applyAlignment="1" applyProtection="1">
      <alignment horizontal="center"/>
      <protection/>
    </xf>
    <xf numFmtId="0" fontId="51" fillId="39" borderId="14" xfId="0" applyFont="1" applyFill="1" applyBorder="1" applyAlignment="1">
      <alignment/>
    </xf>
    <xf numFmtId="0" fontId="56" fillId="38" borderId="16" xfId="0" applyFont="1" applyFill="1" applyBorder="1" applyAlignment="1">
      <alignment/>
    </xf>
    <xf numFmtId="0" fontId="56" fillId="38" borderId="13" xfId="0" applyFont="1" applyFill="1" applyBorder="1" applyAlignment="1">
      <alignment/>
    </xf>
    <xf numFmtId="2" fontId="56" fillId="38" borderId="13" xfId="0" applyNumberFormat="1" applyFont="1" applyFill="1" applyBorder="1" applyAlignment="1">
      <alignment horizontal="center"/>
    </xf>
    <xf numFmtId="0" fontId="56" fillId="38" borderId="14" xfId="0" applyFont="1" applyFill="1" applyBorder="1" applyAlignment="1">
      <alignment/>
    </xf>
    <xf numFmtId="7" fontId="56" fillId="38" borderId="29" xfId="0" applyNumberFormat="1" applyFont="1" applyFill="1" applyBorder="1" applyAlignment="1">
      <alignment horizontal="center"/>
    </xf>
    <xf numFmtId="0" fontId="27" fillId="40" borderId="29" xfId="0" applyFont="1" applyFill="1" applyBorder="1" applyAlignment="1">
      <alignment horizontal="center" vertical="center" wrapText="1"/>
    </xf>
    <xf numFmtId="0" fontId="56" fillId="40" borderId="16" xfId="0" applyFont="1" applyFill="1" applyBorder="1" applyAlignment="1">
      <alignment/>
    </xf>
    <xf numFmtId="0" fontId="56" fillId="40" borderId="13" xfId="0" applyFont="1" applyFill="1" applyBorder="1" applyAlignment="1">
      <alignment/>
    </xf>
    <xf numFmtId="2" fontId="56" fillId="40" borderId="13" xfId="0" applyNumberFormat="1" applyFont="1" applyFill="1" applyBorder="1" applyAlignment="1">
      <alignment horizontal="center"/>
    </xf>
    <xf numFmtId="0" fontId="56" fillId="40" borderId="14" xfId="0" applyFont="1" applyFill="1" applyBorder="1" applyAlignment="1">
      <alignment/>
    </xf>
    <xf numFmtId="7" fontId="56" fillId="40" borderId="29" xfId="0" applyNumberFormat="1" applyFont="1" applyFill="1" applyBorder="1" applyAlignment="1">
      <alignment horizontal="center"/>
    </xf>
    <xf numFmtId="0" fontId="52" fillId="41" borderId="31" xfId="0" applyFont="1" applyFill="1" applyBorder="1" applyAlignment="1" applyProtection="1">
      <alignment horizontal="centerContinuous" vertical="center" wrapText="1"/>
      <protection/>
    </xf>
    <xf numFmtId="0" fontId="52" fillId="41" borderId="32" xfId="0" applyFont="1" applyFill="1" applyBorder="1" applyAlignment="1">
      <alignment horizontal="centerContinuous" vertical="center"/>
    </xf>
    <xf numFmtId="0" fontId="51" fillId="41" borderId="35" xfId="0" applyFont="1" applyFill="1" applyBorder="1" applyAlignment="1">
      <alignment horizontal="center"/>
    </xf>
    <xf numFmtId="0" fontId="51" fillId="41" borderId="37" xfId="0" applyFont="1" applyFill="1" applyBorder="1" applyAlignment="1">
      <alignment/>
    </xf>
    <xf numFmtId="0" fontId="51" fillId="41" borderId="38" xfId="0" applyFont="1" applyFill="1" applyBorder="1" applyAlignment="1">
      <alignment horizontal="center"/>
    </xf>
    <xf numFmtId="0" fontId="51" fillId="41" borderId="17" xfId="0" applyFont="1" applyFill="1" applyBorder="1" applyAlignment="1">
      <alignment/>
    </xf>
    <xf numFmtId="167" fontId="51" fillId="41" borderId="38" xfId="0" applyNumberFormat="1" applyFont="1" applyFill="1" applyBorder="1" applyAlignment="1" applyProtection="1" quotePrefix="1">
      <alignment horizontal="center"/>
      <protection/>
    </xf>
    <xf numFmtId="167" fontId="51" fillId="41" borderId="20" xfId="0" applyNumberFormat="1" applyFont="1" applyFill="1" applyBorder="1" applyAlignment="1" applyProtection="1" quotePrefix="1">
      <alignment horizontal="center"/>
      <protection/>
    </xf>
    <xf numFmtId="7" fontId="51" fillId="41" borderId="29" xfId="0" applyNumberFormat="1" applyFont="1" applyFill="1" applyBorder="1" applyAlignment="1">
      <alignment horizontal="center"/>
    </xf>
    <xf numFmtId="0" fontId="52" fillId="34" borderId="31" xfId="0" applyFont="1" applyFill="1" applyBorder="1" applyAlignment="1" applyProtection="1">
      <alignment horizontal="centerContinuous" vertical="center" wrapText="1"/>
      <protection/>
    </xf>
    <xf numFmtId="0" fontId="52" fillId="34" borderId="32" xfId="0" applyFont="1" applyFill="1" applyBorder="1" applyAlignment="1">
      <alignment horizontal="centerContinuous" vertical="center"/>
    </xf>
    <xf numFmtId="0" fontId="51" fillId="34" borderId="35" xfId="0" applyFont="1" applyFill="1" applyBorder="1" applyAlignment="1">
      <alignment horizontal="center"/>
    </xf>
    <xf numFmtId="0" fontId="51" fillId="34" borderId="37" xfId="0" applyFont="1" applyFill="1" applyBorder="1" applyAlignment="1">
      <alignment/>
    </xf>
    <xf numFmtId="0" fontId="51" fillId="34" borderId="38" xfId="0" applyFont="1" applyFill="1" applyBorder="1" applyAlignment="1">
      <alignment horizontal="center"/>
    </xf>
    <xf numFmtId="0" fontId="51" fillId="34" borderId="17" xfId="0" applyFont="1" applyFill="1" applyBorder="1" applyAlignment="1">
      <alignment/>
    </xf>
    <xf numFmtId="167" fontId="51" fillId="34" borderId="38" xfId="0" applyNumberFormat="1" applyFont="1" applyFill="1" applyBorder="1" applyAlignment="1" applyProtection="1" quotePrefix="1">
      <alignment horizontal="center"/>
      <protection/>
    </xf>
    <xf numFmtId="167" fontId="51" fillId="34" borderId="20" xfId="0" applyNumberFormat="1" applyFont="1" applyFill="1" applyBorder="1" applyAlignment="1" applyProtection="1" quotePrefix="1">
      <alignment horizontal="center"/>
      <protection/>
    </xf>
    <xf numFmtId="7" fontId="51" fillId="34" borderId="29" xfId="0" applyNumberFormat="1" applyFont="1" applyFill="1" applyBorder="1" applyAlignment="1">
      <alignment horizontal="center"/>
    </xf>
    <xf numFmtId="0" fontId="48" fillId="36" borderId="29" xfId="0" applyFont="1" applyFill="1" applyBorder="1" applyAlignment="1">
      <alignment horizontal="center" vertical="center" wrapText="1"/>
    </xf>
    <xf numFmtId="0" fontId="49" fillId="36" borderId="16" xfId="0" applyFont="1" applyFill="1" applyBorder="1" applyAlignment="1">
      <alignment/>
    </xf>
    <xf numFmtId="0" fontId="49" fillId="36" borderId="13" xfId="0" applyFont="1" applyFill="1" applyBorder="1" applyAlignment="1">
      <alignment/>
    </xf>
    <xf numFmtId="167" fontId="49" fillId="36" borderId="13" xfId="0" applyNumberFormat="1" applyFont="1" applyFill="1" applyBorder="1" applyAlignment="1" applyProtection="1" quotePrefix="1">
      <alignment horizontal="center"/>
      <protection/>
    </xf>
    <xf numFmtId="0" fontId="49" fillId="36" borderId="14" xfId="0" applyFont="1" applyFill="1" applyBorder="1" applyAlignment="1">
      <alignment/>
    </xf>
    <xf numFmtId="7" fontId="49" fillId="36" borderId="29" xfId="0" applyNumberFormat="1" applyFont="1" applyFill="1" applyBorder="1" applyAlignment="1">
      <alignment horizontal="center"/>
    </xf>
    <xf numFmtId="0" fontId="27" fillId="37" borderId="29" xfId="0" applyFont="1" applyFill="1" applyBorder="1" applyAlignment="1">
      <alignment horizontal="center" vertical="center" wrapText="1"/>
    </xf>
    <xf numFmtId="0" fontId="56" fillId="37" borderId="16" xfId="0" applyFont="1" applyFill="1" applyBorder="1" applyAlignment="1">
      <alignment/>
    </xf>
    <xf numFmtId="0" fontId="56" fillId="37" borderId="13" xfId="0" applyFont="1" applyFill="1" applyBorder="1" applyAlignment="1">
      <alignment/>
    </xf>
    <xf numFmtId="167" fontId="56" fillId="37" borderId="13" xfId="0" applyNumberFormat="1" applyFont="1" applyFill="1" applyBorder="1" applyAlignment="1" applyProtection="1" quotePrefix="1">
      <alignment horizontal="center"/>
      <protection/>
    </xf>
    <xf numFmtId="0" fontId="56" fillId="37" borderId="14" xfId="0" applyFont="1" applyFill="1" applyBorder="1" applyAlignment="1">
      <alignment/>
    </xf>
    <xf numFmtId="7" fontId="56" fillId="37" borderId="29" xfId="0" applyNumberFormat="1" applyFont="1" applyFill="1" applyBorder="1" applyAlignment="1">
      <alignment horizontal="center"/>
    </xf>
    <xf numFmtId="0" fontId="51" fillId="41" borderId="40" xfId="0" applyFont="1" applyFill="1" applyBorder="1" applyAlignment="1">
      <alignment/>
    </xf>
    <xf numFmtId="0" fontId="51" fillId="41" borderId="41" xfId="0" applyFont="1" applyFill="1" applyBorder="1" applyAlignment="1">
      <alignment/>
    </xf>
    <xf numFmtId="0" fontId="51" fillId="34" borderId="40" xfId="0" applyFont="1" applyFill="1" applyBorder="1" applyAlignment="1">
      <alignment/>
    </xf>
    <xf numFmtId="0" fontId="51" fillId="34" borderId="41" xfId="0" applyFont="1" applyFill="1" applyBorder="1" applyAlignment="1">
      <alignment/>
    </xf>
    <xf numFmtId="0" fontId="57" fillId="0" borderId="21" xfId="0" applyFont="1" applyBorder="1" applyAlignment="1">
      <alignment/>
    </xf>
    <xf numFmtId="0" fontId="52" fillId="37" borderId="29" xfId="0" applyFont="1" applyFill="1" applyBorder="1" applyAlignment="1" applyProtection="1">
      <alignment horizontal="center" vertical="center"/>
      <protection/>
    </xf>
    <xf numFmtId="164" fontId="51" fillId="37" borderId="13" xfId="0" applyNumberFormat="1" applyFont="1" applyFill="1" applyBorder="1" applyAlignment="1" applyProtection="1">
      <alignment horizontal="center"/>
      <protection/>
    </xf>
    <xf numFmtId="167" fontId="7" fillId="0" borderId="37" xfId="0" applyNumberFormat="1" applyFont="1" applyFill="1" applyBorder="1" applyAlignment="1" applyProtection="1">
      <alignment horizontal="center"/>
      <protection/>
    </xf>
    <xf numFmtId="164" fontId="51" fillId="37" borderId="16" xfId="0" applyNumberFormat="1" applyFont="1" applyFill="1" applyBorder="1" applyAlignment="1" applyProtection="1">
      <alignment horizontal="center"/>
      <protection/>
    </xf>
    <xf numFmtId="167" fontId="10" fillId="0" borderId="16" xfId="0" applyNumberFormat="1" applyFont="1" applyFill="1" applyBorder="1" applyAlignment="1">
      <alignment horizontal="center"/>
    </xf>
    <xf numFmtId="2" fontId="56" fillId="36" borderId="16" xfId="0" applyNumberFormat="1" applyFont="1" applyFill="1" applyBorder="1" applyAlignment="1">
      <alignment horizontal="center"/>
    </xf>
    <xf numFmtId="2" fontId="56" fillId="36" borderId="13" xfId="0" applyNumberFormat="1" applyFont="1" applyFill="1" applyBorder="1" applyAlignment="1">
      <alignment horizontal="center"/>
    </xf>
    <xf numFmtId="167" fontId="51" fillId="34" borderId="35" xfId="0" applyNumberFormat="1" applyFont="1" applyFill="1" applyBorder="1" applyAlignment="1" applyProtection="1" quotePrefix="1">
      <alignment horizontal="center"/>
      <protection/>
    </xf>
    <xf numFmtId="167" fontId="51" fillId="34" borderId="42" xfId="0" applyNumberFormat="1" applyFont="1" applyFill="1" applyBorder="1" applyAlignment="1" applyProtection="1" quotePrefix="1">
      <alignment horizontal="center"/>
      <protection/>
    </xf>
    <xf numFmtId="167" fontId="7" fillId="0" borderId="16" xfId="0" applyNumberFormat="1" applyFont="1" applyFill="1" applyBorder="1" applyAlignment="1" applyProtection="1">
      <alignment horizontal="center"/>
      <protection/>
    </xf>
    <xf numFmtId="0" fontId="52" fillId="39" borderId="29" xfId="0" applyFont="1" applyFill="1" applyBorder="1" applyAlignment="1" applyProtection="1">
      <alignment horizontal="centerContinuous" vertical="center" wrapText="1"/>
      <protection/>
    </xf>
    <xf numFmtId="167" fontId="51" fillId="39" borderId="16" xfId="0" applyNumberFormat="1" applyFont="1" applyFill="1" applyBorder="1" applyAlignment="1" applyProtection="1" quotePrefix="1">
      <alignment horizontal="center"/>
      <protection/>
    </xf>
    <xf numFmtId="167" fontId="51" fillId="39" borderId="13" xfId="0" applyNumberFormat="1" applyFont="1" applyFill="1" applyBorder="1" applyAlignment="1" applyProtection="1" quotePrefix="1">
      <alignment horizontal="center"/>
      <protection/>
    </xf>
    <xf numFmtId="2" fontId="56" fillId="36" borderId="29" xfId="0" applyNumberFormat="1" applyFont="1" applyFill="1" applyBorder="1" applyAlignment="1">
      <alignment horizontal="center"/>
    </xf>
    <xf numFmtId="2" fontId="51" fillId="39" borderId="29" xfId="0" applyNumberFormat="1" applyFont="1" applyFill="1" applyBorder="1" applyAlignment="1">
      <alignment horizontal="center"/>
    </xf>
    <xf numFmtId="0" fontId="58" fillId="33" borderId="16" xfId="0" applyFont="1" applyFill="1" applyBorder="1" applyAlignment="1">
      <alignment/>
    </xf>
    <xf numFmtId="0" fontId="58" fillId="33" borderId="13" xfId="0" applyFont="1" applyFill="1" applyBorder="1" applyAlignment="1">
      <alignment/>
    </xf>
    <xf numFmtId="167" fontId="59" fillId="33" borderId="13" xfId="0" applyNumberFormat="1" applyFont="1" applyFill="1" applyBorder="1" applyAlignment="1" applyProtection="1">
      <alignment horizontal="center"/>
      <protection/>
    </xf>
    <xf numFmtId="167" fontId="59" fillId="33" borderId="14" xfId="0" applyNumberFormat="1" applyFont="1" applyFill="1" applyBorder="1" applyAlignment="1" applyProtection="1">
      <alignment horizontal="center"/>
      <protection/>
    </xf>
    <xf numFmtId="2" fontId="7" fillId="0" borderId="12" xfId="0" applyNumberFormat="1" applyFont="1" applyFill="1" applyBorder="1" applyAlignment="1">
      <alignment/>
    </xf>
    <xf numFmtId="170" fontId="7" fillId="0" borderId="13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>
      <alignment horizontal="center"/>
    </xf>
    <xf numFmtId="0" fontId="57" fillId="0" borderId="22" xfId="0" applyFont="1" applyBorder="1" applyAlignment="1">
      <alignment/>
    </xf>
    <xf numFmtId="0" fontId="0" fillId="0" borderId="27" xfId="0" applyBorder="1" applyAlignment="1">
      <alignment horizontal="center"/>
    </xf>
    <xf numFmtId="7" fontId="0" fillId="0" borderId="16" xfId="0" applyNumberFormat="1" applyBorder="1" applyAlignment="1">
      <alignment/>
    </xf>
    <xf numFmtId="7" fontId="10" fillId="0" borderId="16" xfId="0" applyNumberFormat="1" applyFont="1" applyFill="1" applyBorder="1" applyAlignment="1">
      <alignment horizontal="center"/>
    </xf>
    <xf numFmtId="0" fontId="60" fillId="0" borderId="0" xfId="0" applyFont="1" applyAlignment="1">
      <alignment horizontal="right" vertical="top"/>
    </xf>
    <xf numFmtId="0" fontId="19" fillId="0" borderId="0" xfId="0" applyFont="1" applyBorder="1" applyAlignment="1">
      <alignment/>
    </xf>
    <xf numFmtId="0" fontId="16" fillId="0" borderId="11" xfId="0" applyFont="1" applyBorder="1" applyAlignment="1">
      <alignment horizontal="centerContinuous"/>
    </xf>
    <xf numFmtId="0" fontId="36" fillId="0" borderId="0" xfId="0" applyFont="1" applyFill="1" applyBorder="1" applyAlignment="1">
      <alignment horizontal="centerContinuous"/>
    </xf>
    <xf numFmtId="0" fontId="36" fillId="0" borderId="0" xfId="0" applyFont="1" applyFill="1" applyAlignment="1">
      <alignment horizontal="centerContinuous"/>
    </xf>
    <xf numFmtId="0" fontId="36" fillId="0" borderId="12" xfId="0" applyFont="1" applyFill="1" applyBorder="1" applyAlignment="1">
      <alignment horizontal="centerContinuous"/>
    </xf>
    <xf numFmtId="0" fontId="15" fillId="0" borderId="12" xfId="0" applyFont="1" applyFill="1" applyBorder="1" applyAlignment="1">
      <alignment horizontal="centerContinuous"/>
    </xf>
    <xf numFmtId="0" fontId="17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5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43" xfId="0" applyFont="1" applyFill="1" applyBorder="1" applyAlignment="1">
      <alignment/>
    </xf>
    <xf numFmtId="0" fontId="10" fillId="0" borderId="44" xfId="0" applyFont="1" applyBorder="1" applyAlignment="1" applyProtection="1">
      <alignment horizontal="right"/>
      <protection/>
    </xf>
    <xf numFmtId="0" fontId="10" fillId="0" borderId="45" xfId="0" applyFont="1" applyFill="1" applyBorder="1" applyAlignment="1">
      <alignment/>
    </xf>
    <xf numFmtId="167" fontId="10" fillId="0" borderId="46" xfId="0" applyNumberFormat="1" applyFont="1" applyBorder="1" applyAlignment="1" applyProtection="1">
      <alignment horizontal="right"/>
      <protection/>
    </xf>
    <xf numFmtId="169" fontId="10" fillId="0" borderId="47" xfId="0" applyNumberFormat="1" applyFont="1" applyBorder="1" applyAlignment="1">
      <alignment horizontal="center"/>
    </xf>
    <xf numFmtId="169" fontId="10" fillId="0" borderId="0" xfId="0" applyNumberFormat="1" applyFont="1" applyBorder="1" applyAlignment="1">
      <alignment horizontal="center"/>
    </xf>
    <xf numFmtId="7" fontId="10" fillId="0" borderId="0" xfId="0" applyNumberFormat="1" applyFont="1" applyBorder="1" applyAlignment="1">
      <alignment horizontal="center"/>
    </xf>
    <xf numFmtId="0" fontId="19" fillId="0" borderId="0" xfId="0" applyFont="1" applyBorder="1" applyAlignment="1" applyProtection="1">
      <alignment horizontal="left"/>
      <protection/>
    </xf>
    <xf numFmtId="7" fontId="10" fillId="0" borderId="48" xfId="0" applyNumberFormat="1" applyFont="1" applyBorder="1" applyAlignment="1">
      <alignment horizontal="center"/>
    </xf>
    <xf numFmtId="0" fontId="8" fillId="0" borderId="31" xfId="0" applyFont="1" applyBorder="1" applyAlignment="1" applyProtection="1">
      <alignment horizontal="center"/>
      <protection/>
    </xf>
    <xf numFmtId="0" fontId="10" fillId="0" borderId="49" xfId="0" applyFont="1" applyBorder="1" applyAlignment="1" applyProtection="1">
      <alignment horizontal="center"/>
      <protection/>
    </xf>
    <xf numFmtId="0" fontId="10" fillId="0" borderId="50" xfId="0" applyFont="1" applyBorder="1" applyAlignment="1" applyProtection="1">
      <alignment horizontal="center"/>
      <protection/>
    </xf>
    <xf numFmtId="2" fontId="10" fillId="0" borderId="50" xfId="0" applyNumberFormat="1" applyFont="1" applyBorder="1" applyAlignment="1" applyProtection="1">
      <alignment horizontal="center"/>
      <protection/>
    </xf>
    <xf numFmtId="167" fontId="10" fillId="0" borderId="50" xfId="0" applyNumberFormat="1" applyFont="1" applyBorder="1" applyAlignment="1" applyProtection="1">
      <alignment horizontal="center"/>
      <protection/>
    </xf>
    <xf numFmtId="7" fontId="19" fillId="0" borderId="51" xfId="0" applyNumberFormat="1" applyFont="1" applyBorder="1" applyAlignment="1">
      <alignment horizontal="center"/>
    </xf>
    <xf numFmtId="0" fontId="10" fillId="0" borderId="52" xfId="0" applyFont="1" applyBorder="1" applyAlignment="1" applyProtection="1">
      <alignment horizontal="center"/>
      <protection/>
    </xf>
    <xf numFmtId="0" fontId="10" fillId="0" borderId="53" xfId="0" applyFont="1" applyBorder="1" applyAlignment="1" applyProtection="1">
      <alignment horizontal="center"/>
      <protection/>
    </xf>
    <xf numFmtId="2" fontId="10" fillId="0" borderId="53" xfId="0" applyNumberFormat="1" applyFont="1" applyBorder="1" applyAlignment="1" applyProtection="1">
      <alignment horizontal="center"/>
      <protection/>
    </xf>
    <xf numFmtId="167" fontId="10" fillId="0" borderId="53" xfId="0" applyNumberFormat="1" applyFont="1" applyBorder="1" applyAlignment="1" applyProtection="1">
      <alignment horizontal="center"/>
      <protection/>
    </xf>
    <xf numFmtId="7" fontId="10" fillId="0" borderId="53" xfId="0" applyNumberFormat="1" applyFont="1" applyBorder="1" applyAlignment="1" applyProtection="1">
      <alignment horizontal="center"/>
      <protection/>
    </xf>
    <xf numFmtId="7" fontId="10" fillId="0" borderId="53" xfId="0" applyNumberFormat="1" applyFont="1" applyBorder="1" applyAlignment="1" applyProtection="1">
      <alignment horizontal="centerContinuous"/>
      <protection/>
    </xf>
    <xf numFmtId="0" fontId="10" fillId="0" borderId="53" xfId="0" applyFont="1" applyBorder="1" applyAlignment="1" applyProtection="1">
      <alignment horizontal="centerContinuous"/>
      <protection/>
    </xf>
    <xf numFmtId="0" fontId="10" fillId="0" borderId="53" xfId="0" applyFont="1" applyBorder="1" applyAlignment="1" applyProtection="1">
      <alignment horizontal="right"/>
      <protection/>
    </xf>
    <xf numFmtId="7" fontId="10" fillId="0" borderId="54" xfId="0" applyNumberFormat="1" applyFont="1" applyBorder="1" applyAlignment="1" applyProtection="1">
      <alignment horizontal="center"/>
      <protection/>
    </xf>
    <xf numFmtId="0" fontId="10" fillId="0" borderId="55" xfId="0" applyFont="1" applyBorder="1" applyAlignment="1" applyProtection="1">
      <alignment horizontal="center"/>
      <protection/>
    </xf>
    <xf numFmtId="0" fontId="10" fillId="0" borderId="48" xfId="0" applyFont="1" applyBorder="1" applyAlignment="1" applyProtection="1">
      <alignment horizontal="center"/>
      <protection/>
    </xf>
    <xf numFmtId="2" fontId="10" fillId="0" borderId="48" xfId="0" applyNumberFormat="1" applyFont="1" applyBorder="1" applyAlignment="1" applyProtection="1">
      <alignment horizontal="center"/>
      <protection/>
    </xf>
    <xf numFmtId="167" fontId="10" fillId="0" borderId="48" xfId="0" applyNumberFormat="1" applyFont="1" applyBorder="1" applyAlignment="1" applyProtection="1">
      <alignment horizontal="center"/>
      <protection/>
    </xf>
    <xf numFmtId="7" fontId="10" fillId="0" borderId="48" xfId="0" applyNumberFormat="1" applyFont="1" applyBorder="1" applyAlignment="1" applyProtection="1">
      <alignment horizontal="center"/>
      <protection/>
    </xf>
    <xf numFmtId="7" fontId="10" fillId="0" borderId="48" xfId="0" applyNumberFormat="1" applyFont="1" applyBorder="1" applyAlignment="1" applyProtection="1">
      <alignment horizontal="centerContinuous"/>
      <protection/>
    </xf>
    <xf numFmtId="0" fontId="10" fillId="0" borderId="48" xfId="0" applyFont="1" applyBorder="1" applyAlignment="1" applyProtection="1">
      <alignment horizontal="centerContinuous"/>
      <protection/>
    </xf>
    <xf numFmtId="0" fontId="10" fillId="0" borderId="48" xfId="0" applyFont="1" applyBorder="1" applyAlignment="1" applyProtection="1">
      <alignment horizontal="right"/>
      <protection/>
    </xf>
    <xf numFmtId="7" fontId="10" fillId="0" borderId="56" xfId="0" applyNumberFormat="1" applyFont="1" applyBorder="1" applyAlignment="1" applyProtection="1">
      <alignment horizontal="center"/>
      <protection/>
    </xf>
    <xf numFmtId="7" fontId="10" fillId="0" borderId="51" xfId="0" applyNumberFormat="1" applyFont="1" applyBorder="1" applyAlignment="1" applyProtection="1">
      <alignment horizontal="center"/>
      <protection/>
    </xf>
    <xf numFmtId="0" fontId="0" fillId="0" borderId="49" xfId="0" applyBorder="1" applyAlignment="1">
      <alignment horizontal="centerContinuous"/>
    </xf>
    <xf numFmtId="0" fontId="10" fillId="0" borderId="50" xfId="0" applyFont="1" applyBorder="1" applyAlignment="1" applyProtection="1">
      <alignment horizontal="centerContinuous"/>
      <protection/>
    </xf>
    <xf numFmtId="0" fontId="0" fillId="0" borderId="50" xfId="0" applyBorder="1" applyAlignment="1">
      <alignment horizontal="center"/>
    </xf>
    <xf numFmtId="167" fontId="10" fillId="0" borderId="49" xfId="0" applyNumberFormat="1" applyFont="1" applyBorder="1" applyAlignment="1" applyProtection="1">
      <alignment horizontal="centerContinuous"/>
      <protection/>
    </xf>
    <xf numFmtId="2" fontId="22" fillId="0" borderId="57" xfId="0" applyNumberFormat="1" applyFont="1" applyBorder="1" applyAlignment="1">
      <alignment horizontal="centerContinuous"/>
    </xf>
    <xf numFmtId="7" fontId="10" fillId="0" borderId="52" xfId="0" applyNumberFormat="1" applyFont="1" applyBorder="1" applyAlignment="1">
      <alignment horizontal="centerContinuous"/>
    </xf>
    <xf numFmtId="167" fontId="10" fillId="0" borderId="53" xfId="0" applyNumberFormat="1" applyFont="1" applyBorder="1" applyAlignment="1" applyProtection="1" quotePrefix="1">
      <alignment horizontal="center"/>
      <protection/>
    </xf>
    <xf numFmtId="7" fontId="10" fillId="0" borderId="52" xfId="0" applyNumberFormat="1" applyFont="1" applyBorder="1" applyAlignment="1" applyProtection="1">
      <alignment horizontal="centerContinuous"/>
      <protection/>
    </xf>
    <xf numFmtId="2" fontId="22" fillId="0" borderId="58" xfId="0" applyNumberFormat="1" applyFont="1" applyBorder="1" applyAlignment="1">
      <alignment horizontal="centerContinuous"/>
    </xf>
    <xf numFmtId="0" fontId="10" fillId="0" borderId="59" xfId="0" applyFont="1" applyBorder="1" applyAlignment="1" applyProtection="1">
      <alignment horizontal="center"/>
      <protection/>
    </xf>
    <xf numFmtId="7" fontId="10" fillId="0" borderId="60" xfId="0" applyNumberFormat="1" applyFont="1" applyBorder="1" applyAlignment="1" applyProtection="1">
      <alignment horizontal="center"/>
      <protection/>
    </xf>
    <xf numFmtId="7" fontId="10" fillId="0" borderId="59" xfId="0" applyNumberFormat="1" applyFont="1" applyBorder="1" applyAlignment="1">
      <alignment horizontal="centerContinuous"/>
    </xf>
    <xf numFmtId="0" fontId="10" fillId="0" borderId="0" xfId="0" applyFont="1" applyBorder="1" applyAlignment="1" applyProtection="1">
      <alignment horizontal="centerContinuous"/>
      <protection/>
    </xf>
    <xf numFmtId="7" fontId="10" fillId="0" borderId="59" xfId="0" applyNumberFormat="1" applyFont="1" applyBorder="1" applyAlignment="1" applyProtection="1">
      <alignment horizontal="centerContinuous"/>
      <protection/>
    </xf>
    <xf numFmtId="2" fontId="22" fillId="0" borderId="61" xfId="0" applyNumberFormat="1" applyFont="1" applyBorder="1" applyAlignment="1">
      <alignment horizontal="centerContinuous"/>
    </xf>
    <xf numFmtId="7" fontId="10" fillId="0" borderId="55" xfId="0" applyNumberFormat="1" applyFont="1" applyBorder="1" applyAlignment="1">
      <alignment horizontal="centerContinuous"/>
    </xf>
    <xf numFmtId="167" fontId="10" fillId="0" borderId="48" xfId="0" applyNumberFormat="1" applyFont="1" applyBorder="1" applyAlignment="1" applyProtection="1" quotePrefix="1">
      <alignment horizontal="center"/>
      <protection/>
    </xf>
    <xf numFmtId="7" fontId="10" fillId="0" borderId="55" xfId="0" applyNumberFormat="1" applyFont="1" applyBorder="1" applyAlignment="1" applyProtection="1">
      <alignment horizontal="centerContinuous"/>
      <protection/>
    </xf>
    <xf numFmtId="2" fontId="22" fillId="0" borderId="39" xfId="0" applyNumberFormat="1" applyFont="1" applyBorder="1" applyAlignment="1">
      <alignment horizontal="centerContinuous"/>
    </xf>
    <xf numFmtId="7" fontId="10" fillId="0" borderId="49" xfId="0" applyNumberFormat="1" applyFont="1" applyBorder="1" applyAlignment="1" applyProtection="1">
      <alignment horizontal="centerContinuous"/>
      <protection/>
    </xf>
    <xf numFmtId="5" fontId="8" fillId="0" borderId="31" xfId="0" applyNumberFormat="1" applyFont="1" applyBorder="1" applyAlignment="1" applyProtection="1">
      <alignment horizontal="center"/>
      <protection/>
    </xf>
    <xf numFmtId="7" fontId="8" fillId="0" borderId="32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left"/>
    </xf>
    <xf numFmtId="7" fontId="64" fillId="0" borderId="32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8" fontId="8" fillId="0" borderId="32" xfId="0" applyNumberFormat="1" applyFont="1" applyBorder="1" applyAlignment="1" applyProtection="1">
      <alignment horizontal="center"/>
      <protection/>
    </xf>
    <xf numFmtId="7" fontId="10" fillId="0" borderId="0" xfId="0" applyNumberFormat="1" applyFont="1" applyBorder="1" applyAlignment="1" applyProtection="1">
      <alignment horizontal="centerContinuous"/>
      <protection/>
    </xf>
    <xf numFmtId="2" fontId="10" fillId="0" borderId="50" xfId="0" applyNumberFormat="1" applyFont="1" applyBorder="1" applyAlignment="1" applyProtection="1">
      <alignment horizontal="centerContinuous"/>
      <protection/>
    </xf>
    <xf numFmtId="2" fontId="10" fillId="0" borderId="57" xfId="0" applyNumberFormat="1" applyFont="1" applyBorder="1" applyAlignment="1" applyProtection="1">
      <alignment horizontal="centerContinuous"/>
      <protection/>
    </xf>
    <xf numFmtId="2" fontId="10" fillId="0" borderId="53" xfId="0" applyNumberFormat="1" applyFont="1" applyBorder="1" applyAlignment="1" applyProtection="1">
      <alignment horizontal="centerContinuous"/>
      <protection/>
    </xf>
    <xf numFmtId="2" fontId="10" fillId="0" borderId="58" xfId="0" applyNumberFormat="1" applyFont="1" applyBorder="1" applyAlignment="1" applyProtection="1">
      <alignment horizontal="centerContinuous"/>
      <protection/>
    </xf>
    <xf numFmtId="2" fontId="10" fillId="0" borderId="0" xfId="0" applyNumberFormat="1" applyFont="1" applyBorder="1" applyAlignment="1" applyProtection="1">
      <alignment horizontal="centerContinuous"/>
      <protection/>
    </xf>
    <xf numFmtId="2" fontId="10" fillId="0" borderId="61" xfId="0" applyNumberFormat="1" applyFont="1" applyBorder="1" applyAlignment="1" applyProtection="1">
      <alignment horizontal="centerContinuous"/>
      <protection/>
    </xf>
    <xf numFmtId="2" fontId="10" fillId="0" borderId="48" xfId="0" applyNumberFormat="1" applyFont="1" applyBorder="1" applyAlignment="1" applyProtection="1">
      <alignment horizontal="centerContinuous"/>
      <protection/>
    </xf>
    <xf numFmtId="2" fontId="10" fillId="0" borderId="39" xfId="0" applyNumberFormat="1" applyFont="1" applyBorder="1" applyAlignment="1" applyProtection="1">
      <alignment horizontal="centerContinuous"/>
      <protection/>
    </xf>
    <xf numFmtId="0" fontId="60" fillId="0" borderId="0" xfId="0" applyFont="1" applyFill="1" applyAlignment="1">
      <alignment horizontal="right" vertical="top"/>
    </xf>
    <xf numFmtId="0" fontId="0" fillId="0" borderId="31" xfId="0" applyFont="1" applyBorder="1" applyAlignment="1" applyProtection="1">
      <alignment horizontal="center" vertical="center"/>
      <protection/>
    </xf>
    <xf numFmtId="171" fontId="0" fillId="0" borderId="31" xfId="0" applyNumberFormat="1" applyFont="1" applyBorder="1" applyAlignment="1">
      <alignment horizontal="centerContinuous" vertical="center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62" xfId="0" applyFont="1" applyBorder="1" applyAlignment="1" applyProtection="1">
      <alignment horizontal="center"/>
      <protection locked="0"/>
    </xf>
    <xf numFmtId="2" fontId="7" fillId="0" borderId="63" xfId="0" applyNumberFormat="1" applyFont="1" applyBorder="1" applyAlignment="1" applyProtection="1">
      <alignment horizontal="center"/>
      <protection locked="0"/>
    </xf>
    <xf numFmtId="0" fontId="7" fillId="0" borderId="64" xfId="0" applyFont="1" applyBorder="1" applyAlignment="1" applyProtection="1">
      <alignment/>
      <protection locked="0"/>
    </xf>
    <xf numFmtId="0" fontId="7" fillId="0" borderId="65" xfId="0" applyFont="1" applyBorder="1" applyAlignment="1" applyProtection="1">
      <alignment horizontal="center"/>
      <protection locked="0"/>
    </xf>
    <xf numFmtId="2" fontId="7" fillId="0" borderId="65" xfId="0" applyNumberFormat="1" applyFont="1" applyBorder="1" applyAlignment="1" applyProtection="1">
      <alignment horizontal="center"/>
      <protection locked="0"/>
    </xf>
    <xf numFmtId="167" fontId="7" fillId="0" borderId="14" xfId="0" applyNumberFormat="1" applyFont="1" applyBorder="1" applyAlignment="1" applyProtection="1">
      <alignment horizontal="center"/>
      <protection locked="0"/>
    </xf>
    <xf numFmtId="22" fontId="7" fillId="0" borderId="13" xfId="0" applyNumberFormat="1" applyFont="1" applyBorder="1" applyAlignment="1" applyProtection="1">
      <alignment horizontal="center"/>
      <protection locked="0"/>
    </xf>
    <xf numFmtId="167" fontId="7" fillId="0" borderId="13" xfId="0" applyNumberFormat="1" applyFont="1" applyBorder="1" applyAlignment="1" applyProtection="1">
      <alignment horizontal="center"/>
      <protection locked="0"/>
    </xf>
    <xf numFmtId="22" fontId="7" fillId="0" borderId="14" xfId="0" applyNumberFormat="1" applyFont="1" applyBorder="1" applyAlignment="1" applyProtection="1">
      <alignment horizontal="center"/>
      <protection locked="0"/>
    </xf>
    <xf numFmtId="167" fontId="51" fillId="34" borderId="14" xfId="0" applyNumberFormat="1" applyFont="1" applyFill="1" applyBorder="1" applyAlignment="1" applyProtection="1" quotePrefix="1">
      <alignment horizontal="center"/>
      <protection locked="0"/>
    </xf>
    <xf numFmtId="167" fontId="51" fillId="35" borderId="14" xfId="0" applyNumberFormat="1" applyFont="1" applyFill="1" applyBorder="1" applyAlignment="1" applyProtection="1" quotePrefix="1">
      <alignment horizontal="center"/>
      <protection locked="0"/>
    </xf>
    <xf numFmtId="167" fontId="56" fillId="36" borderId="40" xfId="0" applyNumberFormat="1" applyFont="1" applyFill="1" applyBorder="1" applyAlignment="1" applyProtection="1" quotePrefix="1">
      <alignment horizontal="center"/>
      <protection locked="0"/>
    </xf>
    <xf numFmtId="4" fontId="56" fillId="36" borderId="66" xfId="0" applyNumberFormat="1" applyFont="1" applyFill="1" applyBorder="1" applyAlignment="1" applyProtection="1">
      <alignment horizontal="center"/>
      <protection locked="0"/>
    </xf>
    <xf numFmtId="4" fontId="56" fillId="36" borderId="67" xfId="0" applyNumberFormat="1" applyFont="1" applyFill="1" applyBorder="1" applyAlignment="1" applyProtection="1">
      <alignment horizontal="center"/>
      <protection locked="0"/>
    </xf>
    <xf numFmtId="167" fontId="56" fillId="37" borderId="40" xfId="0" applyNumberFormat="1" applyFont="1" applyFill="1" applyBorder="1" applyAlignment="1" applyProtection="1" quotePrefix="1">
      <alignment horizontal="center"/>
      <protection locked="0"/>
    </xf>
    <xf numFmtId="4" fontId="56" fillId="37" borderId="66" xfId="0" applyNumberFormat="1" applyFont="1" applyFill="1" applyBorder="1" applyAlignment="1" applyProtection="1">
      <alignment horizontal="center"/>
      <protection locked="0"/>
    </xf>
    <xf numFmtId="4" fontId="56" fillId="37" borderId="67" xfId="0" applyNumberFormat="1" applyFont="1" applyFill="1" applyBorder="1" applyAlignment="1" applyProtection="1">
      <alignment horizontal="center"/>
      <protection locked="0"/>
    </xf>
    <xf numFmtId="4" fontId="56" fillId="38" borderId="14" xfId="0" applyNumberFormat="1" applyFont="1" applyFill="1" applyBorder="1" applyAlignment="1" applyProtection="1">
      <alignment horizontal="center"/>
      <protection locked="0"/>
    </xf>
    <xf numFmtId="4" fontId="51" fillId="39" borderId="14" xfId="0" applyNumberFormat="1" applyFont="1" applyFill="1" applyBorder="1" applyAlignment="1" applyProtection="1">
      <alignment horizontal="center"/>
      <protection locked="0"/>
    </xf>
    <xf numFmtId="4" fontId="7" fillId="0" borderId="14" xfId="0" applyNumberFormat="1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53" fillId="34" borderId="13" xfId="0" applyFont="1" applyFill="1" applyBorder="1" applyAlignment="1" applyProtection="1">
      <alignment/>
      <protection locked="0"/>
    </xf>
    <xf numFmtId="0" fontId="53" fillId="35" borderId="13" xfId="0" applyFont="1" applyFill="1" applyBorder="1" applyAlignment="1" applyProtection="1">
      <alignment/>
      <protection locked="0"/>
    </xf>
    <xf numFmtId="0" fontId="55" fillId="36" borderId="38" xfId="0" applyFont="1" applyFill="1" applyBorder="1" applyAlignment="1" applyProtection="1">
      <alignment horizontal="center"/>
      <protection locked="0"/>
    </xf>
    <xf numFmtId="0" fontId="55" fillId="36" borderId="39" xfId="0" applyFont="1" applyFill="1" applyBorder="1" applyAlignment="1" applyProtection="1">
      <alignment/>
      <protection locked="0"/>
    </xf>
    <xf numFmtId="0" fontId="55" fillId="36" borderId="17" xfId="0" applyFont="1" applyFill="1" applyBorder="1" applyAlignment="1" applyProtection="1">
      <alignment/>
      <protection locked="0"/>
    </xf>
    <xf numFmtId="0" fontId="55" fillId="37" borderId="38" xfId="0" applyFont="1" applyFill="1" applyBorder="1" applyAlignment="1" applyProtection="1">
      <alignment horizontal="center"/>
      <protection locked="0"/>
    </xf>
    <xf numFmtId="0" fontId="55" fillId="37" borderId="39" xfId="0" applyFont="1" applyFill="1" applyBorder="1" applyAlignment="1" applyProtection="1">
      <alignment/>
      <protection locked="0"/>
    </xf>
    <xf numFmtId="0" fontId="55" fillId="37" borderId="17" xfId="0" applyFont="1" applyFill="1" applyBorder="1" applyAlignment="1" applyProtection="1">
      <alignment/>
      <protection locked="0"/>
    </xf>
    <xf numFmtId="0" fontId="55" fillId="38" borderId="13" xfId="0" applyFont="1" applyFill="1" applyBorder="1" applyAlignment="1" applyProtection="1">
      <alignment/>
      <protection locked="0"/>
    </xf>
    <xf numFmtId="0" fontId="53" fillId="39" borderId="13" xfId="0" applyFont="1" applyFill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28" fillId="0" borderId="0" xfId="0" applyFont="1" applyFill="1" applyAlignment="1" applyProtection="1">
      <alignment/>
      <protection/>
    </xf>
    <xf numFmtId="0" fontId="60" fillId="0" borderId="0" xfId="0" applyFont="1" applyFill="1" applyAlignment="1" applyProtection="1">
      <alignment horizontal="right" vertical="top"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Fill="1" applyAlignment="1" applyProtection="1">
      <alignment horizontal="centerContinuous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" fillId="0" borderId="21" xfId="0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/>
      <protection/>
    </xf>
    <xf numFmtId="0" fontId="7" fillId="0" borderId="23" xfId="0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0" borderId="11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12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7" fillId="0" borderId="0" xfId="0" applyFont="1" applyFill="1" applyBorder="1" applyAlignment="1" applyProtection="1">
      <alignment horizontal="centerContinuous"/>
      <protection/>
    </xf>
    <xf numFmtId="0" fontId="15" fillId="0" borderId="0" xfId="0" applyFont="1" applyFill="1" applyBorder="1" applyAlignment="1" applyProtection="1">
      <alignment horizontal="centerContinuous"/>
      <protection/>
    </xf>
    <xf numFmtId="0" fontId="17" fillId="0" borderId="0" xfId="0" applyFont="1" applyAlignment="1" applyProtection="1">
      <alignment horizontal="centerContinuous"/>
      <protection/>
    </xf>
    <xf numFmtId="0" fontId="17" fillId="0" borderId="12" xfId="0" applyFont="1" applyFill="1" applyBorder="1" applyAlignment="1" applyProtection="1">
      <alignment horizontal="centerContinuous"/>
      <protection/>
    </xf>
    <xf numFmtId="0" fontId="17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 horizontal="left"/>
      <protection/>
    </xf>
    <xf numFmtId="0" fontId="0" fillId="0" borderId="33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 horizontal="center"/>
      <protection/>
    </xf>
    <xf numFmtId="22" fontId="7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6" fillId="0" borderId="11" xfId="0" applyFont="1" applyFill="1" applyBorder="1" applyAlignment="1" applyProtection="1">
      <alignment/>
      <protection/>
    </xf>
    <xf numFmtId="0" fontId="27" fillId="38" borderId="29" xfId="0" applyFont="1" applyFill="1" applyBorder="1" applyAlignment="1" applyProtection="1">
      <alignment horizontal="center" vertical="center" wrapText="1"/>
      <protection/>
    </xf>
    <xf numFmtId="0" fontId="27" fillId="40" borderId="29" xfId="0" applyFont="1" applyFill="1" applyBorder="1" applyAlignment="1" applyProtection="1">
      <alignment horizontal="center" vertical="center" wrapText="1"/>
      <protection/>
    </xf>
    <xf numFmtId="0" fontId="52" fillId="41" borderId="32" xfId="0" applyFont="1" applyFill="1" applyBorder="1" applyAlignment="1" applyProtection="1">
      <alignment horizontal="centerContinuous" vertical="center"/>
      <protection/>
    </xf>
    <xf numFmtId="0" fontId="52" fillId="34" borderId="32" xfId="0" applyFont="1" applyFill="1" applyBorder="1" applyAlignment="1" applyProtection="1">
      <alignment horizontal="centerContinuous" vertical="center"/>
      <protection/>
    </xf>
    <xf numFmtId="0" fontId="48" fillId="36" borderId="29" xfId="0" applyFont="1" applyFill="1" applyBorder="1" applyAlignment="1" applyProtection="1">
      <alignment horizontal="center" vertical="center" wrapText="1"/>
      <protection/>
    </xf>
    <xf numFmtId="0" fontId="27" fillId="37" borderId="29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/>
      <protection/>
    </xf>
    <xf numFmtId="0" fontId="47" fillId="33" borderId="16" xfId="0" applyFont="1" applyFill="1" applyBorder="1" applyAlignment="1" applyProtection="1">
      <alignment/>
      <protection/>
    </xf>
    <xf numFmtId="0" fontId="51" fillId="39" borderId="16" xfId="0" applyFont="1" applyFill="1" applyBorder="1" applyAlignment="1" applyProtection="1">
      <alignment/>
      <protection/>
    </xf>
    <xf numFmtId="0" fontId="56" fillId="38" borderId="16" xfId="0" applyFont="1" applyFill="1" applyBorder="1" applyAlignment="1" applyProtection="1">
      <alignment/>
      <protection/>
    </xf>
    <xf numFmtId="0" fontId="56" fillId="40" borderId="16" xfId="0" applyFont="1" applyFill="1" applyBorder="1" applyAlignment="1" applyProtection="1">
      <alignment/>
      <protection/>
    </xf>
    <xf numFmtId="0" fontId="51" fillId="41" borderId="35" xfId="0" applyFont="1" applyFill="1" applyBorder="1" applyAlignment="1" applyProtection="1">
      <alignment horizontal="center"/>
      <protection/>
    </xf>
    <xf numFmtId="0" fontId="51" fillId="41" borderId="37" xfId="0" applyFont="1" applyFill="1" applyBorder="1" applyAlignment="1" applyProtection="1">
      <alignment/>
      <protection/>
    </xf>
    <xf numFmtId="0" fontId="51" fillId="34" borderId="35" xfId="0" applyFont="1" applyFill="1" applyBorder="1" applyAlignment="1" applyProtection="1">
      <alignment horizontal="center"/>
      <protection/>
    </xf>
    <xf numFmtId="0" fontId="51" fillId="34" borderId="37" xfId="0" applyFont="1" applyFill="1" applyBorder="1" applyAlignment="1" applyProtection="1">
      <alignment/>
      <protection/>
    </xf>
    <xf numFmtId="0" fontId="49" fillId="36" borderId="16" xfId="0" applyFont="1" applyFill="1" applyBorder="1" applyAlignment="1" applyProtection="1">
      <alignment/>
      <protection/>
    </xf>
    <xf numFmtId="0" fontId="56" fillId="37" borderId="16" xfId="0" applyFont="1" applyFill="1" applyBorder="1" applyAlignment="1" applyProtection="1">
      <alignment/>
      <protection/>
    </xf>
    <xf numFmtId="7" fontId="10" fillId="0" borderId="16" xfId="0" applyNumberFormat="1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/>
      <protection/>
    </xf>
    <xf numFmtId="0" fontId="47" fillId="33" borderId="13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51" fillId="39" borderId="13" xfId="0" applyFont="1" applyFill="1" applyBorder="1" applyAlignment="1" applyProtection="1">
      <alignment/>
      <protection/>
    </xf>
    <xf numFmtId="0" fontId="56" fillId="38" borderId="13" xfId="0" applyFont="1" applyFill="1" applyBorder="1" applyAlignment="1" applyProtection="1">
      <alignment/>
      <protection/>
    </xf>
    <xf numFmtId="0" fontId="56" fillId="40" borderId="13" xfId="0" applyFont="1" applyFill="1" applyBorder="1" applyAlignment="1" applyProtection="1">
      <alignment/>
      <protection/>
    </xf>
    <xf numFmtId="0" fontId="51" fillId="41" borderId="38" xfId="0" applyFont="1" applyFill="1" applyBorder="1" applyAlignment="1" applyProtection="1">
      <alignment horizontal="center"/>
      <protection/>
    </xf>
    <xf numFmtId="0" fontId="51" fillId="41" borderId="17" xfId="0" applyFont="1" applyFill="1" applyBorder="1" applyAlignment="1" applyProtection="1">
      <alignment/>
      <protection/>
    </xf>
    <xf numFmtId="0" fontId="51" fillId="34" borderId="38" xfId="0" applyFont="1" applyFill="1" applyBorder="1" applyAlignment="1" applyProtection="1">
      <alignment horizontal="center"/>
      <protection/>
    </xf>
    <xf numFmtId="0" fontId="51" fillId="34" borderId="17" xfId="0" applyFont="1" applyFill="1" applyBorder="1" applyAlignment="1" applyProtection="1">
      <alignment/>
      <protection/>
    </xf>
    <xf numFmtId="0" fontId="49" fillId="36" borderId="13" xfId="0" applyFont="1" applyFill="1" applyBorder="1" applyAlignment="1" applyProtection="1">
      <alignment/>
      <protection/>
    </xf>
    <xf numFmtId="0" fontId="56" fillId="37" borderId="13" xfId="0" applyFont="1" applyFill="1" applyBorder="1" applyAlignment="1" applyProtection="1">
      <alignment/>
      <protection/>
    </xf>
    <xf numFmtId="0" fontId="10" fillId="0" borderId="17" xfId="0" applyFont="1" applyFill="1" applyBorder="1" applyAlignment="1" applyProtection="1">
      <alignment/>
      <protection/>
    </xf>
    <xf numFmtId="167" fontId="10" fillId="0" borderId="17" xfId="0" applyNumberFormat="1" applyFont="1" applyFill="1" applyBorder="1" applyAlignment="1" applyProtection="1">
      <alignment horizontal="right"/>
      <protection/>
    </xf>
    <xf numFmtId="2" fontId="7" fillId="0" borderId="12" xfId="0" applyNumberFormat="1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/>
      <protection/>
    </xf>
    <xf numFmtId="0" fontId="47" fillId="33" borderId="14" xfId="0" applyFont="1" applyFill="1" applyBorder="1" applyAlignment="1" applyProtection="1">
      <alignment/>
      <protection/>
    </xf>
    <xf numFmtId="0" fontId="10" fillId="0" borderId="28" xfId="0" applyFont="1" applyFill="1" applyBorder="1" applyAlignment="1" applyProtection="1">
      <alignment/>
      <protection/>
    </xf>
    <xf numFmtId="0" fontId="38" fillId="0" borderId="33" xfId="0" applyFont="1" applyBorder="1" applyAlignment="1" applyProtection="1">
      <alignment horizontal="center"/>
      <protection/>
    </xf>
    <xf numFmtId="7" fontId="56" fillId="38" borderId="29" xfId="0" applyNumberFormat="1" applyFont="1" applyFill="1" applyBorder="1" applyAlignment="1" applyProtection="1">
      <alignment horizontal="center"/>
      <protection/>
    </xf>
    <xf numFmtId="7" fontId="56" fillId="40" borderId="29" xfId="0" applyNumberFormat="1" applyFont="1" applyFill="1" applyBorder="1" applyAlignment="1" applyProtection="1">
      <alignment horizontal="center"/>
      <protection/>
    </xf>
    <xf numFmtId="7" fontId="51" fillId="41" borderId="29" xfId="0" applyNumberFormat="1" applyFont="1" applyFill="1" applyBorder="1" applyAlignment="1" applyProtection="1">
      <alignment horizontal="center"/>
      <protection/>
    </xf>
    <xf numFmtId="7" fontId="51" fillId="34" borderId="29" xfId="0" applyNumberFormat="1" applyFont="1" applyFill="1" applyBorder="1" applyAlignment="1" applyProtection="1">
      <alignment horizontal="center"/>
      <protection/>
    </xf>
    <xf numFmtId="7" fontId="49" fillId="36" borderId="29" xfId="0" applyNumberFormat="1" applyFont="1" applyFill="1" applyBorder="1" applyAlignment="1" applyProtection="1">
      <alignment horizontal="center"/>
      <protection/>
    </xf>
    <xf numFmtId="7" fontId="56" fillId="37" borderId="29" xfId="0" applyNumberFormat="1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/>
      <protection/>
    </xf>
    <xf numFmtId="7" fontId="11" fillId="0" borderId="29" xfId="0" applyNumberFormat="1" applyFont="1" applyFill="1" applyBorder="1" applyAlignment="1" applyProtection="1">
      <alignment horizontal="right"/>
      <protection/>
    </xf>
    <xf numFmtId="0" fontId="38" fillId="0" borderId="0" xfId="0" applyFont="1" applyFill="1" applyAlignment="1" applyProtection="1">
      <alignment/>
      <protection/>
    </xf>
    <xf numFmtId="0" fontId="38" fillId="0" borderId="11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horizontal="center"/>
      <protection/>
    </xf>
    <xf numFmtId="0" fontId="38" fillId="0" borderId="0" xfId="0" applyFont="1" applyFill="1" applyBorder="1" applyAlignment="1" applyProtection="1">
      <alignment/>
      <protection/>
    </xf>
    <xf numFmtId="7" fontId="38" fillId="0" borderId="0" xfId="0" applyNumberFormat="1" applyFont="1" applyFill="1" applyBorder="1" applyAlignment="1" applyProtection="1">
      <alignment horizontal="center"/>
      <protection/>
    </xf>
    <xf numFmtId="7" fontId="44" fillId="0" borderId="0" xfId="0" applyNumberFormat="1" applyFont="1" applyFill="1" applyBorder="1" applyAlignment="1" applyProtection="1">
      <alignment horizontal="right"/>
      <protection/>
    </xf>
    <xf numFmtId="0" fontId="38" fillId="0" borderId="12" xfId="0" applyFont="1" applyFill="1" applyBorder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7" fillId="0" borderId="24" xfId="0" applyFont="1" applyFill="1" applyBorder="1" applyAlignment="1" applyProtection="1">
      <alignment/>
      <protection/>
    </xf>
    <xf numFmtId="0" fontId="7" fillId="0" borderId="25" xfId="0" applyFont="1" applyFill="1" applyBorder="1" applyAlignment="1" applyProtection="1">
      <alignment/>
      <protection/>
    </xf>
    <xf numFmtId="0" fontId="7" fillId="0" borderId="26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center"/>
      <protection locked="0"/>
    </xf>
    <xf numFmtId="165" fontId="7" fillId="0" borderId="19" xfId="0" applyNumberFormat="1" applyFont="1" applyBorder="1" applyAlignment="1" applyProtection="1" quotePrefix="1">
      <alignment horizontal="center"/>
      <protection locked="0"/>
    </xf>
    <xf numFmtId="2" fontId="7" fillId="0" borderId="19" xfId="0" applyNumberFormat="1" applyFont="1" applyBorder="1" applyAlignment="1" applyProtection="1" quotePrefix="1">
      <alignment horizontal="center"/>
      <protection locked="0"/>
    </xf>
    <xf numFmtId="0" fontId="7" fillId="0" borderId="14" xfId="0" applyFont="1" applyFill="1" applyBorder="1" applyAlignment="1" applyProtection="1">
      <alignment/>
      <protection locked="0"/>
    </xf>
    <xf numFmtId="22" fontId="7" fillId="0" borderId="13" xfId="0" applyNumberFormat="1" applyFont="1" applyFill="1" applyBorder="1" applyAlignment="1" applyProtection="1">
      <alignment horizontal="center"/>
      <protection locked="0"/>
    </xf>
    <xf numFmtId="167" fontId="7" fillId="0" borderId="13" xfId="0" applyNumberFormat="1" applyFont="1" applyFill="1" applyBorder="1" applyAlignment="1" applyProtection="1">
      <alignment horizontal="center"/>
      <protection locked="0"/>
    </xf>
    <xf numFmtId="0" fontId="51" fillId="39" borderId="14" xfId="0" applyFont="1" applyFill="1" applyBorder="1" applyAlignment="1" applyProtection="1">
      <alignment/>
      <protection locked="0"/>
    </xf>
    <xf numFmtId="0" fontId="56" fillId="38" borderId="14" xfId="0" applyFont="1" applyFill="1" applyBorder="1" applyAlignment="1" applyProtection="1">
      <alignment/>
      <protection locked="0"/>
    </xf>
    <xf numFmtId="0" fontId="56" fillId="40" borderId="14" xfId="0" applyFont="1" applyFill="1" applyBorder="1" applyAlignment="1" applyProtection="1">
      <alignment/>
      <protection locked="0"/>
    </xf>
    <xf numFmtId="0" fontId="51" fillId="41" borderId="40" xfId="0" applyFont="1" applyFill="1" applyBorder="1" applyAlignment="1" applyProtection="1">
      <alignment/>
      <protection locked="0"/>
    </xf>
    <xf numFmtId="0" fontId="51" fillId="41" borderId="41" xfId="0" applyFont="1" applyFill="1" applyBorder="1" applyAlignment="1" applyProtection="1">
      <alignment/>
      <protection locked="0"/>
    </xf>
    <xf numFmtId="0" fontId="51" fillId="34" borderId="40" xfId="0" applyFont="1" applyFill="1" applyBorder="1" applyAlignment="1" applyProtection="1">
      <alignment/>
      <protection locked="0"/>
    </xf>
    <xf numFmtId="0" fontId="51" fillId="34" borderId="41" xfId="0" applyFont="1" applyFill="1" applyBorder="1" applyAlignment="1" applyProtection="1">
      <alignment/>
      <protection locked="0"/>
    </xf>
    <xf numFmtId="0" fontId="49" fillId="36" borderId="14" xfId="0" applyFont="1" applyFill="1" applyBorder="1" applyAlignment="1" applyProtection="1">
      <alignment/>
      <protection locked="0"/>
    </xf>
    <xf numFmtId="0" fontId="56" fillId="37" borderId="14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 horizontal="center"/>
      <protection locked="0"/>
    </xf>
    <xf numFmtId="0" fontId="13" fillId="0" borderId="15" xfId="0" applyFont="1" applyFill="1" applyBorder="1" applyAlignment="1" applyProtection="1">
      <alignment horizontal="center"/>
      <protection locked="0"/>
    </xf>
    <xf numFmtId="170" fontId="7" fillId="0" borderId="13" xfId="0" applyNumberFormat="1" applyFont="1" applyFill="1" applyBorder="1" applyAlignment="1" applyProtection="1">
      <alignment horizontal="center"/>
      <protection locked="0"/>
    </xf>
    <xf numFmtId="22" fontId="7" fillId="0" borderId="19" xfId="0" applyNumberFormat="1" applyFont="1" applyFill="1" applyBorder="1" applyAlignment="1" applyProtection="1">
      <alignment horizontal="center"/>
      <protection locked="0"/>
    </xf>
    <xf numFmtId="22" fontId="7" fillId="0" borderId="20" xfId="0" applyNumberFormat="1" applyFont="1" applyFill="1" applyBorder="1" applyAlignment="1" applyProtection="1">
      <alignment horizontal="center"/>
      <protection locked="0"/>
    </xf>
    <xf numFmtId="167" fontId="7" fillId="0" borderId="17" xfId="0" applyNumberFormat="1" applyFont="1" applyFill="1" applyBorder="1" applyAlignment="1" applyProtection="1">
      <alignment horizontal="center"/>
      <protection locked="0"/>
    </xf>
    <xf numFmtId="0" fontId="51" fillId="37" borderId="14" xfId="0" applyFont="1" applyFill="1" applyBorder="1" applyAlignment="1" applyProtection="1">
      <alignment/>
      <protection locked="0"/>
    </xf>
    <xf numFmtId="0" fontId="56" fillId="36" borderId="14" xfId="0" applyFont="1" applyFill="1" applyBorder="1" applyAlignment="1" applyProtection="1">
      <alignment/>
      <protection locked="0"/>
    </xf>
    <xf numFmtId="170" fontId="9" fillId="0" borderId="13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65" fillId="0" borderId="0" xfId="0" applyNumberFormat="1" applyFont="1" applyBorder="1" applyAlignment="1">
      <alignment horizontal="left"/>
    </xf>
    <xf numFmtId="167" fontId="11" fillId="0" borderId="50" xfId="0" applyNumberFormat="1" applyFont="1" applyBorder="1" applyAlignment="1" applyProtection="1">
      <alignment horizontal="center"/>
      <protection/>
    </xf>
    <xf numFmtId="167" fontId="63" fillId="0" borderId="0" xfId="0" applyNumberFormat="1" applyFont="1" applyBorder="1" applyAlignment="1" applyProtection="1" quotePrefix="1">
      <alignment horizontal="left"/>
      <protection/>
    </xf>
    <xf numFmtId="167" fontId="63" fillId="0" borderId="53" xfId="0" applyNumberFormat="1" applyFont="1" applyBorder="1" applyAlignment="1" applyProtection="1" quotePrefix="1">
      <alignment horizontal="left"/>
      <protection/>
    </xf>
    <xf numFmtId="167" fontId="63" fillId="0" borderId="48" xfId="0" applyNumberFormat="1" applyFont="1" applyBorder="1" applyAlignment="1" applyProtection="1" quotePrefix="1">
      <alignment horizontal="left"/>
      <protection/>
    </xf>
    <xf numFmtId="167" fontId="11" fillId="0" borderId="50" xfId="0" applyNumberFormat="1" applyFont="1" applyBorder="1" applyAlignment="1" applyProtection="1">
      <alignment horizontal="left"/>
      <protection/>
    </xf>
    <xf numFmtId="172" fontId="11" fillId="0" borderId="50" xfId="0" applyNumberFormat="1" applyFont="1" applyBorder="1" applyAlignment="1" applyProtection="1">
      <alignment horizontal="right"/>
      <protection/>
    </xf>
    <xf numFmtId="172" fontId="11" fillId="0" borderId="51" xfId="0" applyNumberFormat="1" applyFont="1" applyBorder="1" applyAlignment="1" applyProtection="1">
      <alignment horizontal="right"/>
      <protection/>
    </xf>
    <xf numFmtId="7" fontId="30" fillId="0" borderId="52" xfId="0" applyNumberFormat="1" applyFont="1" applyBorder="1" applyAlignment="1">
      <alignment horizontal="left"/>
    </xf>
    <xf numFmtId="0" fontId="30" fillId="0" borderId="53" xfId="0" applyFont="1" applyBorder="1" applyAlignment="1" applyProtection="1">
      <alignment horizontal="centerContinuous"/>
      <protection/>
    </xf>
    <xf numFmtId="167" fontId="30" fillId="0" borderId="53" xfId="0" applyNumberFormat="1" applyFont="1" applyBorder="1" applyAlignment="1" applyProtection="1">
      <alignment horizontal="left"/>
      <protection/>
    </xf>
    <xf numFmtId="7" fontId="30" fillId="0" borderId="59" xfId="0" applyNumberFormat="1" applyFont="1" applyBorder="1" applyAlignment="1">
      <alignment horizontal="left"/>
    </xf>
    <xf numFmtId="0" fontId="30" fillId="0" borderId="0" xfId="0" applyFont="1" applyBorder="1" applyAlignment="1" applyProtection="1">
      <alignment horizontal="centerContinuous"/>
      <protection/>
    </xf>
    <xf numFmtId="167" fontId="30" fillId="0" borderId="0" xfId="0" applyNumberFormat="1" applyFont="1" applyBorder="1" applyAlignment="1" applyProtection="1">
      <alignment horizontal="left"/>
      <protection/>
    </xf>
    <xf numFmtId="7" fontId="30" fillId="0" borderId="55" xfId="0" applyNumberFormat="1" applyFont="1" applyBorder="1" applyAlignment="1">
      <alignment horizontal="left"/>
    </xf>
    <xf numFmtId="0" fontId="30" fillId="0" borderId="48" xfId="0" applyFont="1" applyBorder="1" applyAlignment="1" applyProtection="1">
      <alignment horizontal="centerContinuous"/>
      <protection/>
    </xf>
    <xf numFmtId="167" fontId="30" fillId="0" borderId="48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 vertical="center"/>
      <protection/>
    </xf>
    <xf numFmtId="171" fontId="0" fillId="0" borderId="0" xfId="0" applyNumberFormat="1" applyFont="1" applyBorder="1" applyAlignment="1">
      <alignment horizontal="centerContinuous" vertical="center"/>
    </xf>
    <xf numFmtId="166" fontId="0" fillId="0" borderId="0" xfId="0" applyNumberFormat="1" applyFont="1" applyBorder="1" applyAlignment="1">
      <alignment horizontal="centerContinuous"/>
    </xf>
    <xf numFmtId="169" fontId="25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7" fillId="0" borderId="19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>
      <alignment horizontal="centerContinuous"/>
    </xf>
    <xf numFmtId="0" fontId="7" fillId="0" borderId="19" xfId="0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29" fillId="0" borderId="0" xfId="0" applyFont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left"/>
      <protection/>
    </xf>
    <xf numFmtId="8" fontId="11" fillId="0" borderId="29" xfId="51" applyNumberFormat="1" applyFont="1" applyBorder="1" applyAlignment="1">
      <alignment horizontal="right"/>
    </xf>
    <xf numFmtId="167" fontId="7" fillId="0" borderId="13" xfId="0" applyNumberFormat="1" applyFont="1" applyBorder="1" applyAlignment="1" applyProtection="1" quotePrefix="1">
      <alignment horizontal="center"/>
      <protection/>
    </xf>
    <xf numFmtId="2" fontId="51" fillId="34" borderId="13" xfId="0" applyNumberFormat="1" applyFont="1" applyFill="1" applyBorder="1" applyAlignment="1" applyProtection="1">
      <alignment horizontal="center"/>
      <protection/>
    </xf>
    <xf numFmtId="2" fontId="51" fillId="35" borderId="13" xfId="0" applyNumberFormat="1" applyFont="1" applyFill="1" applyBorder="1" applyAlignment="1" applyProtection="1">
      <alignment horizontal="center"/>
      <protection/>
    </xf>
    <xf numFmtId="167" fontId="56" fillId="36" borderId="38" xfId="0" applyNumberFormat="1" applyFont="1" applyFill="1" applyBorder="1" applyAlignment="1" applyProtection="1" quotePrefix="1">
      <alignment horizontal="center"/>
      <protection/>
    </xf>
    <xf numFmtId="167" fontId="56" fillId="36" borderId="39" xfId="0" applyNumberFormat="1" applyFont="1" applyFill="1" applyBorder="1" applyAlignment="1" applyProtection="1" quotePrefix="1">
      <alignment horizontal="center"/>
      <protection/>
    </xf>
    <xf numFmtId="4" fontId="56" fillId="36" borderId="17" xfId="0" applyNumberFormat="1" applyFont="1" applyFill="1" applyBorder="1" applyAlignment="1" applyProtection="1">
      <alignment horizontal="center"/>
      <protection/>
    </xf>
    <xf numFmtId="167" fontId="56" fillId="37" borderId="38" xfId="0" applyNumberFormat="1" applyFont="1" applyFill="1" applyBorder="1" applyAlignment="1" applyProtection="1" quotePrefix="1">
      <alignment horizontal="center"/>
      <protection/>
    </xf>
    <xf numFmtId="167" fontId="56" fillId="37" borderId="39" xfId="0" applyNumberFormat="1" applyFont="1" applyFill="1" applyBorder="1" applyAlignment="1" applyProtection="1" quotePrefix="1">
      <alignment horizontal="center"/>
      <protection/>
    </xf>
    <xf numFmtId="4" fontId="56" fillId="37" borderId="17" xfId="0" applyNumberFormat="1" applyFont="1" applyFill="1" applyBorder="1" applyAlignment="1" applyProtection="1">
      <alignment horizontal="center"/>
      <protection/>
    </xf>
    <xf numFmtId="4" fontId="56" fillId="38" borderId="13" xfId="0" applyNumberFormat="1" applyFont="1" applyFill="1" applyBorder="1" applyAlignment="1" applyProtection="1">
      <alignment horizontal="center"/>
      <protection/>
    </xf>
    <xf numFmtId="4" fontId="51" fillId="39" borderId="13" xfId="0" applyNumberFormat="1" applyFont="1" applyFill="1" applyBorder="1" applyAlignment="1" applyProtection="1">
      <alignment horizontal="center"/>
      <protection/>
    </xf>
    <xf numFmtId="4" fontId="7" fillId="0" borderId="13" xfId="0" applyNumberFormat="1" applyFont="1" applyBorder="1" applyAlignment="1" applyProtection="1">
      <alignment horizontal="center"/>
      <protection/>
    </xf>
    <xf numFmtId="167" fontId="7" fillId="0" borderId="13" xfId="0" applyNumberFormat="1" applyFont="1" applyFill="1" applyBorder="1" applyAlignment="1" applyProtection="1" quotePrefix="1">
      <alignment horizontal="center"/>
      <protection/>
    </xf>
    <xf numFmtId="2" fontId="56" fillId="38" borderId="13" xfId="0" applyNumberFormat="1" applyFont="1" applyFill="1" applyBorder="1" applyAlignment="1" applyProtection="1">
      <alignment horizontal="center"/>
      <protection/>
    </xf>
    <xf numFmtId="2" fontId="56" fillId="40" borderId="13" xfId="0" applyNumberFormat="1" applyFont="1" applyFill="1" applyBorder="1" applyAlignment="1" applyProtection="1">
      <alignment horizontal="center"/>
      <protection/>
    </xf>
    <xf numFmtId="2" fontId="56" fillId="36" borderId="13" xfId="0" applyNumberFormat="1" applyFont="1" applyFill="1" applyBorder="1" applyAlignment="1" applyProtection="1">
      <alignment horizontal="center"/>
      <protection/>
    </xf>
    <xf numFmtId="167" fontId="7" fillId="0" borderId="13" xfId="0" applyNumberFormat="1" applyFont="1" applyBorder="1" applyAlignment="1" applyProtection="1">
      <alignment horizontal="center"/>
      <protection/>
    </xf>
    <xf numFmtId="0" fontId="54" fillId="0" borderId="0" xfId="0" applyFont="1" applyBorder="1" applyAlignment="1">
      <alignment/>
    </xf>
    <xf numFmtId="0" fontId="54" fillId="0" borderId="11" xfId="0" applyFont="1" applyBorder="1" applyAlignment="1">
      <alignment/>
    </xf>
    <xf numFmtId="0" fontId="54" fillId="0" borderId="68" xfId="0" applyFont="1" applyBorder="1" applyAlignment="1">
      <alignment/>
    </xf>
    <xf numFmtId="0" fontId="54" fillId="0" borderId="12" xfId="0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Fill="1" applyAlignment="1" applyProtection="1">
      <alignment/>
      <protection/>
    </xf>
    <xf numFmtId="0" fontId="54" fillId="0" borderId="11" xfId="0" applyFont="1" applyFill="1" applyBorder="1" applyAlignment="1" applyProtection="1">
      <alignment/>
      <protection/>
    </xf>
    <xf numFmtId="0" fontId="54" fillId="0" borderId="68" xfId="0" applyFont="1" applyFill="1" applyBorder="1" applyAlignment="1" applyProtection="1">
      <alignment/>
      <protection/>
    </xf>
    <xf numFmtId="0" fontId="54" fillId="0" borderId="12" xfId="0" applyFont="1" applyFill="1" applyBorder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4" fillId="0" borderId="0" xfId="0" applyFont="1" applyFill="1" applyAlignment="1">
      <alignment/>
    </xf>
    <xf numFmtId="0" fontId="54" fillId="0" borderId="11" xfId="0" applyFont="1" applyFill="1" applyBorder="1" applyAlignment="1">
      <alignment/>
    </xf>
    <xf numFmtId="0" fontId="54" fillId="0" borderId="68" xfId="0" applyFont="1" applyFill="1" applyBorder="1" applyAlignment="1">
      <alignment/>
    </xf>
    <xf numFmtId="0" fontId="54" fillId="0" borderId="12" xfId="0" applyFont="1" applyFill="1" applyBorder="1" applyAlignment="1">
      <alignment/>
    </xf>
    <xf numFmtId="165" fontId="7" fillId="0" borderId="19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/>
      <protection/>
    </xf>
    <xf numFmtId="0" fontId="70" fillId="0" borderId="0" xfId="0" applyFont="1" applyBorder="1" applyAlignment="1">
      <alignment horizontal="left"/>
    </xf>
    <xf numFmtId="0" fontId="70" fillId="0" borderId="0" xfId="0" applyFont="1" applyBorder="1" applyAlignment="1" applyProtection="1">
      <alignment horizontal="left"/>
      <protection/>
    </xf>
    <xf numFmtId="0" fontId="72" fillId="0" borderId="0" xfId="0" applyFont="1" applyAlignment="1">
      <alignment horizontal="centerContinuous"/>
    </xf>
    <xf numFmtId="0" fontId="33" fillId="0" borderId="0" xfId="0" applyFont="1" applyAlignment="1">
      <alignment horizontal="centerContinuous"/>
    </xf>
    <xf numFmtId="169" fontId="0" fillId="0" borderId="34" xfId="0" applyNumberFormat="1" applyFont="1" applyBorder="1" applyAlignment="1" applyProtection="1">
      <alignment horizontal="center"/>
      <protection/>
    </xf>
    <xf numFmtId="0" fontId="0" fillId="0" borderId="69" xfId="0" applyFont="1" applyBorder="1" applyAlignment="1" applyProtection="1">
      <alignment horizontal="left"/>
      <protection/>
    </xf>
    <xf numFmtId="0" fontId="0" fillId="0" borderId="70" xfId="0" applyFont="1" applyBorder="1" applyAlignment="1">
      <alignment/>
    </xf>
    <xf numFmtId="0" fontId="0" fillId="0" borderId="71" xfId="0" applyFont="1" applyBorder="1" applyAlignment="1">
      <alignment horizontal="left"/>
    </xf>
    <xf numFmtId="7" fontId="8" fillId="0" borderId="72" xfId="0" applyNumberFormat="1" applyFont="1" applyBorder="1" applyAlignment="1">
      <alignment horizontal="right"/>
    </xf>
    <xf numFmtId="7" fontId="8" fillId="0" borderId="34" xfId="0" applyNumberFormat="1" applyFont="1" applyBorder="1" applyAlignment="1">
      <alignment horizontal="right"/>
    </xf>
    <xf numFmtId="173" fontId="10" fillId="0" borderId="73" xfId="51" applyNumberFormat="1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171" fontId="0" fillId="0" borderId="31" xfId="0" applyNumberFormat="1" applyFont="1" applyBorder="1" applyAlignment="1">
      <alignment horizontal="center" vertical="center"/>
    </xf>
    <xf numFmtId="171" fontId="0" fillId="0" borderId="32" xfId="0" applyNumberFormat="1" applyFont="1" applyBorder="1" applyAlignment="1">
      <alignment horizontal="center" vertical="center"/>
    </xf>
    <xf numFmtId="169" fontId="0" fillId="0" borderId="75" xfId="0" applyNumberFormat="1" applyFont="1" applyBorder="1" applyAlignment="1" applyProtection="1">
      <alignment horizontal="center"/>
      <protection/>
    </xf>
    <xf numFmtId="169" fontId="0" fillId="0" borderId="76" xfId="0" applyNumberFormat="1" applyFont="1" applyBorder="1" applyAlignment="1" applyProtection="1">
      <alignment horizontal="center"/>
      <protection/>
    </xf>
    <xf numFmtId="169" fontId="25" fillId="0" borderId="49" xfId="0" applyNumberFormat="1" applyFont="1" applyBorder="1" applyAlignment="1">
      <alignment horizontal="center"/>
    </xf>
    <xf numFmtId="169" fontId="25" fillId="0" borderId="77" xfId="0" applyNumberFormat="1" applyFont="1" applyBorder="1" applyAlignment="1">
      <alignment horizontal="center"/>
    </xf>
    <xf numFmtId="169" fontId="25" fillId="0" borderId="78" xfId="0" applyNumberFormat="1" applyFont="1" applyBorder="1" applyAlignment="1">
      <alignment horizontal="center"/>
    </xf>
    <xf numFmtId="169" fontId="25" fillId="0" borderId="79" xfId="0" applyNumberFormat="1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790825"/>
          <a:ext cx="29432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742950</xdr:colOff>
      <xdr:row>0</xdr:row>
      <xdr:rowOff>0</xdr:rowOff>
    </xdr:from>
    <xdr:to>
      <xdr:col>1</xdr:col>
      <xdr:colOff>428625</xdr:colOff>
      <xdr:row>2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0"/>
          <a:ext cx="6096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790825"/>
          <a:ext cx="29432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809625</xdr:colOff>
      <xdr:row>0</xdr:row>
      <xdr:rowOff>0</xdr:rowOff>
    </xdr:from>
    <xdr:to>
      <xdr:col>1</xdr:col>
      <xdr:colOff>485775</xdr:colOff>
      <xdr:row>2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0"/>
          <a:ext cx="6000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161925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9525"/>
          <a:ext cx="5905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180975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9600" cy="809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257175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9525"/>
          <a:ext cx="58102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257175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9525"/>
          <a:ext cx="58102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247650</xdr:colOff>
      <xdr:row>2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19125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tabSelected="1" zoomScale="70" zoomScaleNormal="70" zoomScalePageLayoutView="0" workbookViewId="0" topLeftCell="A1">
      <selection activeCell="B3" sqref="B3"/>
    </sheetView>
  </sheetViews>
  <sheetFormatPr defaultColWidth="11.421875" defaultRowHeight="12.75"/>
  <cols>
    <col min="1" max="1" width="25.7109375" style="10" customWidth="1"/>
    <col min="2" max="2" width="7.7109375" style="10" customWidth="1"/>
    <col min="3" max="3" width="9.8515625" style="10" customWidth="1"/>
    <col min="4" max="4" width="10.7109375" style="10" customWidth="1"/>
    <col min="5" max="5" width="10.57421875" style="10" customWidth="1"/>
    <col min="6" max="6" width="15.7109375" style="10" customWidth="1"/>
    <col min="7" max="7" width="24.28125" style="10" customWidth="1"/>
    <col min="8" max="8" width="11.00390625" style="10" customWidth="1"/>
    <col min="9" max="11" width="15.7109375" style="10" customWidth="1"/>
    <col min="12" max="12" width="15.00390625" style="10" customWidth="1"/>
    <col min="13" max="13" width="15.7109375" style="10" customWidth="1"/>
    <col min="14" max="15" width="11.421875" style="10" customWidth="1"/>
    <col min="16" max="16" width="14.140625" style="10" customWidth="1"/>
    <col min="17" max="17" width="11.421875" style="10" customWidth="1"/>
    <col min="18" max="18" width="14.7109375" style="10" customWidth="1"/>
    <col min="19" max="19" width="11.421875" style="10" customWidth="1"/>
    <col min="20" max="20" width="12.00390625" style="10" customWidth="1"/>
    <col min="21" max="16384" width="11.421875" style="10" customWidth="1"/>
  </cols>
  <sheetData>
    <row r="1" spans="2:13" s="109" customFormat="1" ht="26.25">
      <c r="B1" s="110"/>
      <c r="M1" s="412"/>
    </row>
    <row r="2" spans="2:12" s="109" customFormat="1" ht="26.25">
      <c r="B2" s="110" t="s">
        <v>193</v>
      </c>
      <c r="C2" s="722"/>
      <c r="D2" s="111"/>
      <c r="E2" s="111"/>
      <c r="F2" s="111"/>
      <c r="G2" s="111"/>
      <c r="H2" s="111"/>
      <c r="I2" s="111"/>
      <c r="J2" s="111"/>
      <c r="K2" s="111"/>
      <c r="L2" s="111"/>
    </row>
    <row r="3" spans="3:21" ht="12.75">
      <c r="C3"/>
      <c r="D3" s="39"/>
      <c r="E3" s="39"/>
      <c r="F3" s="39"/>
      <c r="G3" s="39"/>
      <c r="H3" s="39"/>
      <c r="I3" s="39"/>
      <c r="J3" s="39"/>
      <c r="K3" s="39"/>
      <c r="L3" s="39"/>
      <c r="R3" s="8"/>
      <c r="S3" s="8"/>
      <c r="T3" s="8"/>
      <c r="U3" s="8"/>
    </row>
    <row r="4" spans="1:21" s="112" customFormat="1" ht="11.25">
      <c r="A4" s="127" t="s">
        <v>16</v>
      </c>
      <c r="B4" s="128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</row>
    <row r="5" spans="1:21" s="112" customFormat="1" ht="11.25">
      <c r="A5" s="127" t="s">
        <v>17</v>
      </c>
      <c r="B5" s="128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</row>
    <row r="6" spans="2:21" s="109" customFormat="1" ht="26.25">
      <c r="B6" s="130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</row>
    <row r="7" spans="2:21" s="114" customFormat="1" ht="21">
      <c r="B7" s="166" t="s">
        <v>0</v>
      </c>
      <c r="C7" s="723"/>
      <c r="D7" s="132"/>
      <c r="E7" s="132"/>
      <c r="F7" s="133"/>
      <c r="G7" s="133"/>
      <c r="H7" s="133"/>
      <c r="I7" s="133"/>
      <c r="J7" s="133"/>
      <c r="K7" s="133"/>
      <c r="L7" s="133"/>
      <c r="M7" s="45"/>
      <c r="N7" s="45"/>
      <c r="O7" s="45"/>
      <c r="P7" s="45"/>
      <c r="Q7" s="45"/>
      <c r="R7" s="45"/>
      <c r="S7" s="45"/>
      <c r="T7" s="45"/>
      <c r="U7" s="45"/>
    </row>
    <row r="8" spans="9:21" ht="12.75"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2:21" s="114" customFormat="1" ht="21">
      <c r="B9" s="166" t="s">
        <v>1</v>
      </c>
      <c r="C9" s="723"/>
      <c r="D9" s="132"/>
      <c r="E9" s="132"/>
      <c r="F9" s="132"/>
      <c r="G9" s="132"/>
      <c r="H9" s="132"/>
      <c r="I9" s="133"/>
      <c r="J9" s="133"/>
      <c r="K9" s="133"/>
      <c r="L9" s="133"/>
      <c r="M9" s="45"/>
      <c r="N9" s="45"/>
      <c r="O9" s="45"/>
      <c r="P9" s="45"/>
      <c r="Q9" s="45"/>
      <c r="R9" s="45"/>
      <c r="S9" s="45"/>
      <c r="T9" s="45"/>
      <c r="U9" s="45"/>
    </row>
    <row r="10" spans="4:21" ht="12.75">
      <c r="D10" s="134"/>
      <c r="E10" s="13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2:21" s="114" customFormat="1" ht="20.25">
      <c r="B11" s="166" t="s">
        <v>187</v>
      </c>
      <c r="C11" s="85"/>
      <c r="D11" s="40"/>
      <c r="E11" s="40"/>
      <c r="F11" s="132"/>
      <c r="G11" s="132"/>
      <c r="H11" s="132"/>
      <c r="I11" s="133"/>
      <c r="J11" s="133"/>
      <c r="K11" s="133"/>
      <c r="L11" s="133"/>
      <c r="M11" s="45"/>
      <c r="N11" s="45"/>
      <c r="O11" s="45"/>
      <c r="P11" s="45"/>
      <c r="Q11" s="45"/>
      <c r="R11" s="45"/>
      <c r="S11" s="45"/>
      <c r="T11" s="45"/>
      <c r="U11" s="45"/>
    </row>
    <row r="12" spans="4:21" s="135" customFormat="1" ht="16.5" thickBot="1">
      <c r="D12" s="7"/>
      <c r="E12" s="7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</row>
    <row r="13" spans="2:21" s="135" customFormat="1" ht="16.5" thickTop="1">
      <c r="B13" s="385">
        <v>1</v>
      </c>
      <c r="C13" s="408"/>
      <c r="D13" s="137"/>
      <c r="E13" s="137"/>
      <c r="F13" s="137"/>
      <c r="G13" s="137"/>
      <c r="H13" s="137"/>
      <c r="I13" s="137"/>
      <c r="J13" s="137"/>
      <c r="K13" s="137"/>
      <c r="L13" s="138"/>
      <c r="M13" s="136"/>
      <c r="N13" s="136"/>
      <c r="O13" s="136"/>
      <c r="P13" s="136"/>
      <c r="Q13" s="136"/>
      <c r="R13" s="136"/>
      <c r="S13" s="136"/>
      <c r="T13" s="136"/>
      <c r="U13" s="136"/>
    </row>
    <row r="14" spans="2:21" s="121" customFormat="1" ht="19.5">
      <c r="B14" s="235" t="s">
        <v>150</v>
      </c>
      <c r="C14" s="139"/>
      <c r="D14" s="140"/>
      <c r="E14" s="141"/>
      <c r="F14" s="141"/>
      <c r="G14" s="141"/>
      <c r="H14" s="141"/>
      <c r="I14" s="117"/>
      <c r="J14" s="117"/>
      <c r="K14" s="117"/>
      <c r="L14" s="120"/>
      <c r="M14" s="47"/>
      <c r="N14" s="47"/>
      <c r="O14" s="47"/>
      <c r="P14" s="47"/>
      <c r="Q14" s="47"/>
      <c r="R14" s="47"/>
      <c r="S14" s="47"/>
      <c r="T14" s="47"/>
      <c r="U14" s="47"/>
    </row>
    <row r="15" spans="2:21" s="121" customFormat="1" ht="9" customHeight="1">
      <c r="B15" s="142"/>
      <c r="C15" s="143"/>
      <c r="D15" s="143"/>
      <c r="E15" s="47"/>
      <c r="F15" s="144"/>
      <c r="G15" s="144"/>
      <c r="H15" s="144"/>
      <c r="I15" s="47"/>
      <c r="J15" s="47"/>
      <c r="K15" s="47"/>
      <c r="L15" s="145"/>
      <c r="M15" s="47"/>
      <c r="N15" s="47"/>
      <c r="O15" s="47"/>
      <c r="P15" s="47"/>
      <c r="Q15" s="47"/>
      <c r="R15" s="47"/>
      <c r="S15" s="47"/>
      <c r="T15" s="47"/>
      <c r="U15" s="47"/>
    </row>
    <row r="16" spans="2:20" s="121" customFormat="1" ht="9" customHeight="1">
      <c r="B16" s="235">
        <f>IF(B13=2,"Sanciones duplicadas por tasa de falla &gt; 4 Sal. x año/100km.","")</f>
      </c>
      <c r="C16" s="238"/>
      <c r="D16" s="238"/>
      <c r="E16" s="117"/>
      <c r="F16" s="141"/>
      <c r="G16" s="141"/>
      <c r="H16" s="117"/>
      <c r="I16" s="85"/>
      <c r="J16" s="85"/>
      <c r="K16" s="85"/>
      <c r="L16" s="120"/>
      <c r="M16" s="47"/>
      <c r="N16" s="47"/>
      <c r="O16" s="47"/>
      <c r="P16" s="47"/>
      <c r="Q16" s="47"/>
      <c r="R16" s="47"/>
      <c r="S16" s="47"/>
      <c r="T16" s="47"/>
    </row>
    <row r="17" spans="2:20" s="121" customFormat="1" ht="22.5" customHeight="1">
      <c r="B17" s="142"/>
      <c r="C17" s="143"/>
      <c r="D17" s="143"/>
      <c r="E17" s="47"/>
      <c r="F17" s="144"/>
      <c r="G17" s="144"/>
      <c r="H17" s="47"/>
      <c r="I17" s="46" t="s">
        <v>189</v>
      </c>
      <c r="J17" s="46" t="s">
        <v>190</v>
      </c>
      <c r="K17" s="46" t="s">
        <v>191</v>
      </c>
      <c r="L17" s="145"/>
      <c r="M17" s="47"/>
      <c r="N17" s="47"/>
      <c r="O17" s="47"/>
      <c r="P17" s="47"/>
      <c r="Q17" s="47"/>
      <c r="R17" s="47"/>
      <c r="S17" s="47"/>
      <c r="T17" s="47"/>
    </row>
    <row r="18" spans="2:21" s="121" customFormat="1" ht="19.5">
      <c r="B18" s="142"/>
      <c r="C18" s="146" t="s">
        <v>18</v>
      </c>
      <c r="D18" s="147" t="s">
        <v>19</v>
      </c>
      <c r="E18" s="47"/>
      <c r="F18" s="144"/>
      <c r="G18" s="144"/>
      <c r="H18" s="144"/>
      <c r="I18" s="46"/>
      <c r="J18" s="46"/>
      <c r="K18" s="46"/>
      <c r="L18" s="145"/>
      <c r="M18" s="47"/>
      <c r="N18" s="47"/>
      <c r="O18" s="47"/>
      <c r="P18" s="47"/>
      <c r="Q18" s="47"/>
      <c r="R18" s="47"/>
      <c r="S18" s="47"/>
      <c r="T18" s="47"/>
      <c r="U18" s="47"/>
    </row>
    <row r="19" spans="2:21" s="121" customFormat="1" ht="19.5">
      <c r="B19" s="142"/>
      <c r="C19"/>
      <c r="D19" s="146" t="s">
        <v>20</v>
      </c>
      <c r="E19" s="147" t="s">
        <v>21</v>
      </c>
      <c r="F19" s="144"/>
      <c r="G19" s="144"/>
      <c r="H19" s="144"/>
      <c r="I19" s="46">
        <f>'LI-02 (1)'!AA43</f>
        <v>1001.51</v>
      </c>
      <c r="J19" s="46">
        <v>1468.58</v>
      </c>
      <c r="K19" s="46">
        <f>+I19-J19</f>
        <v>-467.06999999999994</v>
      </c>
      <c r="L19" s="145"/>
      <c r="M19" s="47"/>
      <c r="N19" s="47"/>
      <c r="O19" s="47"/>
      <c r="P19" s="47"/>
      <c r="Q19" s="47"/>
      <c r="R19" s="47"/>
      <c r="S19" s="47"/>
      <c r="T19" s="47"/>
      <c r="U19" s="47"/>
    </row>
    <row r="20" spans="2:21" s="121" customFormat="1" ht="19.5">
      <c r="B20" s="142"/>
      <c r="C20" s="146"/>
      <c r="D20" s="146" t="s">
        <v>22</v>
      </c>
      <c r="E20" s="147" t="s">
        <v>23</v>
      </c>
      <c r="F20" s="144"/>
      <c r="G20" s="144"/>
      <c r="H20" s="144"/>
      <c r="I20" s="46">
        <f>'LI-EDERSA-02 (1)'!AA43</f>
        <v>20932.83</v>
      </c>
      <c r="J20" s="46">
        <v>83427.19</v>
      </c>
      <c r="K20" s="46">
        <f>+I20-J20</f>
        <v>-62494.36</v>
      </c>
      <c r="L20" s="145"/>
      <c r="M20" s="47"/>
      <c r="N20" s="47"/>
      <c r="O20" s="47"/>
      <c r="P20" s="47"/>
      <c r="Q20" s="47"/>
      <c r="R20" s="47"/>
      <c r="S20" s="47"/>
      <c r="T20" s="47"/>
      <c r="U20" s="47"/>
    </row>
    <row r="21" spans="2:21" s="121" customFormat="1" ht="19.5">
      <c r="B21" s="142"/>
      <c r="C21" s="146"/>
      <c r="D21" s="143" t="s">
        <v>24</v>
      </c>
      <c r="E21" s="147" t="s">
        <v>137</v>
      </c>
      <c r="F21" s="144"/>
      <c r="G21" s="144"/>
      <c r="H21" s="144"/>
      <c r="I21" s="46">
        <f>'LI-TRANSACUE-02 (1)'!AA43</f>
        <v>14.72</v>
      </c>
      <c r="J21" s="46">
        <v>58.68</v>
      </c>
      <c r="K21" s="46">
        <f>+I21-J21</f>
        <v>-43.96</v>
      </c>
      <c r="L21" s="145"/>
      <c r="M21" s="47"/>
      <c r="N21" s="47"/>
      <c r="O21" s="47"/>
      <c r="P21" s="47"/>
      <c r="Q21" s="47"/>
      <c r="R21" s="47"/>
      <c r="S21" s="47"/>
      <c r="T21" s="47"/>
      <c r="U21" s="47"/>
    </row>
    <row r="22" spans="2:21" ht="18.75">
      <c r="B22" s="44"/>
      <c r="C22" s="148"/>
      <c r="D22" s="149"/>
      <c r="E22" s="8"/>
      <c r="F22" s="150"/>
      <c r="G22" s="150"/>
      <c r="H22" s="150"/>
      <c r="I22" s="151"/>
      <c r="J22" s="151"/>
      <c r="K22" s="46"/>
      <c r="L22" s="11"/>
      <c r="M22" s="8"/>
      <c r="N22" s="8"/>
      <c r="O22" s="8"/>
      <c r="P22" s="8"/>
      <c r="Q22" s="8"/>
      <c r="R22" s="8"/>
      <c r="S22" s="8"/>
      <c r="T22" s="8"/>
      <c r="U22" s="8"/>
    </row>
    <row r="23" spans="2:21" s="121" customFormat="1" ht="19.5">
      <c r="B23" s="142"/>
      <c r="C23" s="146" t="s">
        <v>25</v>
      </c>
      <c r="D23" s="147" t="s">
        <v>26</v>
      </c>
      <c r="E23" s="47"/>
      <c r="F23" s="144"/>
      <c r="G23" s="144"/>
      <c r="H23" s="144"/>
      <c r="I23" s="46"/>
      <c r="J23" s="46"/>
      <c r="K23" s="152"/>
      <c r="L23" s="145"/>
      <c r="M23" s="47"/>
      <c r="N23" s="47"/>
      <c r="O23" s="47"/>
      <c r="P23" s="47"/>
      <c r="Q23" s="47"/>
      <c r="R23" s="47"/>
      <c r="S23" s="47"/>
      <c r="T23" s="47"/>
      <c r="U23" s="47"/>
    </row>
    <row r="24" spans="2:21" ht="8.25" customHeight="1">
      <c r="B24" s="44"/>
      <c r="C24" s="148"/>
      <c r="D24" s="148"/>
      <c r="E24" s="8"/>
      <c r="F24" s="150"/>
      <c r="G24" s="150"/>
      <c r="H24" s="150"/>
      <c r="I24" s="152"/>
      <c r="J24" s="152"/>
      <c r="K24" s="46"/>
      <c r="L24" s="11"/>
      <c r="M24" s="8"/>
      <c r="N24" s="8"/>
      <c r="O24" s="8"/>
      <c r="P24" s="8"/>
      <c r="Q24" s="8"/>
      <c r="R24" s="8"/>
      <c r="S24" s="8"/>
      <c r="T24" s="8"/>
      <c r="U24" s="8"/>
    </row>
    <row r="25" spans="2:21" s="121" customFormat="1" ht="19.5">
      <c r="B25" s="142"/>
      <c r="C25" s="146"/>
      <c r="D25" s="146" t="s">
        <v>27</v>
      </c>
      <c r="E25" s="9" t="s">
        <v>28</v>
      </c>
      <c r="F25" s="144"/>
      <c r="G25" s="144"/>
      <c r="H25" s="144"/>
      <c r="I25" s="46"/>
      <c r="J25" s="46"/>
      <c r="K25" s="46"/>
      <c r="L25" s="145"/>
      <c r="M25" s="47"/>
      <c r="N25" s="47"/>
      <c r="O25" s="47"/>
      <c r="P25" s="47"/>
      <c r="Q25" s="47"/>
      <c r="R25" s="47"/>
      <c r="S25" s="47"/>
      <c r="T25" s="47"/>
      <c r="U25" s="47"/>
    </row>
    <row r="26" spans="2:21" s="121" customFormat="1" ht="19.5">
      <c r="B26" s="142"/>
      <c r="C26" s="146"/>
      <c r="D26" s="146"/>
      <c r="E26" s="146" t="s">
        <v>29</v>
      </c>
      <c r="F26" s="147" t="s">
        <v>21</v>
      </c>
      <c r="G26" s="144"/>
      <c r="H26" s="144"/>
      <c r="I26" s="46">
        <f>'TR-02 (1)'!AC45</f>
        <v>13.96</v>
      </c>
      <c r="J26" s="46">
        <v>20.62</v>
      </c>
      <c r="K26" s="46">
        <f>+I26-J26</f>
        <v>-6.66</v>
      </c>
      <c r="L26" s="145"/>
      <c r="M26" s="47"/>
      <c r="N26" s="47"/>
      <c r="O26" s="47"/>
      <c r="P26" s="47"/>
      <c r="Q26" s="47"/>
      <c r="R26" s="47"/>
      <c r="S26" s="47"/>
      <c r="T26" s="47"/>
      <c r="U26" s="47"/>
    </row>
    <row r="27" spans="2:21" s="121" customFormat="1" ht="19.5">
      <c r="B27" s="142"/>
      <c r="C27" s="146"/>
      <c r="D27" s="146"/>
      <c r="E27" s="146" t="s">
        <v>30</v>
      </c>
      <c r="F27" s="147" t="s">
        <v>23</v>
      </c>
      <c r="G27" s="144"/>
      <c r="H27" s="144"/>
      <c r="I27" s="46">
        <f>'TR-EDERSA-02 (1)'!AC45</f>
        <v>268.13</v>
      </c>
      <c r="J27" s="46">
        <v>1075.82</v>
      </c>
      <c r="K27" s="46">
        <f>+I27-J27</f>
        <v>-807.6899999999999</v>
      </c>
      <c r="L27" s="145"/>
      <c r="M27" s="47"/>
      <c r="N27" s="47"/>
      <c r="O27" s="47"/>
      <c r="P27" s="47"/>
      <c r="Q27" s="47"/>
      <c r="R27" s="47"/>
      <c r="S27" s="47"/>
      <c r="T27" s="47"/>
      <c r="U27" s="47"/>
    </row>
    <row r="28" spans="2:21" s="121" customFormat="1" ht="19.5">
      <c r="B28" s="142"/>
      <c r="C28" s="146"/>
      <c r="D28" s="146"/>
      <c r="E28" s="146" t="s">
        <v>31</v>
      </c>
      <c r="F28" s="147" t="s">
        <v>174</v>
      </c>
      <c r="G28" s="144"/>
      <c r="H28" s="144"/>
      <c r="I28" s="46">
        <f>'TR-TRANSACUE-02 (1)'!AC45</f>
        <v>6.01</v>
      </c>
      <c r="J28" s="46">
        <v>24.13</v>
      </c>
      <c r="K28" s="46">
        <f>+I28-J28</f>
        <v>-18.119999999999997</v>
      </c>
      <c r="L28" s="145"/>
      <c r="M28" s="47"/>
      <c r="N28" s="47"/>
      <c r="O28" s="47"/>
      <c r="P28" s="47"/>
      <c r="Q28" s="47"/>
      <c r="R28" s="47"/>
      <c r="S28" s="47"/>
      <c r="T28" s="47"/>
      <c r="U28" s="47"/>
    </row>
    <row r="29" spans="2:21" ht="18.75">
      <c r="B29" s="44"/>
      <c r="C29" s="148"/>
      <c r="D29" s="148"/>
      <c r="E29" s="8"/>
      <c r="F29" s="150"/>
      <c r="G29" s="150"/>
      <c r="H29" s="150"/>
      <c r="I29" s="152"/>
      <c r="J29" s="152"/>
      <c r="K29" s="46"/>
      <c r="L29" s="11"/>
      <c r="M29" s="8"/>
      <c r="N29" s="8"/>
      <c r="O29" s="8"/>
      <c r="P29" s="8"/>
      <c r="Q29" s="8"/>
      <c r="R29" s="8"/>
      <c r="S29" s="8"/>
      <c r="T29" s="8"/>
      <c r="U29" s="8"/>
    </row>
    <row r="30" spans="2:21" s="121" customFormat="1" ht="19.5">
      <c r="B30" s="142"/>
      <c r="C30" s="146"/>
      <c r="D30" s="146" t="s">
        <v>32</v>
      </c>
      <c r="E30" s="9" t="s">
        <v>33</v>
      </c>
      <c r="F30" s="144"/>
      <c r="G30" s="144"/>
      <c r="H30" s="144"/>
      <c r="I30" s="46"/>
      <c r="J30" s="46"/>
      <c r="K30" s="46"/>
      <c r="L30" s="145"/>
      <c r="M30" s="47"/>
      <c r="N30" s="47"/>
      <c r="O30" s="47"/>
      <c r="P30" s="47"/>
      <c r="Q30" s="47"/>
      <c r="R30" s="47"/>
      <c r="S30" s="47"/>
      <c r="T30" s="47"/>
      <c r="U30" s="47"/>
    </row>
    <row r="31" spans="2:21" s="121" customFormat="1" ht="19.5">
      <c r="B31" s="142"/>
      <c r="C31" s="146"/>
      <c r="D31" s="146"/>
      <c r="E31" s="146" t="s">
        <v>34</v>
      </c>
      <c r="F31" s="147" t="s">
        <v>21</v>
      </c>
      <c r="G31" s="144"/>
      <c r="H31" s="144"/>
      <c r="I31" s="46">
        <f>'SA-02 (1)'!V45</f>
        <v>72.56</v>
      </c>
      <c r="J31" s="46">
        <v>106.23</v>
      </c>
      <c r="K31" s="46">
        <f>+I31-J31</f>
        <v>-33.67</v>
      </c>
      <c r="L31" s="145"/>
      <c r="M31" s="47"/>
      <c r="N31" s="47"/>
      <c r="O31" s="47"/>
      <c r="P31" s="47"/>
      <c r="Q31" s="47"/>
      <c r="R31" s="47"/>
      <c r="S31" s="47"/>
      <c r="T31" s="47"/>
      <c r="U31" s="47"/>
    </row>
    <row r="32" spans="2:21" s="121" customFormat="1" ht="19.5">
      <c r="B32" s="142"/>
      <c r="C32" s="146"/>
      <c r="D32" s="146"/>
      <c r="E32" s="146" t="s">
        <v>35</v>
      </c>
      <c r="F32" s="147" t="s">
        <v>23</v>
      </c>
      <c r="G32" s="144"/>
      <c r="H32" s="144"/>
      <c r="I32" s="46">
        <f>'SA-EDERSA-02 (1)'!V45</f>
        <v>14.293875</v>
      </c>
      <c r="J32" s="46">
        <v>56.87587500000001</v>
      </c>
      <c r="K32" s="46">
        <f>+I32-J32</f>
        <v>-42.58200000000001</v>
      </c>
      <c r="L32" s="145"/>
      <c r="M32" s="47"/>
      <c r="N32" s="47"/>
      <c r="O32" s="47"/>
      <c r="P32" s="47"/>
      <c r="Q32" s="47"/>
      <c r="R32" s="47"/>
      <c r="S32" s="47"/>
      <c r="T32" s="47"/>
      <c r="U32" s="47"/>
    </row>
    <row r="33" spans="2:21" s="121" customFormat="1" ht="19.5">
      <c r="B33" s="142"/>
      <c r="C33" s="146"/>
      <c r="D33" s="146"/>
      <c r="E33" s="143" t="s">
        <v>36</v>
      </c>
      <c r="F33" s="147" t="s">
        <v>138</v>
      </c>
      <c r="G33" s="144"/>
      <c r="H33" s="144"/>
      <c r="I33" s="46">
        <f>'SA-TRANSACUE-02 (1)'!V45</f>
        <v>11.07015</v>
      </c>
      <c r="J33" s="46">
        <v>44.04855000000001</v>
      </c>
      <c r="K33" s="46">
        <f>+I33-J33</f>
        <v>-32.978400000000015</v>
      </c>
      <c r="L33" s="145"/>
      <c r="M33" s="47"/>
      <c r="N33" s="47"/>
      <c r="O33" s="47"/>
      <c r="P33" s="47"/>
      <c r="Q33" s="47"/>
      <c r="R33" s="47"/>
      <c r="S33" s="47"/>
      <c r="T33" s="47"/>
      <c r="U33" s="47"/>
    </row>
    <row r="34" spans="2:21" ht="18.75">
      <c r="B34" s="44"/>
      <c r="C34" s="148"/>
      <c r="D34" s="149"/>
      <c r="E34" s="8"/>
      <c r="F34" s="150"/>
      <c r="G34" s="150"/>
      <c r="H34" s="150"/>
      <c r="I34" s="151"/>
      <c r="J34" s="151"/>
      <c r="K34" s="46"/>
      <c r="L34" s="11"/>
      <c r="M34" s="8"/>
      <c r="N34" s="8"/>
      <c r="O34" s="8"/>
      <c r="P34" s="8"/>
      <c r="Q34" s="8"/>
      <c r="R34" s="8"/>
      <c r="S34" s="8"/>
      <c r="T34" s="8"/>
      <c r="U34" s="8"/>
    </row>
    <row r="35" spans="2:21" s="121" customFormat="1" ht="19.5">
      <c r="B35" s="142"/>
      <c r="C35" s="143" t="s">
        <v>37</v>
      </c>
      <c r="D35" s="9" t="s">
        <v>38</v>
      </c>
      <c r="E35" s="144"/>
      <c r="F35"/>
      <c r="G35" s="144"/>
      <c r="H35" s="144"/>
      <c r="I35" s="46"/>
      <c r="J35" s="46"/>
      <c r="K35" s="46"/>
      <c r="L35" s="145"/>
      <c r="M35" s="47"/>
      <c r="N35" s="47"/>
      <c r="O35" s="47"/>
      <c r="P35" s="47"/>
      <c r="Q35" s="47"/>
      <c r="R35" s="47"/>
      <c r="S35" s="47"/>
      <c r="T35" s="47"/>
      <c r="U35" s="47"/>
    </row>
    <row r="36" spans="2:21" s="121" customFormat="1" ht="19.5">
      <c r="B36" s="142"/>
      <c r="C36" s="146"/>
      <c r="D36" s="143" t="s">
        <v>175</v>
      </c>
      <c r="E36" s="147" t="s">
        <v>23</v>
      </c>
      <c r="F36"/>
      <c r="G36" s="144"/>
      <c r="H36" s="144"/>
      <c r="I36" s="46">
        <f>'SUP-EDERSA'!I57</f>
        <v>5304.250597763951</v>
      </c>
      <c r="J36" s="46">
        <v>21139.971468750005</v>
      </c>
      <c r="K36" s="46">
        <f>+I36-J36</f>
        <v>-15835.720870986053</v>
      </c>
      <c r="L36" s="145"/>
      <c r="M36" s="47"/>
      <c r="N36" s="47"/>
      <c r="O36" s="47"/>
      <c r="P36" s="47"/>
      <c r="Q36" s="47"/>
      <c r="R36" s="47"/>
      <c r="S36" s="47"/>
      <c r="T36" s="47"/>
      <c r="U36" s="47"/>
    </row>
    <row r="37" spans="2:21" s="121" customFormat="1" ht="19.5">
      <c r="B37" s="142"/>
      <c r="C37" s="146"/>
      <c r="D37" s="143" t="s">
        <v>176</v>
      </c>
      <c r="E37" s="147" t="s">
        <v>137</v>
      </c>
      <c r="F37"/>
      <c r="G37" s="144"/>
      <c r="H37" s="144"/>
      <c r="I37" s="46">
        <f>+'SUP-TRANSACUE'!I57</f>
        <v>7.951441637334536</v>
      </c>
      <c r="J37" s="46">
        <v>31.714637500000002</v>
      </c>
      <c r="K37" s="46">
        <f>+I37-J37</f>
        <v>-23.763195862665466</v>
      </c>
      <c r="L37" s="145"/>
      <c r="M37" s="47"/>
      <c r="N37" s="47"/>
      <c r="O37" s="47"/>
      <c r="P37" s="47"/>
      <c r="Q37" s="47"/>
      <c r="R37" s="47"/>
      <c r="S37" s="47"/>
      <c r="T37" s="47"/>
      <c r="U37" s="47"/>
    </row>
    <row r="38" spans="2:21" s="121" customFormat="1" ht="20.25" thickBot="1">
      <c r="B38" s="142"/>
      <c r="C38" s="143"/>
      <c r="D38" s="143"/>
      <c r="E38" s="47"/>
      <c r="F38" s="144"/>
      <c r="G38" s="144"/>
      <c r="H38" s="144"/>
      <c r="I38" s="47"/>
      <c r="J38" s="47"/>
      <c r="K38" s="47"/>
      <c r="L38" s="145"/>
      <c r="M38" s="47"/>
      <c r="N38" s="47"/>
      <c r="O38" s="47"/>
      <c r="P38" s="47"/>
      <c r="Q38" s="47"/>
      <c r="R38" s="47"/>
      <c r="S38" s="47"/>
      <c r="T38" s="47"/>
      <c r="U38" s="47"/>
    </row>
    <row r="39" spans="2:21" s="121" customFormat="1" ht="20.25" thickBot="1" thickTop="1">
      <c r="B39" s="142"/>
      <c r="C39" s="146"/>
      <c r="D39" s="146"/>
      <c r="F39" s="731" t="s">
        <v>39</v>
      </c>
      <c r="G39" s="732"/>
      <c r="H39" s="732"/>
      <c r="I39" s="728">
        <f>SUM(I19:I37)</f>
        <v>27647.286064401287</v>
      </c>
      <c r="J39" s="728">
        <f>SUM(J19:J37)</f>
        <v>107453.86053125001</v>
      </c>
      <c r="K39" s="729">
        <f>SUM(K19:K37)</f>
        <v>-79806.57446684872</v>
      </c>
      <c r="L39" s="145"/>
      <c r="M39" s="47"/>
      <c r="N39" s="47"/>
      <c r="O39" s="47"/>
      <c r="P39" s="47"/>
      <c r="Q39" s="47"/>
      <c r="R39" s="47"/>
      <c r="S39" s="47"/>
      <c r="T39" s="47"/>
      <c r="U39" s="47"/>
    </row>
    <row r="40" spans="2:21" s="121" customFormat="1" ht="8.25" customHeight="1" thickTop="1">
      <c r="B40" s="142"/>
      <c r="C40" s="146"/>
      <c r="D40" s="146"/>
      <c r="F40" s="656"/>
      <c r="G40" s="237"/>
      <c r="H40" s="237"/>
      <c r="L40" s="145"/>
      <c r="M40" s="47"/>
      <c r="N40" s="47"/>
      <c r="O40" s="47"/>
      <c r="P40" s="47"/>
      <c r="Q40" s="47"/>
      <c r="R40" s="47"/>
      <c r="S40" s="47"/>
      <c r="T40" s="47"/>
      <c r="U40" s="47"/>
    </row>
    <row r="41" spans="2:21" s="121" customFormat="1" ht="18.75">
      <c r="B41" s="142"/>
      <c r="C41" s="657" t="s">
        <v>188</v>
      </c>
      <c r="D41" s="146"/>
      <c r="F41" s="656"/>
      <c r="G41" s="237"/>
      <c r="H41" s="237"/>
      <c r="L41" s="145"/>
      <c r="M41" s="47"/>
      <c r="N41" s="47"/>
      <c r="O41" s="47"/>
      <c r="P41" s="47"/>
      <c r="Q41" s="47"/>
      <c r="R41" s="47"/>
      <c r="S41" s="47"/>
      <c r="T41" s="47"/>
      <c r="U41" s="47"/>
    </row>
    <row r="42" spans="2:21" s="135" customFormat="1" ht="6.75" customHeight="1" thickBot="1">
      <c r="B42" s="155"/>
      <c r="C42" s="156"/>
      <c r="D42" s="156"/>
      <c r="E42" s="157"/>
      <c r="F42" s="157"/>
      <c r="G42" s="157"/>
      <c r="H42" s="157"/>
      <c r="I42" s="157"/>
      <c r="J42" s="157"/>
      <c r="K42" s="157"/>
      <c r="L42" s="158"/>
      <c r="M42" s="136"/>
      <c r="N42" s="136"/>
      <c r="O42" s="84"/>
      <c r="P42" s="159"/>
      <c r="Q42" s="159"/>
      <c r="R42" s="160"/>
      <c r="S42" s="161"/>
      <c r="T42" s="136"/>
      <c r="U42" s="136"/>
    </row>
    <row r="43" spans="4:21" ht="13.5" thickTop="1">
      <c r="D43" s="8"/>
      <c r="F43" s="8"/>
      <c r="G43" s="8"/>
      <c r="H43" s="8"/>
      <c r="I43" s="8"/>
      <c r="J43" s="8"/>
      <c r="K43" s="8"/>
      <c r="L43" s="8"/>
      <c r="M43" s="8"/>
      <c r="N43" s="8"/>
      <c r="O43" s="30"/>
      <c r="P43" s="162"/>
      <c r="Q43" s="162"/>
      <c r="R43" s="8"/>
      <c r="S43" s="36"/>
      <c r="T43" s="8"/>
      <c r="U43" s="8"/>
    </row>
    <row r="44" spans="4:21" ht="12.75">
      <c r="D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163"/>
      <c r="Q44" s="163"/>
      <c r="R44" s="164"/>
      <c r="S44" s="36"/>
      <c r="T44" s="8"/>
      <c r="U44" s="8"/>
    </row>
    <row r="45" spans="4:21" ht="12.75"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163"/>
      <c r="Q45" s="163"/>
      <c r="R45" s="164"/>
      <c r="S45" s="36"/>
      <c r="T45" s="8"/>
      <c r="U45" s="8"/>
    </row>
    <row r="46" spans="4:21" ht="12.75">
      <c r="D46" s="8"/>
      <c r="E46" s="8"/>
      <c r="N46" s="8"/>
      <c r="O46" s="8"/>
      <c r="P46" s="8"/>
      <c r="Q46" s="8"/>
      <c r="R46" s="8"/>
      <c r="S46" s="8"/>
      <c r="T46" s="8"/>
      <c r="U46" s="8"/>
    </row>
    <row r="47" spans="4:21" ht="12.75">
      <c r="D47" s="8"/>
      <c r="E47" s="8"/>
      <c r="R47" s="8"/>
      <c r="S47" s="8"/>
      <c r="T47" s="8"/>
      <c r="U47" s="8"/>
    </row>
    <row r="48" spans="4:21" ht="12.75">
      <c r="D48" s="8"/>
      <c r="E48" s="8"/>
      <c r="R48" s="8"/>
      <c r="S48" s="8"/>
      <c r="T48" s="8"/>
      <c r="U48" s="8"/>
    </row>
    <row r="49" spans="4:21" ht="12.75">
      <c r="D49" s="8"/>
      <c r="E49" s="8"/>
      <c r="R49" s="8"/>
      <c r="S49" s="8"/>
      <c r="T49" s="8"/>
      <c r="U49" s="8"/>
    </row>
    <row r="50" spans="4:21" ht="12.75">
      <c r="D50" s="8"/>
      <c r="E50" s="8"/>
      <c r="R50" s="8"/>
      <c r="S50" s="8"/>
      <c r="T50" s="8"/>
      <c r="U50" s="8"/>
    </row>
    <row r="51" spans="4:21" ht="12.75">
      <c r="D51" s="8"/>
      <c r="E51" s="8"/>
      <c r="R51" s="8"/>
      <c r="S51" s="8"/>
      <c r="T51" s="8"/>
      <c r="U51" s="8"/>
    </row>
    <row r="52" spans="18:21" ht="12.75">
      <c r="R52" s="8"/>
      <c r="S52" s="8"/>
      <c r="T52" s="8"/>
      <c r="U52" s="8"/>
    </row>
    <row r="53" spans="18:21" ht="12.75">
      <c r="R53" s="8"/>
      <c r="S53" s="8"/>
      <c r="T53" s="8"/>
      <c r="U53" s="8"/>
    </row>
  </sheetData>
  <sheetProtection/>
  <mergeCells count="1">
    <mergeCell ref="F39:H39"/>
  </mergeCells>
  <printOptions horizontalCentered="1"/>
  <pageMargins left="0.3937007874015748" right="0.1968503937007874" top="0.42" bottom="0.41" header="0.25" footer="0.25"/>
  <pageSetup fitToHeight="1" fitToWidth="1" horizontalDpi="600" verticalDpi="600" orientation="landscape" paperSize="9" scale="79" r:id="rId2"/>
  <headerFooter alignWithMargins="0">
    <oddFooter>&amp;L&amp;"Times New Roman,Normal"&amp;8&amp;Z&amp;F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="70" zoomScaleNormal="70" zoomScalePageLayoutView="0" workbookViewId="0" topLeftCell="A1">
      <selection activeCell="G17" sqref="G17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30.7109375" style="0" customWidth="1"/>
    <col min="7" max="7" width="40.7109375" style="0" customWidth="1"/>
    <col min="8" max="8" width="9.7109375" style="0" customWidth="1"/>
    <col min="9" max="9" width="13.14062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6" width="12.140625" style="0" hidden="1" customWidth="1"/>
    <col min="17" max="17" width="16.8515625" style="0" hidden="1" customWidth="1"/>
    <col min="18" max="18" width="16.57421875" style="0" hidden="1" customWidth="1"/>
    <col min="19" max="20" width="15.574218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09" customFormat="1" ht="26.25">
      <c r="W1" s="412"/>
    </row>
    <row r="2" spans="2:23" s="109" customFormat="1" ht="26.25">
      <c r="B2" s="110" t="str">
        <f>+'TOT-0214'!B2</f>
        <v>ANEXO II al Memorándum  D.T.E.E.  N°  223 /2016               .-</v>
      </c>
      <c r="C2" s="111"/>
      <c r="D2" s="111"/>
      <c r="E2" s="111"/>
      <c r="F2" s="111"/>
      <c r="G2" s="110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</row>
    <row r="3" s="10" customFormat="1" ht="12.75"/>
    <row r="4" spans="1:4" s="112" customFormat="1" ht="11.25">
      <c r="A4" s="685" t="s">
        <v>16</v>
      </c>
      <c r="C4" s="684"/>
      <c r="D4" s="684"/>
    </row>
    <row r="5" spans="1:4" s="112" customFormat="1" ht="11.25">
      <c r="A5" s="685" t="s">
        <v>146</v>
      </c>
      <c r="C5" s="684"/>
      <c r="D5" s="684"/>
    </row>
    <row r="6" s="10" customFormat="1" ht="13.5" thickBot="1"/>
    <row r="7" spans="2:23" s="10" customFormat="1" ht="13.5" thickTop="1"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3"/>
    </row>
    <row r="8" spans="2:23" s="114" customFormat="1" ht="20.25">
      <c r="B8" s="113"/>
      <c r="C8" s="45"/>
      <c r="D8" s="45"/>
      <c r="E8" s="45"/>
      <c r="F8" s="21" t="s">
        <v>40</v>
      </c>
      <c r="P8" s="45"/>
      <c r="Q8" s="45"/>
      <c r="R8" s="45"/>
      <c r="S8" s="45"/>
      <c r="T8" s="45"/>
      <c r="U8" s="45"/>
      <c r="V8" s="45"/>
      <c r="W8" s="115"/>
    </row>
    <row r="9" spans="2:23" s="10" customFormat="1" ht="12.75">
      <c r="B9" s="44"/>
      <c r="C9" s="8"/>
      <c r="D9" s="8"/>
      <c r="E9" s="8"/>
      <c r="F9" s="8"/>
      <c r="G9" s="8"/>
      <c r="H9" s="8"/>
      <c r="I9" s="123"/>
      <c r="J9" s="123"/>
      <c r="K9" s="123"/>
      <c r="L9" s="123"/>
      <c r="M9" s="123"/>
      <c r="P9" s="8"/>
      <c r="Q9" s="8"/>
      <c r="R9" s="8"/>
      <c r="S9" s="8"/>
      <c r="T9" s="8"/>
      <c r="U9" s="8"/>
      <c r="V9" s="8"/>
      <c r="W9" s="11"/>
    </row>
    <row r="10" spans="2:23" s="114" customFormat="1" ht="20.25">
      <c r="B10" s="113"/>
      <c r="C10" s="45"/>
      <c r="D10" s="45"/>
      <c r="E10" s="45"/>
      <c r="F10" s="21" t="s">
        <v>141</v>
      </c>
      <c r="G10" s="21"/>
      <c r="H10" s="45"/>
      <c r="I10" s="21"/>
      <c r="J10" s="21"/>
      <c r="K10" s="21"/>
      <c r="L10" s="21"/>
      <c r="M10" s="21"/>
      <c r="P10" s="45"/>
      <c r="Q10" s="45"/>
      <c r="R10" s="45"/>
      <c r="S10" s="45"/>
      <c r="T10" s="45"/>
      <c r="U10" s="45"/>
      <c r="V10" s="45"/>
      <c r="W10" s="115"/>
    </row>
    <row r="11" spans="2:23" s="10" customFormat="1" ht="12.75">
      <c r="B11" s="44"/>
      <c r="C11" s="8"/>
      <c r="D11" s="8"/>
      <c r="E11" s="8"/>
      <c r="F11" s="125"/>
      <c r="G11" s="123"/>
      <c r="H11" s="8"/>
      <c r="I11" s="123"/>
      <c r="J11" s="123"/>
      <c r="K11" s="123"/>
      <c r="L11" s="123"/>
      <c r="M11" s="123"/>
      <c r="P11" s="8"/>
      <c r="Q11" s="8"/>
      <c r="R11" s="8"/>
      <c r="S11" s="8"/>
      <c r="T11" s="8"/>
      <c r="U11" s="8"/>
      <c r="V11" s="8"/>
      <c r="W11" s="11"/>
    </row>
    <row r="12" spans="2:23" s="121" customFormat="1" ht="19.5">
      <c r="B12" s="87" t="str">
        <f>+'TOT-0214'!B14</f>
        <v>Desde el 01 al 28 de febrero de 2014</v>
      </c>
      <c r="C12" s="117"/>
      <c r="D12" s="117"/>
      <c r="E12" s="117"/>
      <c r="F12" s="117"/>
      <c r="G12" s="117"/>
      <c r="H12" s="86"/>
      <c r="I12" s="117"/>
      <c r="J12" s="118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20"/>
    </row>
    <row r="13" spans="2:23" s="121" customFormat="1" ht="7.5" customHeight="1">
      <c r="B13" s="87"/>
      <c r="C13" s="117"/>
      <c r="D13" s="117"/>
      <c r="E13" s="117"/>
      <c r="F13" s="117"/>
      <c r="G13" s="117"/>
      <c r="H13" s="86"/>
      <c r="I13" s="117"/>
      <c r="J13" s="118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20"/>
    </row>
    <row r="14" spans="2:23" s="10" customFormat="1" ht="7.5" customHeight="1" thickBot="1">
      <c r="B14" s="44"/>
      <c r="C14" s="8"/>
      <c r="D14" s="8"/>
      <c r="E14" s="8"/>
      <c r="I14" s="122"/>
      <c r="K14" s="8"/>
      <c r="L14" s="8"/>
      <c r="M14" s="8"/>
      <c r="N14" s="122"/>
      <c r="O14" s="122"/>
      <c r="P14" s="122"/>
      <c r="Q14" s="8"/>
      <c r="R14" s="8"/>
      <c r="S14" s="8"/>
      <c r="T14" s="8"/>
      <c r="U14" s="8"/>
      <c r="V14" s="8"/>
      <c r="W14" s="11"/>
    </row>
    <row r="15" spans="2:23" s="10" customFormat="1" ht="16.5" customHeight="1" thickBot="1" thickTop="1">
      <c r="B15" s="44"/>
      <c r="C15" s="8"/>
      <c r="D15" s="8"/>
      <c r="E15" s="8"/>
      <c r="F15" s="220" t="s">
        <v>84</v>
      </c>
      <c r="G15" s="221" t="s">
        <v>182</v>
      </c>
      <c r="H15" s="93">
        <f>60*'TOT-0214'!B13</f>
        <v>60</v>
      </c>
      <c r="I15" s="122"/>
      <c r="J15" s="236" t="str">
        <f>IF(H15=60," ",IF(H15=120,"Coeficiente duplicado por tasa de falla &gt;4 Sal. x año/100 km.","REVISAR COEFICIENTE"))</f>
        <v> </v>
      </c>
      <c r="K15" s="8"/>
      <c r="L15" s="8"/>
      <c r="M15" s="8"/>
      <c r="N15" s="122"/>
      <c r="O15" s="122"/>
      <c r="P15" s="122"/>
      <c r="Q15" s="8"/>
      <c r="R15" s="8"/>
      <c r="S15" s="8"/>
      <c r="T15" s="8"/>
      <c r="U15" s="8"/>
      <c r="V15" s="8"/>
      <c r="W15" s="11"/>
    </row>
    <row r="16" spans="2:23" s="10" customFormat="1" ht="16.5" customHeight="1" thickBot="1" thickTop="1">
      <c r="B16" s="44"/>
      <c r="C16" s="8"/>
      <c r="D16" s="8"/>
      <c r="E16" s="8"/>
      <c r="F16" s="220" t="s">
        <v>85</v>
      </c>
      <c r="G16" s="724">
        <v>3.243</v>
      </c>
      <c r="H16" s="93">
        <f>50*'TOT-0214'!B13</f>
        <v>50</v>
      </c>
      <c r="J16" s="236" t="str">
        <f>IF(H16=50," ",IF(H16=100,"Coeficiente duplicado por tasa de falla &gt;4 Sal. x año/100 km.","REVISAR COEFICIENTE"))</f>
        <v> </v>
      </c>
      <c r="Q16" s="274"/>
      <c r="S16" s="8"/>
      <c r="T16" s="8"/>
      <c r="U16" s="8"/>
      <c r="V16" s="217"/>
      <c r="W16" s="11"/>
    </row>
    <row r="17" spans="2:23" s="10" customFormat="1" ht="16.5" customHeight="1" thickBot="1" thickTop="1">
      <c r="B17" s="44"/>
      <c r="C17" s="8"/>
      <c r="D17" s="8"/>
      <c r="E17" s="8"/>
      <c r="F17" s="222" t="s">
        <v>86</v>
      </c>
      <c r="G17" s="223">
        <v>2.433</v>
      </c>
      <c r="H17" s="224">
        <f>25*'TOT-0214'!B13</f>
        <v>25</v>
      </c>
      <c r="J17" s="236" t="str">
        <f>IF(H17=25," ",IF(H17=50,"Coeficiente duplicado por tasa de falla &gt;4 Sal. x año/100 km.","REVISAR COEFICIENTE"))</f>
        <v> </v>
      </c>
      <c r="K17" s="165"/>
      <c r="L17" s="165"/>
      <c r="M17" s="8"/>
      <c r="P17" s="218"/>
      <c r="Q17" s="219"/>
      <c r="R17" s="36"/>
      <c r="S17" s="8"/>
      <c r="T17" s="8"/>
      <c r="U17" s="8"/>
      <c r="V17" s="217"/>
      <c r="W17" s="11"/>
    </row>
    <row r="18" spans="2:23" s="10" customFormat="1" ht="16.5" customHeight="1" thickBot="1" thickTop="1">
      <c r="B18" s="44"/>
      <c r="C18" s="8"/>
      <c r="D18" s="8"/>
      <c r="E18" s="8"/>
      <c r="F18" s="225" t="s">
        <v>87</v>
      </c>
      <c r="G18" s="223">
        <v>2.433</v>
      </c>
      <c r="H18" s="226">
        <f>20*'TOT-0214'!B13</f>
        <v>20</v>
      </c>
      <c r="J18" s="236" t="str">
        <f>IF(H18=20," ",IF(H18=40,"Coeficiente duplicado por tasa de falla &gt;4 Sal. x año/100 km.","REVISAR COEFICIENTE"))</f>
        <v> </v>
      </c>
      <c r="K18" s="165"/>
      <c r="L18" s="165"/>
      <c r="M18" s="8"/>
      <c r="P18" s="218"/>
      <c r="Q18" s="219"/>
      <c r="R18" s="36"/>
      <c r="S18" s="8"/>
      <c r="T18" s="8"/>
      <c r="U18" s="8"/>
      <c r="V18" s="217"/>
      <c r="W18" s="11"/>
    </row>
    <row r="19" spans="2:23" s="10" customFormat="1" ht="7.5" customHeight="1" thickTop="1">
      <c r="B19" s="44"/>
      <c r="C19" s="8"/>
      <c r="D19" s="8"/>
      <c r="E19" s="8"/>
      <c r="F19" s="98"/>
      <c r="G19" s="677"/>
      <c r="H19" s="678"/>
      <c r="J19" s="236"/>
      <c r="K19" s="165"/>
      <c r="L19" s="165"/>
      <c r="M19" s="8"/>
      <c r="P19" s="218"/>
      <c r="Q19" s="219"/>
      <c r="R19" s="36"/>
      <c r="S19" s="8"/>
      <c r="T19" s="8"/>
      <c r="U19" s="8"/>
      <c r="V19" s="217"/>
      <c r="W19" s="11"/>
    </row>
    <row r="20" spans="2:23" s="708" customFormat="1" ht="15" customHeight="1" thickBot="1">
      <c r="B20" s="705"/>
      <c r="C20" s="704">
        <v>3</v>
      </c>
      <c r="D20" s="704">
        <v>4</v>
      </c>
      <c r="E20" s="704">
        <v>5</v>
      </c>
      <c r="F20" s="704">
        <v>6</v>
      </c>
      <c r="G20" s="704">
        <v>7</v>
      </c>
      <c r="H20" s="704">
        <v>8</v>
      </c>
      <c r="I20" s="704">
        <v>9</v>
      </c>
      <c r="J20" s="704">
        <v>10</v>
      </c>
      <c r="K20" s="704">
        <v>11</v>
      </c>
      <c r="L20" s="704">
        <v>12</v>
      </c>
      <c r="M20" s="704">
        <v>13</v>
      </c>
      <c r="N20" s="704">
        <v>14</v>
      </c>
      <c r="O20" s="704">
        <v>15</v>
      </c>
      <c r="P20" s="704">
        <v>16</v>
      </c>
      <c r="Q20" s="704">
        <v>17</v>
      </c>
      <c r="R20" s="704">
        <v>18</v>
      </c>
      <c r="S20" s="704">
        <v>19</v>
      </c>
      <c r="T20" s="704">
        <v>20</v>
      </c>
      <c r="U20" s="704">
        <v>21</v>
      </c>
      <c r="V20" s="704">
        <v>22</v>
      </c>
      <c r="W20" s="707"/>
    </row>
    <row r="21" spans="2:23" s="10" customFormat="1" ht="33.75" customHeight="1" thickBot="1" thickTop="1">
      <c r="B21" s="44"/>
      <c r="C21" s="213" t="s">
        <v>46</v>
      </c>
      <c r="D21" s="101" t="s">
        <v>145</v>
      </c>
      <c r="E21" s="101" t="s">
        <v>144</v>
      </c>
      <c r="F21" s="211" t="s">
        <v>70</v>
      </c>
      <c r="G21" s="227" t="s">
        <v>14</v>
      </c>
      <c r="H21" s="230" t="s">
        <v>47</v>
      </c>
      <c r="I21" s="265" t="s">
        <v>49</v>
      </c>
      <c r="J21" s="207" t="s">
        <v>50</v>
      </c>
      <c r="K21" s="227" t="s">
        <v>51</v>
      </c>
      <c r="L21" s="229" t="s">
        <v>74</v>
      </c>
      <c r="M21" s="229" t="s">
        <v>75</v>
      </c>
      <c r="N21" s="105" t="s">
        <v>54</v>
      </c>
      <c r="O21" s="212" t="s">
        <v>76</v>
      </c>
      <c r="P21" s="386" t="s">
        <v>88</v>
      </c>
      <c r="Q21" s="320" t="s">
        <v>56</v>
      </c>
      <c r="R21" s="360" t="s">
        <v>80</v>
      </c>
      <c r="S21" s="361"/>
      <c r="T21" s="396" t="s">
        <v>60</v>
      </c>
      <c r="U21" s="209" t="s">
        <v>62</v>
      </c>
      <c r="V21" s="209" t="s">
        <v>63</v>
      </c>
      <c r="W21" s="38"/>
    </row>
    <row r="22" spans="2:23" s="10" customFormat="1" ht="16.5" customHeight="1" thickTop="1">
      <c r="B22" s="44"/>
      <c r="C22" s="20"/>
      <c r="D22" s="18"/>
      <c r="E22" s="18"/>
      <c r="F22" s="32"/>
      <c r="G22" s="32"/>
      <c r="H22" s="12"/>
      <c r="I22" s="273"/>
      <c r="J22" s="33"/>
      <c r="K22" s="34"/>
      <c r="L22" s="35"/>
      <c r="M22" s="64"/>
      <c r="N22" s="388"/>
      <c r="O22" s="388"/>
      <c r="P22" s="389"/>
      <c r="Q22" s="391"/>
      <c r="R22" s="393"/>
      <c r="S22" s="394"/>
      <c r="T22" s="397"/>
      <c r="U22" s="395"/>
      <c r="V22" s="390"/>
      <c r="W22" s="38"/>
    </row>
    <row r="23" spans="2:23" s="10" customFormat="1" ht="16.5" customHeight="1">
      <c r="B23" s="44"/>
      <c r="C23" s="20"/>
      <c r="D23" s="18"/>
      <c r="E23" s="18"/>
      <c r="F23" s="32"/>
      <c r="G23" s="32"/>
      <c r="H23" s="12"/>
      <c r="I23" s="273"/>
      <c r="J23" s="33"/>
      <c r="K23" s="34"/>
      <c r="L23" s="35"/>
      <c r="M23" s="64"/>
      <c r="N23" s="28"/>
      <c r="O23" s="28"/>
      <c r="P23" s="387"/>
      <c r="Q23" s="392"/>
      <c r="R23" s="366"/>
      <c r="S23" s="367"/>
      <c r="T23" s="398"/>
      <c r="U23" s="25"/>
      <c r="V23" s="228"/>
      <c r="W23" s="38"/>
    </row>
    <row r="24" spans="2:23" s="10" customFormat="1" ht="16.5" customHeight="1">
      <c r="B24" s="44"/>
      <c r="C24" s="647">
        <v>16</v>
      </c>
      <c r="D24" s="632">
        <v>272519</v>
      </c>
      <c r="E24" s="632">
        <v>4591</v>
      </c>
      <c r="F24" s="648" t="s">
        <v>165</v>
      </c>
      <c r="G24" s="648" t="s">
        <v>167</v>
      </c>
      <c r="H24" s="655">
        <v>33</v>
      </c>
      <c r="I24" s="273">
        <f aca="true" t="shared" si="0" ref="I24:I43">IF(H24=330,$G$15,IF(AND(H24&lt;=132,H24&gt;=66),$G$16,IF(AND(H24&lt;66,H24&gt;=33),$G$17,$G$18)))</f>
        <v>2.433</v>
      </c>
      <c r="J24" s="650">
        <v>41690.58194444444</v>
      </c>
      <c r="K24" s="651">
        <v>41690.60486111111</v>
      </c>
      <c r="L24" s="35">
        <f aca="true" t="shared" si="1" ref="L24:L43">IF(F24="","",(K24-J24)*24)</f>
        <v>0.5500000000465661</v>
      </c>
      <c r="M24" s="64">
        <f aca="true" t="shared" si="2" ref="M24:M43">IF(F24="","",ROUND((K24-J24)*24*60,0))</f>
        <v>33</v>
      </c>
      <c r="N24" s="652" t="s">
        <v>152</v>
      </c>
      <c r="O24" s="28" t="str">
        <f aca="true" t="shared" si="3" ref="O24:O43">IF(F24="","",IF(N24="P","--","NO"))</f>
        <v>--</v>
      </c>
      <c r="P24" s="387">
        <f aca="true" t="shared" si="4" ref="P24:P43">IF(H24=330,$H$15,IF(AND(H24&lt;=132,H24&gt;=66),$H$16,IF(AND(H24&lt;66,H24&gt;13.2),$H$17,$H$18)))</f>
        <v>25</v>
      </c>
      <c r="Q24" s="702">
        <f aca="true" t="shared" si="5" ref="Q24:Q43">IF(N24="P",I24*P24*ROUND(M24/60,2)*0.1,"--")</f>
        <v>3.345375</v>
      </c>
      <c r="R24" s="366" t="str">
        <f aca="true" t="shared" si="6" ref="R24:R43">IF(AND(N24="F",O24="NO"),I24*P24,"--")</f>
        <v>--</v>
      </c>
      <c r="S24" s="367" t="str">
        <f aca="true" t="shared" si="7" ref="S24:S43">IF(N24="F",I24*P24*ROUND(M24/60,2),"--")</f>
        <v>--</v>
      </c>
      <c r="T24" s="398" t="str">
        <f aca="true" t="shared" si="8" ref="T24:T43">IF(N24="RF",I24*P24*ROUND(M24/60,2),"--")</f>
        <v>--</v>
      </c>
      <c r="U24" s="25" t="str">
        <f aca="true" t="shared" si="9" ref="U24:U43">IF(F24="","","SI")</f>
        <v>SI</v>
      </c>
      <c r="V24" s="65">
        <f aca="true" t="shared" si="10" ref="V24:V43">IF(F24="","",SUM(Q24:T24)*IF(U24="SI",1,2)*IF(H24="500/220",0,1))</f>
        <v>3.345375</v>
      </c>
      <c r="W24" s="38"/>
    </row>
    <row r="25" spans="2:23" s="10" customFormat="1" ht="16.5" customHeight="1">
      <c r="B25" s="44"/>
      <c r="C25" s="647">
        <v>17</v>
      </c>
      <c r="D25" s="632">
        <v>272517</v>
      </c>
      <c r="E25" s="632">
        <v>4592</v>
      </c>
      <c r="F25" s="648" t="s">
        <v>165</v>
      </c>
      <c r="G25" s="648" t="s">
        <v>168</v>
      </c>
      <c r="H25" s="655">
        <v>33</v>
      </c>
      <c r="I25" s="273">
        <f t="shared" si="0"/>
        <v>2.433</v>
      </c>
      <c r="J25" s="650">
        <v>41690.58194444444</v>
      </c>
      <c r="K25" s="651">
        <v>41690.60486111111</v>
      </c>
      <c r="L25" s="35">
        <f t="shared" si="1"/>
        <v>0.5500000000465661</v>
      </c>
      <c r="M25" s="64">
        <f t="shared" si="2"/>
        <v>33</v>
      </c>
      <c r="N25" s="652" t="s">
        <v>152</v>
      </c>
      <c r="O25" s="28" t="str">
        <f t="shared" si="3"/>
        <v>--</v>
      </c>
      <c r="P25" s="387">
        <f t="shared" si="4"/>
        <v>25</v>
      </c>
      <c r="Q25" s="702">
        <f t="shared" si="5"/>
        <v>3.345375</v>
      </c>
      <c r="R25" s="366" t="str">
        <f t="shared" si="6"/>
        <v>--</v>
      </c>
      <c r="S25" s="367" t="str">
        <f t="shared" si="7"/>
        <v>--</v>
      </c>
      <c r="T25" s="398" t="str">
        <f t="shared" si="8"/>
        <v>--</v>
      </c>
      <c r="U25" s="25" t="str">
        <f t="shared" si="9"/>
        <v>SI</v>
      </c>
      <c r="V25" s="65">
        <f t="shared" si="10"/>
        <v>3.345375</v>
      </c>
      <c r="W25" s="38"/>
    </row>
    <row r="26" spans="2:23" s="10" customFormat="1" ht="16.5" customHeight="1">
      <c r="B26" s="44"/>
      <c r="C26" s="647">
        <v>18</v>
      </c>
      <c r="D26" s="632">
        <v>272518</v>
      </c>
      <c r="E26" s="632">
        <v>4588</v>
      </c>
      <c r="F26" s="648" t="s">
        <v>165</v>
      </c>
      <c r="G26" s="648" t="s">
        <v>169</v>
      </c>
      <c r="H26" s="655">
        <v>33</v>
      </c>
      <c r="I26" s="273">
        <f t="shared" si="0"/>
        <v>2.433</v>
      </c>
      <c r="J26" s="650">
        <v>41690.58194444444</v>
      </c>
      <c r="K26" s="651">
        <v>41690.611805555556</v>
      </c>
      <c r="L26" s="35">
        <f t="shared" si="1"/>
        <v>0.7166666667326353</v>
      </c>
      <c r="M26" s="64">
        <f t="shared" si="2"/>
        <v>43</v>
      </c>
      <c r="N26" s="652" t="s">
        <v>152</v>
      </c>
      <c r="O26" s="28" t="str">
        <f t="shared" si="3"/>
        <v>--</v>
      </c>
      <c r="P26" s="387">
        <f t="shared" si="4"/>
        <v>25</v>
      </c>
      <c r="Q26" s="702">
        <f t="shared" si="5"/>
        <v>4.3793999999999995</v>
      </c>
      <c r="R26" s="366" t="str">
        <f t="shared" si="6"/>
        <v>--</v>
      </c>
      <c r="S26" s="367" t="str">
        <f t="shared" si="7"/>
        <v>--</v>
      </c>
      <c r="T26" s="398" t="str">
        <f t="shared" si="8"/>
        <v>--</v>
      </c>
      <c r="U26" s="25" t="str">
        <f t="shared" si="9"/>
        <v>SI</v>
      </c>
      <c r="V26" s="65">
        <f t="shared" si="10"/>
        <v>4.3793999999999995</v>
      </c>
      <c r="W26" s="38"/>
    </row>
    <row r="27" spans="2:23" s="10" customFormat="1" ht="16.5" customHeight="1">
      <c r="B27" s="44"/>
      <c r="C27" s="647"/>
      <c r="D27" s="632"/>
      <c r="E27" s="632"/>
      <c r="F27" s="648"/>
      <c r="G27" s="648"/>
      <c r="H27" s="655"/>
      <c r="I27" s="273">
        <f t="shared" si="0"/>
        <v>2.433</v>
      </c>
      <c r="J27" s="650"/>
      <c r="K27" s="651"/>
      <c r="L27" s="35">
        <f t="shared" si="1"/>
      </c>
      <c r="M27" s="64">
        <f t="shared" si="2"/>
      </c>
      <c r="N27" s="652"/>
      <c r="O27" s="28">
        <f t="shared" si="3"/>
      </c>
      <c r="P27" s="387">
        <f t="shared" si="4"/>
        <v>20</v>
      </c>
      <c r="Q27" s="702" t="str">
        <f t="shared" si="5"/>
        <v>--</v>
      </c>
      <c r="R27" s="366" t="str">
        <f t="shared" si="6"/>
        <v>--</v>
      </c>
      <c r="S27" s="367" t="str">
        <f t="shared" si="7"/>
        <v>--</v>
      </c>
      <c r="T27" s="398" t="str">
        <f t="shared" si="8"/>
        <v>--</v>
      </c>
      <c r="U27" s="25">
        <f t="shared" si="9"/>
      </c>
      <c r="V27" s="65">
        <f t="shared" si="10"/>
      </c>
      <c r="W27" s="38"/>
    </row>
    <row r="28" spans="2:23" s="10" customFormat="1" ht="16.5" customHeight="1">
      <c r="B28" s="44"/>
      <c r="C28" s="647"/>
      <c r="D28" s="632"/>
      <c r="E28" s="632"/>
      <c r="F28" s="648"/>
      <c r="G28" s="648"/>
      <c r="H28" s="655"/>
      <c r="I28" s="273">
        <f t="shared" si="0"/>
        <v>2.433</v>
      </c>
      <c r="J28" s="650"/>
      <c r="K28" s="651"/>
      <c r="L28" s="35">
        <f t="shared" si="1"/>
      </c>
      <c r="M28" s="64">
        <f t="shared" si="2"/>
      </c>
      <c r="N28" s="652"/>
      <c r="O28" s="28">
        <f t="shared" si="3"/>
      </c>
      <c r="P28" s="387">
        <f t="shared" si="4"/>
        <v>20</v>
      </c>
      <c r="Q28" s="702" t="str">
        <f t="shared" si="5"/>
        <v>--</v>
      </c>
      <c r="R28" s="366" t="str">
        <f t="shared" si="6"/>
        <v>--</v>
      </c>
      <c r="S28" s="367" t="str">
        <f t="shared" si="7"/>
        <v>--</v>
      </c>
      <c r="T28" s="398" t="str">
        <f t="shared" si="8"/>
        <v>--</v>
      </c>
      <c r="U28" s="25">
        <f t="shared" si="9"/>
      </c>
      <c r="V28" s="65">
        <f t="shared" si="10"/>
      </c>
      <c r="W28" s="38"/>
    </row>
    <row r="29" spans="2:23" s="10" customFormat="1" ht="16.5" customHeight="1">
      <c r="B29" s="44"/>
      <c r="C29" s="647"/>
      <c r="D29" s="632"/>
      <c r="E29" s="632"/>
      <c r="F29" s="648"/>
      <c r="G29" s="648"/>
      <c r="H29" s="655"/>
      <c r="I29" s="273">
        <f t="shared" si="0"/>
        <v>2.433</v>
      </c>
      <c r="J29" s="650"/>
      <c r="K29" s="651"/>
      <c r="L29" s="35">
        <f t="shared" si="1"/>
      </c>
      <c r="M29" s="64">
        <f t="shared" si="2"/>
      </c>
      <c r="N29" s="652"/>
      <c r="O29" s="28">
        <f t="shared" si="3"/>
      </c>
      <c r="P29" s="387">
        <f t="shared" si="4"/>
        <v>20</v>
      </c>
      <c r="Q29" s="702" t="str">
        <f t="shared" si="5"/>
        <v>--</v>
      </c>
      <c r="R29" s="366" t="str">
        <f t="shared" si="6"/>
        <v>--</v>
      </c>
      <c r="S29" s="367" t="str">
        <f t="shared" si="7"/>
        <v>--</v>
      </c>
      <c r="T29" s="398" t="str">
        <f t="shared" si="8"/>
        <v>--</v>
      </c>
      <c r="U29" s="25">
        <f t="shared" si="9"/>
      </c>
      <c r="V29" s="65">
        <f t="shared" si="10"/>
      </c>
      <c r="W29" s="38"/>
    </row>
    <row r="30" spans="2:23" s="10" customFormat="1" ht="16.5" customHeight="1">
      <c r="B30" s="44"/>
      <c r="C30" s="647"/>
      <c r="D30" s="632"/>
      <c r="E30" s="632"/>
      <c r="F30" s="648"/>
      <c r="G30" s="648"/>
      <c r="H30" s="655"/>
      <c r="I30" s="273">
        <f t="shared" si="0"/>
        <v>2.433</v>
      </c>
      <c r="J30" s="650"/>
      <c r="K30" s="651"/>
      <c r="L30" s="35">
        <f t="shared" si="1"/>
      </c>
      <c r="M30" s="64">
        <f t="shared" si="2"/>
      </c>
      <c r="N30" s="652"/>
      <c r="O30" s="28">
        <f t="shared" si="3"/>
      </c>
      <c r="P30" s="387">
        <f t="shared" si="4"/>
        <v>20</v>
      </c>
      <c r="Q30" s="702" t="str">
        <f t="shared" si="5"/>
        <v>--</v>
      </c>
      <c r="R30" s="366" t="str">
        <f t="shared" si="6"/>
        <v>--</v>
      </c>
      <c r="S30" s="367" t="str">
        <f t="shared" si="7"/>
        <v>--</v>
      </c>
      <c r="T30" s="398" t="str">
        <f t="shared" si="8"/>
        <v>--</v>
      </c>
      <c r="U30" s="25">
        <f t="shared" si="9"/>
      </c>
      <c r="V30" s="65">
        <f t="shared" si="10"/>
      </c>
      <c r="W30" s="38"/>
    </row>
    <row r="31" spans="2:23" s="10" customFormat="1" ht="16.5" customHeight="1">
      <c r="B31" s="44"/>
      <c r="C31" s="647"/>
      <c r="D31" s="632"/>
      <c r="E31" s="632"/>
      <c r="F31" s="648"/>
      <c r="G31" s="648"/>
      <c r="H31" s="655"/>
      <c r="I31" s="273">
        <f t="shared" si="0"/>
        <v>2.433</v>
      </c>
      <c r="J31" s="650"/>
      <c r="K31" s="651"/>
      <c r="L31" s="35">
        <f t="shared" si="1"/>
      </c>
      <c r="M31" s="64">
        <f t="shared" si="2"/>
      </c>
      <c r="N31" s="652"/>
      <c r="O31" s="28">
        <f t="shared" si="3"/>
      </c>
      <c r="P31" s="387">
        <f t="shared" si="4"/>
        <v>20</v>
      </c>
      <c r="Q31" s="702" t="str">
        <f t="shared" si="5"/>
        <v>--</v>
      </c>
      <c r="R31" s="366" t="str">
        <f t="shared" si="6"/>
        <v>--</v>
      </c>
      <c r="S31" s="367" t="str">
        <f t="shared" si="7"/>
        <v>--</v>
      </c>
      <c r="T31" s="398" t="str">
        <f t="shared" si="8"/>
        <v>--</v>
      </c>
      <c r="U31" s="25">
        <f t="shared" si="9"/>
      </c>
      <c r="V31" s="65">
        <f t="shared" si="10"/>
      </c>
      <c r="W31" s="38"/>
    </row>
    <row r="32" spans="2:23" s="10" customFormat="1" ht="16.5" customHeight="1">
      <c r="B32" s="44"/>
      <c r="C32" s="647"/>
      <c r="D32" s="632"/>
      <c r="E32" s="632"/>
      <c r="F32" s="648"/>
      <c r="G32" s="648"/>
      <c r="H32" s="655"/>
      <c r="I32" s="273">
        <f t="shared" si="0"/>
        <v>2.433</v>
      </c>
      <c r="J32" s="650"/>
      <c r="K32" s="651"/>
      <c r="L32" s="35">
        <f t="shared" si="1"/>
      </c>
      <c r="M32" s="64">
        <f t="shared" si="2"/>
      </c>
      <c r="N32" s="652"/>
      <c r="O32" s="28">
        <f t="shared" si="3"/>
      </c>
      <c r="P32" s="387">
        <f t="shared" si="4"/>
        <v>20</v>
      </c>
      <c r="Q32" s="702" t="str">
        <f t="shared" si="5"/>
        <v>--</v>
      </c>
      <c r="R32" s="366" t="str">
        <f t="shared" si="6"/>
        <v>--</v>
      </c>
      <c r="S32" s="367" t="str">
        <f t="shared" si="7"/>
        <v>--</v>
      </c>
      <c r="T32" s="398" t="str">
        <f t="shared" si="8"/>
        <v>--</v>
      </c>
      <c r="U32" s="25">
        <f t="shared" si="9"/>
      </c>
      <c r="V32" s="65">
        <f t="shared" si="10"/>
      </c>
      <c r="W32" s="38"/>
    </row>
    <row r="33" spans="2:23" s="10" customFormat="1" ht="16.5" customHeight="1">
      <c r="B33" s="44"/>
      <c r="C33" s="647"/>
      <c r="D33" s="632"/>
      <c r="E33" s="632"/>
      <c r="F33" s="648"/>
      <c r="G33" s="648"/>
      <c r="H33" s="655"/>
      <c r="I33" s="273">
        <f t="shared" si="0"/>
        <v>2.433</v>
      </c>
      <c r="J33" s="650"/>
      <c r="K33" s="651"/>
      <c r="L33" s="35">
        <f t="shared" si="1"/>
      </c>
      <c r="M33" s="64">
        <f t="shared" si="2"/>
      </c>
      <c r="N33" s="652"/>
      <c r="O33" s="28">
        <f t="shared" si="3"/>
      </c>
      <c r="P33" s="387">
        <f t="shared" si="4"/>
        <v>20</v>
      </c>
      <c r="Q33" s="702" t="str">
        <f t="shared" si="5"/>
        <v>--</v>
      </c>
      <c r="R33" s="366" t="str">
        <f t="shared" si="6"/>
        <v>--</v>
      </c>
      <c r="S33" s="367" t="str">
        <f t="shared" si="7"/>
        <v>--</v>
      </c>
      <c r="T33" s="398" t="str">
        <f t="shared" si="8"/>
        <v>--</v>
      </c>
      <c r="U33" s="25">
        <f t="shared" si="9"/>
      </c>
      <c r="V33" s="65">
        <f t="shared" si="10"/>
      </c>
      <c r="W33" s="38"/>
    </row>
    <row r="34" spans="2:23" s="10" customFormat="1" ht="16.5" customHeight="1">
      <c r="B34" s="44"/>
      <c r="C34" s="647"/>
      <c r="D34" s="632"/>
      <c r="E34" s="632"/>
      <c r="F34" s="648"/>
      <c r="G34" s="648"/>
      <c r="H34" s="655"/>
      <c r="I34" s="273">
        <f t="shared" si="0"/>
        <v>2.433</v>
      </c>
      <c r="J34" s="650"/>
      <c r="K34" s="651"/>
      <c r="L34" s="35">
        <f t="shared" si="1"/>
      </c>
      <c r="M34" s="64">
        <f t="shared" si="2"/>
      </c>
      <c r="N34" s="652"/>
      <c r="O34" s="28">
        <f t="shared" si="3"/>
      </c>
      <c r="P34" s="387">
        <f t="shared" si="4"/>
        <v>20</v>
      </c>
      <c r="Q34" s="702" t="str">
        <f t="shared" si="5"/>
        <v>--</v>
      </c>
      <c r="R34" s="366" t="str">
        <f t="shared" si="6"/>
        <v>--</v>
      </c>
      <c r="S34" s="367" t="str">
        <f t="shared" si="7"/>
        <v>--</v>
      </c>
      <c r="T34" s="398" t="str">
        <f t="shared" si="8"/>
        <v>--</v>
      </c>
      <c r="U34" s="25">
        <f t="shared" si="9"/>
      </c>
      <c r="V34" s="65">
        <f t="shared" si="10"/>
      </c>
      <c r="W34" s="38"/>
    </row>
    <row r="35" spans="2:23" s="10" customFormat="1" ht="16.5" customHeight="1">
      <c r="B35" s="44"/>
      <c r="C35" s="647"/>
      <c r="D35" s="632"/>
      <c r="E35" s="632"/>
      <c r="F35" s="648"/>
      <c r="G35" s="648"/>
      <c r="H35" s="655"/>
      <c r="I35" s="273">
        <f t="shared" si="0"/>
        <v>2.433</v>
      </c>
      <c r="J35" s="650"/>
      <c r="K35" s="651"/>
      <c r="L35" s="35">
        <f t="shared" si="1"/>
      </c>
      <c r="M35" s="64">
        <f t="shared" si="2"/>
      </c>
      <c r="N35" s="652"/>
      <c r="O35" s="28">
        <f t="shared" si="3"/>
      </c>
      <c r="P35" s="387">
        <f t="shared" si="4"/>
        <v>20</v>
      </c>
      <c r="Q35" s="702" t="str">
        <f t="shared" si="5"/>
        <v>--</v>
      </c>
      <c r="R35" s="366" t="str">
        <f t="shared" si="6"/>
        <v>--</v>
      </c>
      <c r="S35" s="367" t="str">
        <f t="shared" si="7"/>
        <v>--</v>
      </c>
      <c r="T35" s="398" t="str">
        <f t="shared" si="8"/>
        <v>--</v>
      </c>
      <c r="U35" s="25">
        <f t="shared" si="9"/>
      </c>
      <c r="V35" s="65">
        <f t="shared" si="10"/>
      </c>
      <c r="W35" s="38"/>
    </row>
    <row r="36" spans="2:23" s="10" customFormat="1" ht="16.5" customHeight="1">
      <c r="B36" s="44"/>
      <c r="C36" s="647"/>
      <c r="D36" s="632"/>
      <c r="E36" s="632"/>
      <c r="F36" s="648"/>
      <c r="G36" s="648"/>
      <c r="H36" s="655"/>
      <c r="I36" s="273">
        <f t="shared" si="0"/>
        <v>2.433</v>
      </c>
      <c r="J36" s="650"/>
      <c r="K36" s="651"/>
      <c r="L36" s="35">
        <f t="shared" si="1"/>
      </c>
      <c r="M36" s="64">
        <f t="shared" si="2"/>
      </c>
      <c r="N36" s="652"/>
      <c r="O36" s="28">
        <f t="shared" si="3"/>
      </c>
      <c r="P36" s="387">
        <f t="shared" si="4"/>
        <v>20</v>
      </c>
      <c r="Q36" s="702" t="str">
        <f t="shared" si="5"/>
        <v>--</v>
      </c>
      <c r="R36" s="366" t="str">
        <f t="shared" si="6"/>
        <v>--</v>
      </c>
      <c r="S36" s="367" t="str">
        <f t="shared" si="7"/>
        <v>--</v>
      </c>
      <c r="T36" s="398" t="str">
        <f t="shared" si="8"/>
        <v>--</v>
      </c>
      <c r="U36" s="25">
        <f t="shared" si="9"/>
      </c>
      <c r="V36" s="65">
        <f t="shared" si="10"/>
      </c>
      <c r="W36" s="38"/>
    </row>
    <row r="37" spans="2:23" s="10" customFormat="1" ht="16.5" customHeight="1">
      <c r="B37" s="44"/>
      <c r="C37" s="647"/>
      <c r="D37" s="632"/>
      <c r="E37" s="632"/>
      <c r="F37" s="648"/>
      <c r="G37" s="648"/>
      <c r="H37" s="655"/>
      <c r="I37" s="273">
        <f t="shared" si="0"/>
        <v>2.433</v>
      </c>
      <c r="J37" s="650"/>
      <c r="K37" s="651"/>
      <c r="L37" s="35">
        <f t="shared" si="1"/>
      </c>
      <c r="M37" s="64">
        <f t="shared" si="2"/>
      </c>
      <c r="N37" s="652"/>
      <c r="O37" s="28">
        <f t="shared" si="3"/>
      </c>
      <c r="P37" s="387">
        <f t="shared" si="4"/>
        <v>20</v>
      </c>
      <c r="Q37" s="702" t="str">
        <f t="shared" si="5"/>
        <v>--</v>
      </c>
      <c r="R37" s="366" t="str">
        <f t="shared" si="6"/>
        <v>--</v>
      </c>
      <c r="S37" s="367" t="str">
        <f t="shared" si="7"/>
        <v>--</v>
      </c>
      <c r="T37" s="398" t="str">
        <f t="shared" si="8"/>
        <v>--</v>
      </c>
      <c r="U37" s="25">
        <f t="shared" si="9"/>
      </c>
      <c r="V37" s="65">
        <f t="shared" si="10"/>
      </c>
      <c r="W37" s="38"/>
    </row>
    <row r="38" spans="2:23" s="10" customFormat="1" ht="16.5" customHeight="1">
      <c r="B38" s="44"/>
      <c r="C38" s="647"/>
      <c r="D38" s="632"/>
      <c r="E38" s="632"/>
      <c r="F38" s="648"/>
      <c r="G38" s="648"/>
      <c r="H38" s="655"/>
      <c r="I38" s="273">
        <f t="shared" si="0"/>
        <v>2.433</v>
      </c>
      <c r="J38" s="650"/>
      <c r="K38" s="651"/>
      <c r="L38" s="35">
        <f t="shared" si="1"/>
      </c>
      <c r="M38" s="64">
        <f t="shared" si="2"/>
      </c>
      <c r="N38" s="652"/>
      <c r="O38" s="28">
        <f t="shared" si="3"/>
      </c>
      <c r="P38" s="387">
        <f t="shared" si="4"/>
        <v>20</v>
      </c>
      <c r="Q38" s="702" t="str">
        <f t="shared" si="5"/>
        <v>--</v>
      </c>
      <c r="R38" s="366" t="str">
        <f t="shared" si="6"/>
        <v>--</v>
      </c>
      <c r="S38" s="367" t="str">
        <f t="shared" si="7"/>
        <v>--</v>
      </c>
      <c r="T38" s="398" t="str">
        <f t="shared" si="8"/>
        <v>--</v>
      </c>
      <c r="U38" s="25">
        <f t="shared" si="9"/>
      </c>
      <c r="V38" s="65">
        <f t="shared" si="10"/>
      </c>
      <c r="W38" s="38"/>
    </row>
    <row r="39" spans="2:23" s="10" customFormat="1" ht="16.5" customHeight="1">
      <c r="B39" s="44"/>
      <c r="C39" s="647"/>
      <c r="D39" s="632"/>
      <c r="E39" s="632"/>
      <c r="F39" s="648"/>
      <c r="G39" s="648"/>
      <c r="H39" s="655"/>
      <c r="I39" s="273">
        <f t="shared" si="0"/>
        <v>2.433</v>
      </c>
      <c r="J39" s="650"/>
      <c r="K39" s="651"/>
      <c r="L39" s="35">
        <f t="shared" si="1"/>
      </c>
      <c r="M39" s="64">
        <f t="shared" si="2"/>
      </c>
      <c r="N39" s="652"/>
      <c r="O39" s="28">
        <f t="shared" si="3"/>
      </c>
      <c r="P39" s="387">
        <f t="shared" si="4"/>
        <v>20</v>
      </c>
      <c r="Q39" s="702" t="str">
        <f t="shared" si="5"/>
        <v>--</v>
      </c>
      <c r="R39" s="366" t="str">
        <f t="shared" si="6"/>
        <v>--</v>
      </c>
      <c r="S39" s="367" t="str">
        <f t="shared" si="7"/>
        <v>--</v>
      </c>
      <c r="T39" s="398" t="str">
        <f t="shared" si="8"/>
        <v>--</v>
      </c>
      <c r="U39" s="25">
        <f t="shared" si="9"/>
      </c>
      <c r="V39" s="65">
        <f t="shared" si="10"/>
      </c>
      <c r="W39" s="38"/>
    </row>
    <row r="40" spans="2:23" s="10" customFormat="1" ht="16.5" customHeight="1">
      <c r="B40" s="44"/>
      <c r="C40" s="647"/>
      <c r="D40" s="632"/>
      <c r="E40" s="632"/>
      <c r="F40" s="648"/>
      <c r="G40" s="648"/>
      <c r="H40" s="655"/>
      <c r="I40" s="273">
        <f t="shared" si="0"/>
        <v>2.433</v>
      </c>
      <c r="J40" s="650"/>
      <c r="K40" s="651"/>
      <c r="L40" s="35">
        <f t="shared" si="1"/>
      </c>
      <c r="M40" s="64">
        <f t="shared" si="2"/>
      </c>
      <c r="N40" s="652"/>
      <c r="O40" s="28">
        <f t="shared" si="3"/>
      </c>
      <c r="P40" s="387">
        <f t="shared" si="4"/>
        <v>20</v>
      </c>
      <c r="Q40" s="702" t="str">
        <f t="shared" si="5"/>
        <v>--</v>
      </c>
      <c r="R40" s="366" t="str">
        <f t="shared" si="6"/>
        <v>--</v>
      </c>
      <c r="S40" s="367" t="str">
        <f t="shared" si="7"/>
        <v>--</v>
      </c>
      <c r="T40" s="398" t="str">
        <f t="shared" si="8"/>
        <v>--</v>
      </c>
      <c r="U40" s="25">
        <f t="shared" si="9"/>
      </c>
      <c r="V40" s="65">
        <f t="shared" si="10"/>
      </c>
      <c r="W40" s="38"/>
    </row>
    <row r="41" spans="2:23" s="10" customFormat="1" ht="16.5" customHeight="1">
      <c r="B41" s="44"/>
      <c r="C41" s="647"/>
      <c r="D41" s="632"/>
      <c r="E41" s="632"/>
      <c r="F41" s="648"/>
      <c r="G41" s="648"/>
      <c r="H41" s="655"/>
      <c r="I41" s="273">
        <f t="shared" si="0"/>
        <v>2.433</v>
      </c>
      <c r="J41" s="650"/>
      <c r="K41" s="651"/>
      <c r="L41" s="35">
        <f t="shared" si="1"/>
      </c>
      <c r="M41" s="64">
        <f t="shared" si="2"/>
      </c>
      <c r="N41" s="652"/>
      <c r="O41" s="28">
        <f t="shared" si="3"/>
      </c>
      <c r="P41" s="387">
        <f t="shared" si="4"/>
        <v>20</v>
      </c>
      <c r="Q41" s="702" t="str">
        <f t="shared" si="5"/>
        <v>--</v>
      </c>
      <c r="R41" s="366" t="str">
        <f t="shared" si="6"/>
        <v>--</v>
      </c>
      <c r="S41" s="367" t="str">
        <f t="shared" si="7"/>
        <v>--</v>
      </c>
      <c r="T41" s="398" t="str">
        <f t="shared" si="8"/>
        <v>--</v>
      </c>
      <c r="U41" s="25">
        <f t="shared" si="9"/>
      </c>
      <c r="V41" s="65">
        <f t="shared" si="10"/>
      </c>
      <c r="W41" s="38"/>
    </row>
    <row r="42" spans="2:23" s="10" customFormat="1" ht="16.5" customHeight="1">
      <c r="B42" s="44"/>
      <c r="C42" s="647"/>
      <c r="D42" s="632"/>
      <c r="E42" s="632"/>
      <c r="F42" s="648"/>
      <c r="G42" s="648"/>
      <c r="H42" s="655"/>
      <c r="I42" s="273">
        <f t="shared" si="0"/>
        <v>2.433</v>
      </c>
      <c r="J42" s="650"/>
      <c r="K42" s="651"/>
      <c r="L42" s="35">
        <f t="shared" si="1"/>
      </c>
      <c r="M42" s="64">
        <f t="shared" si="2"/>
      </c>
      <c r="N42" s="652"/>
      <c r="O42" s="28">
        <f t="shared" si="3"/>
      </c>
      <c r="P42" s="387">
        <f t="shared" si="4"/>
        <v>20</v>
      </c>
      <c r="Q42" s="702" t="str">
        <f t="shared" si="5"/>
        <v>--</v>
      </c>
      <c r="R42" s="366" t="str">
        <f t="shared" si="6"/>
        <v>--</v>
      </c>
      <c r="S42" s="367" t="str">
        <f t="shared" si="7"/>
        <v>--</v>
      </c>
      <c r="T42" s="398" t="str">
        <f t="shared" si="8"/>
        <v>--</v>
      </c>
      <c r="U42" s="25">
        <f t="shared" si="9"/>
      </c>
      <c r="V42" s="65">
        <f t="shared" si="10"/>
      </c>
      <c r="W42" s="38"/>
    </row>
    <row r="43" spans="2:23" s="10" customFormat="1" ht="16.5" customHeight="1">
      <c r="B43" s="44"/>
      <c r="C43" s="647"/>
      <c r="D43" s="632"/>
      <c r="E43" s="632"/>
      <c r="F43" s="648"/>
      <c r="G43" s="648"/>
      <c r="H43" s="655"/>
      <c r="I43" s="273">
        <f t="shared" si="0"/>
        <v>2.433</v>
      </c>
      <c r="J43" s="650"/>
      <c r="K43" s="651"/>
      <c r="L43" s="35">
        <f t="shared" si="1"/>
      </c>
      <c r="M43" s="64">
        <f t="shared" si="2"/>
      </c>
      <c r="N43" s="652"/>
      <c r="O43" s="28">
        <f t="shared" si="3"/>
      </c>
      <c r="P43" s="387">
        <f t="shared" si="4"/>
        <v>20</v>
      </c>
      <c r="Q43" s="702" t="str">
        <f t="shared" si="5"/>
        <v>--</v>
      </c>
      <c r="R43" s="366" t="str">
        <f t="shared" si="6"/>
        <v>--</v>
      </c>
      <c r="S43" s="367" t="str">
        <f t="shared" si="7"/>
        <v>--</v>
      </c>
      <c r="T43" s="398" t="str">
        <f t="shared" si="8"/>
        <v>--</v>
      </c>
      <c r="U43" s="25">
        <f t="shared" si="9"/>
      </c>
      <c r="V43" s="65">
        <f t="shared" si="10"/>
      </c>
      <c r="W43" s="38"/>
    </row>
    <row r="44" spans="2:23" s="10" customFormat="1" ht="16.5" customHeight="1" thickBot="1">
      <c r="B44" s="44"/>
      <c r="C44" s="635"/>
      <c r="D44" s="635"/>
      <c r="E44" s="635"/>
      <c r="F44" s="635"/>
      <c r="G44" s="635"/>
      <c r="H44" s="635"/>
      <c r="I44" s="272"/>
      <c r="J44" s="635"/>
      <c r="K44" s="635"/>
      <c r="L44" s="29"/>
      <c r="M44" s="29"/>
      <c r="N44" s="635"/>
      <c r="O44" s="635"/>
      <c r="P44" s="653"/>
      <c r="Q44" s="654"/>
      <c r="R44" s="643"/>
      <c r="S44" s="644"/>
      <c r="T44" s="638"/>
      <c r="U44" s="635"/>
      <c r="V44" s="215"/>
      <c r="W44" s="38"/>
    </row>
    <row r="45" spans="2:23" s="10" customFormat="1" ht="16.5" customHeight="1" thickBot="1" thickTop="1">
      <c r="B45" s="44"/>
      <c r="C45" s="240" t="s">
        <v>64</v>
      </c>
      <c r="D45" s="720" t="s">
        <v>185</v>
      </c>
      <c r="E45" s="682"/>
      <c r="F45" s="241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99">
        <f>ROUND(SUM(Q22:Q44),2)</f>
        <v>11.07</v>
      </c>
      <c r="R45" s="327">
        <f>SUM(R22:R44)</f>
        <v>0</v>
      </c>
      <c r="S45" s="327">
        <f>SUM(S22:S44)</f>
        <v>0</v>
      </c>
      <c r="T45" s="400">
        <f>SUM(T22:T44)</f>
        <v>0</v>
      </c>
      <c r="U45" s="66"/>
      <c r="V45" s="256">
        <f>SUM(V22:V44)</f>
        <v>11.07015</v>
      </c>
      <c r="W45" s="38"/>
    </row>
    <row r="46" spans="2:23" s="258" customFormat="1" ht="9.75" thickTop="1">
      <c r="B46" s="257"/>
      <c r="C46" s="242"/>
      <c r="D46" s="242"/>
      <c r="E46" s="242"/>
      <c r="F46" s="243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2"/>
      <c r="V46" s="263"/>
      <c r="W46" s="264"/>
    </row>
    <row r="47" spans="1:23" s="10" customFormat="1" ht="16.5" customHeight="1" thickBot="1">
      <c r="A47" s="11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2"/>
    </row>
    <row r="48" spans="1:23" ht="13.5" thickTop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3:6" ht="12.75">
      <c r="C49" s="6"/>
      <c r="D49" s="6"/>
      <c r="E49" s="6"/>
      <c r="F49" s="6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4"/>
  <headerFooter alignWithMargins="0">
    <oddFooter>&amp;L&amp;"Times New Roman,Normal"&amp;8&amp;Z&amp;F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0"/>
  <sheetViews>
    <sheetView zoomScale="75" zoomScaleNormal="75" zoomScalePageLayoutView="0" workbookViewId="0" topLeftCell="A1">
      <selection activeCell="F41" sqref="F41"/>
    </sheetView>
  </sheetViews>
  <sheetFormatPr defaultColWidth="13.421875" defaultRowHeight="12.75"/>
  <cols>
    <col min="1" max="2" width="13.8515625" style="0" customWidth="1"/>
    <col min="3" max="3" width="4.7109375" style="0" customWidth="1"/>
    <col min="4" max="4" width="41.7109375" style="0" customWidth="1"/>
    <col min="5" max="5" width="13.57421875" style="0" customWidth="1"/>
    <col min="6" max="6" width="11.8515625" style="0" customWidth="1"/>
    <col min="7" max="7" width="6.7109375" style="0" customWidth="1"/>
    <col min="8" max="8" width="24.8515625" style="0" bestFit="1" customWidth="1"/>
    <col min="9" max="9" width="19.140625" style="0" customWidth="1"/>
    <col min="10" max="10" width="13.8515625" style="0" customWidth="1"/>
    <col min="11" max="11" width="8.421875" style="0" customWidth="1"/>
    <col min="12" max="12" width="33.28125" style="0" customWidth="1"/>
    <col min="13" max="13" width="8.421875" style="0" customWidth="1"/>
    <col min="14" max="14" width="9.28125" style="0" customWidth="1"/>
    <col min="15" max="15" width="9.8515625" style="0" customWidth="1"/>
    <col min="16" max="16" width="13.8515625" style="0" customWidth="1"/>
  </cols>
  <sheetData>
    <row r="1" s="109" customFormat="1" ht="39.75" customHeight="1">
      <c r="P1" s="412"/>
    </row>
    <row r="2" spans="1:16" s="109" customFormat="1" ht="26.25">
      <c r="A2" s="168"/>
      <c r="B2" s="680" t="str">
        <f>'TOT-0214'!B2</f>
        <v>ANEXO II al Memorándum  D.T.E.E.  N°  223 /2016               .-</v>
      </c>
      <c r="C2" s="680"/>
      <c r="D2" s="68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4" s="112" customFormat="1" ht="12.75">
      <c r="A3" s="685" t="s">
        <v>148</v>
      </c>
      <c r="B3" s="10"/>
      <c r="C3" s="10"/>
      <c r="D3" s="10"/>
    </row>
    <row r="4" spans="1:4" s="112" customFormat="1" ht="11.25">
      <c r="A4" s="685" t="s">
        <v>147</v>
      </c>
      <c r="B4" s="231"/>
      <c r="C4" s="231"/>
      <c r="D4" s="231"/>
    </row>
    <row r="5" spans="1:4" s="10" customFormat="1" ht="13.5" thickBot="1">
      <c r="A5" s="685"/>
      <c r="B5" s="231"/>
      <c r="C5" s="231"/>
      <c r="D5" s="231"/>
    </row>
    <row r="6" spans="1:16" s="10" customFormat="1" ht="13.5" thickTop="1">
      <c r="A6" s="8"/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3"/>
    </row>
    <row r="7" spans="1:16" s="114" customFormat="1" ht="20.25">
      <c r="A7" s="45"/>
      <c r="B7" s="113"/>
      <c r="C7" s="45"/>
      <c r="D7" s="21" t="s">
        <v>40</v>
      </c>
      <c r="G7" s="45"/>
      <c r="H7" s="45"/>
      <c r="I7" s="45"/>
      <c r="J7" s="45"/>
      <c r="K7" s="45"/>
      <c r="L7" s="45"/>
      <c r="M7" s="45"/>
      <c r="N7" s="45"/>
      <c r="O7" s="45"/>
      <c r="P7" s="115"/>
    </row>
    <row r="8" spans="1:16" ht="15">
      <c r="A8" s="1"/>
      <c r="B8" s="275"/>
      <c r="C8" s="73"/>
      <c r="D8" s="413"/>
      <c r="E8" s="73"/>
      <c r="F8" s="71"/>
      <c r="G8" s="73"/>
      <c r="H8" s="73"/>
      <c r="I8" s="73"/>
      <c r="J8" s="73"/>
      <c r="K8" s="73"/>
      <c r="L8" s="73"/>
      <c r="M8" s="73"/>
      <c r="N8" s="73"/>
      <c r="O8" s="73"/>
      <c r="P8" s="279"/>
    </row>
    <row r="9" spans="1:19" s="114" customFormat="1" ht="20.25">
      <c r="A9" s="45"/>
      <c r="B9" s="414"/>
      <c r="C9"/>
      <c r="D9" s="22" t="s">
        <v>179</v>
      </c>
      <c r="E9" s="415"/>
      <c r="F9" s="415"/>
      <c r="G9" s="415"/>
      <c r="H9" s="416"/>
      <c r="I9" s="415"/>
      <c r="J9" s="415"/>
      <c r="K9" s="415"/>
      <c r="L9" s="415"/>
      <c r="M9" s="415"/>
      <c r="N9" s="415"/>
      <c r="O9" s="415"/>
      <c r="P9" s="417"/>
      <c r="Q9" s="232"/>
      <c r="R9" s="175"/>
      <c r="S9" s="175"/>
    </row>
    <row r="10" spans="1:19" s="10" customFormat="1" ht="12.75">
      <c r="A10" s="8"/>
      <c r="B10" s="44"/>
      <c r="C10" s="8"/>
      <c r="D10" s="67"/>
      <c r="E10" s="30"/>
      <c r="F10" s="30"/>
      <c r="G10" s="30"/>
      <c r="H10" s="167"/>
      <c r="I10" s="30"/>
      <c r="J10" s="30"/>
      <c r="K10" s="30"/>
      <c r="L10" s="30"/>
      <c r="M10" s="30"/>
      <c r="N10" s="30"/>
      <c r="O10" s="30"/>
      <c r="P10" s="38"/>
      <c r="Q10" s="30"/>
      <c r="R10" s="30"/>
      <c r="S10" s="174"/>
    </row>
    <row r="11" spans="1:19" s="121" customFormat="1" ht="19.5">
      <c r="A11" s="47"/>
      <c r="B11" s="235" t="str">
        <f>+'TOT-0214'!B14</f>
        <v>Desde el 01 al 28 de febrero de 2014</v>
      </c>
      <c r="C11" s="141"/>
      <c r="D11" s="195"/>
      <c r="E11" s="195"/>
      <c r="F11" s="195"/>
      <c r="G11" s="195"/>
      <c r="H11" s="195"/>
      <c r="I11" s="141"/>
      <c r="J11" s="195"/>
      <c r="K11" s="195"/>
      <c r="L11" s="195"/>
      <c r="M11" s="195"/>
      <c r="N11" s="195"/>
      <c r="O11" s="195"/>
      <c r="P11" s="418"/>
      <c r="Q11" s="419"/>
      <c r="R11" s="419"/>
      <c r="S11" s="419"/>
    </row>
    <row r="12" spans="1:19" ht="15">
      <c r="A12" s="1"/>
      <c r="B12" s="275"/>
      <c r="C12" s="73"/>
      <c r="D12" s="69"/>
      <c r="E12" s="69"/>
      <c r="F12" s="69"/>
      <c r="G12" s="69"/>
      <c r="H12" s="420"/>
      <c r="I12" s="73"/>
      <c r="J12" s="69"/>
      <c r="K12" s="69"/>
      <c r="L12" s="69"/>
      <c r="M12" s="69"/>
      <c r="N12" s="69"/>
      <c r="O12" s="69"/>
      <c r="P12" s="70"/>
      <c r="Q12" s="4"/>
      <c r="R12" s="4"/>
      <c r="S12" s="421"/>
    </row>
    <row r="13" spans="1:19" ht="18" customHeight="1">
      <c r="A13" s="1"/>
      <c r="B13" s="275"/>
      <c r="C13" s="73"/>
      <c r="D13" s="69"/>
      <c r="E13" s="69"/>
      <c r="F13" s="69"/>
      <c r="G13" s="69"/>
      <c r="H13" s="81"/>
      <c r="I13" s="81"/>
      <c r="J13" s="69"/>
      <c r="K13" s="69"/>
      <c r="P13" s="70"/>
      <c r="Q13" s="4"/>
      <c r="R13" s="4"/>
      <c r="S13" s="421"/>
    </row>
    <row r="14" spans="1:19" ht="18" customHeight="1">
      <c r="A14" s="1"/>
      <c r="B14" s="275"/>
      <c r="C14" s="73"/>
      <c r="D14" s="68"/>
      <c r="E14" s="422"/>
      <c r="F14" s="69"/>
      <c r="G14" s="69"/>
      <c r="H14" s="81"/>
      <c r="I14" s="81"/>
      <c r="J14" s="69"/>
      <c r="K14" s="69"/>
      <c r="P14" s="70"/>
      <c r="Q14" s="4"/>
      <c r="R14" s="4"/>
      <c r="S14" s="421"/>
    </row>
    <row r="15" spans="1:16" ht="16.5" thickBot="1">
      <c r="A15" s="1"/>
      <c r="B15" s="275"/>
      <c r="C15" s="423" t="s">
        <v>89</v>
      </c>
      <c r="D15" s="71"/>
      <c r="E15" s="276"/>
      <c r="F15" s="277"/>
      <c r="G15" s="73"/>
      <c r="H15" s="73"/>
      <c r="I15" s="73"/>
      <c r="J15" s="72"/>
      <c r="K15" s="72"/>
      <c r="L15" s="278"/>
      <c r="M15" s="73"/>
      <c r="N15" s="73"/>
      <c r="O15" s="73"/>
      <c r="P15" s="279"/>
    </row>
    <row r="16" spans="1:16" ht="16.5" thickBot="1">
      <c r="A16" s="1"/>
      <c r="B16" s="275"/>
      <c r="C16" s="280"/>
      <c r="D16" s="71"/>
      <c r="E16" s="276"/>
      <c r="F16" s="277"/>
      <c r="G16" s="73"/>
      <c r="H16" s="73"/>
      <c r="L16" s="725" t="s">
        <v>85</v>
      </c>
      <c r="M16" s="735">
        <v>8.811</v>
      </c>
      <c r="N16" s="736"/>
      <c r="O16" s="73"/>
      <c r="P16" s="279"/>
    </row>
    <row r="17" spans="1:16" ht="15.75">
      <c r="A17" s="1"/>
      <c r="B17" s="275"/>
      <c r="C17" s="280"/>
      <c r="D17" s="72" t="s">
        <v>90</v>
      </c>
      <c r="E17" s="281">
        <f>MID(B11,16,2)*24</f>
        <v>672</v>
      </c>
      <c r="F17" s="73" t="s">
        <v>91</v>
      </c>
      <c r="G17" s="69"/>
      <c r="H17" s="424"/>
      <c r="I17" s="425" t="s">
        <v>92</v>
      </c>
      <c r="J17" s="730">
        <v>189.499</v>
      </c>
      <c r="K17" s="407"/>
      <c r="L17" s="726" t="s">
        <v>86</v>
      </c>
      <c r="M17" s="737">
        <v>6.612</v>
      </c>
      <c r="N17" s="738"/>
      <c r="O17" s="73"/>
      <c r="P17" s="279"/>
    </row>
    <row r="18" spans="1:16" ht="16.5" thickBot="1">
      <c r="A18" s="1"/>
      <c r="B18" s="275"/>
      <c r="C18" s="280"/>
      <c r="D18" s="72" t="s">
        <v>93</v>
      </c>
      <c r="E18" s="283">
        <v>0.025</v>
      </c>
      <c r="F18" s="69"/>
      <c r="G18" s="69"/>
      <c r="H18" s="426"/>
      <c r="I18" s="427" t="s">
        <v>94</v>
      </c>
      <c r="J18" s="428">
        <v>0.66</v>
      </c>
      <c r="K18" s="429"/>
      <c r="L18" s="727" t="s">
        <v>87</v>
      </c>
      <c r="M18" s="739">
        <v>6.612</v>
      </c>
      <c r="N18" s="740"/>
      <c r="O18" s="73"/>
      <c r="P18" s="279"/>
    </row>
    <row r="19" spans="1:16" ht="15.75">
      <c r="A19" s="1"/>
      <c r="B19" s="275"/>
      <c r="C19" s="280"/>
      <c r="D19" s="72"/>
      <c r="E19" s="283"/>
      <c r="F19" s="69"/>
      <c r="G19" s="69"/>
      <c r="H19" s="69"/>
      <c r="I19" s="69"/>
      <c r="L19" s="278"/>
      <c r="M19" s="73"/>
      <c r="N19" s="73"/>
      <c r="O19" s="73"/>
      <c r="P19" s="279"/>
    </row>
    <row r="20" spans="1:16" ht="15">
      <c r="A20" s="1"/>
      <c r="B20" s="275"/>
      <c r="C20" s="68" t="s">
        <v>95</v>
      </c>
      <c r="D20" s="76"/>
      <c r="E20" s="276"/>
      <c r="F20" s="277"/>
      <c r="G20" s="73"/>
      <c r="H20" s="73"/>
      <c r="I20" s="73"/>
      <c r="J20" s="72"/>
      <c r="K20" s="72"/>
      <c r="L20" s="278"/>
      <c r="M20" s="73"/>
      <c r="N20" s="73"/>
      <c r="O20" s="73"/>
      <c r="P20" s="279"/>
    </row>
    <row r="21" spans="1:16" ht="15">
      <c r="A21" s="1"/>
      <c r="B21" s="275"/>
      <c r="C21" s="73"/>
      <c r="D21" s="73"/>
      <c r="E21" s="73"/>
      <c r="F21" s="73"/>
      <c r="G21" s="73"/>
      <c r="H21" s="284"/>
      <c r="I21" s="73"/>
      <c r="J21" s="73"/>
      <c r="K21" s="73"/>
      <c r="L21" s="73"/>
      <c r="M21" s="73"/>
      <c r="N21" s="73"/>
      <c r="O21" s="73"/>
      <c r="P21" s="279"/>
    </row>
    <row r="22" spans="1:16" ht="15">
      <c r="A22" s="1"/>
      <c r="B22" s="275"/>
      <c r="C22" s="73"/>
      <c r="D22" s="72" t="s">
        <v>96</v>
      </c>
      <c r="E22" s="73"/>
      <c r="F22" s="284" t="s">
        <v>19</v>
      </c>
      <c r="G22" s="73"/>
      <c r="H22" s="71"/>
      <c r="I22" s="430">
        <v>56893.82</v>
      </c>
      <c r="J22" s="73"/>
      <c r="K22" s="73"/>
      <c r="L22" s="431"/>
      <c r="M22" s="73"/>
      <c r="N22" s="73"/>
      <c r="O22" s="73"/>
      <c r="P22" s="279"/>
    </row>
    <row r="23" spans="1:16" ht="15">
      <c r="A23" s="1"/>
      <c r="B23" s="275"/>
      <c r="C23" s="73"/>
      <c r="D23" s="73"/>
      <c r="E23" s="73"/>
      <c r="F23" s="284" t="s">
        <v>97</v>
      </c>
      <c r="G23" s="73"/>
      <c r="H23" s="71"/>
      <c r="I23" s="430">
        <v>728.24</v>
      </c>
      <c r="J23" s="73"/>
      <c r="K23" s="73"/>
      <c r="L23" s="431"/>
      <c r="M23" s="73"/>
      <c r="N23" s="73"/>
      <c r="O23" s="73"/>
      <c r="P23" s="279"/>
    </row>
    <row r="24" spans="1:16" ht="15">
      <c r="A24" s="1"/>
      <c r="B24" s="275"/>
      <c r="C24" s="73"/>
      <c r="D24" s="73"/>
      <c r="E24" s="73"/>
      <c r="F24" s="284" t="s">
        <v>3</v>
      </c>
      <c r="G24" s="73"/>
      <c r="H24" s="71"/>
      <c r="I24" s="432">
        <v>38.85</v>
      </c>
      <c r="J24" s="73"/>
      <c r="K24" s="73"/>
      <c r="L24" s="431"/>
      <c r="M24" s="73"/>
      <c r="N24" s="73"/>
      <c r="O24" s="73"/>
      <c r="P24" s="279"/>
    </row>
    <row r="25" spans="1:16" ht="15.75" thickBot="1">
      <c r="A25" s="1"/>
      <c r="B25" s="275"/>
      <c r="C25" s="73"/>
      <c r="D25" s="73"/>
      <c r="E25" s="73"/>
      <c r="F25" s="73"/>
      <c r="G25" s="73"/>
      <c r="H25" s="284"/>
      <c r="I25" s="73"/>
      <c r="J25" s="73"/>
      <c r="K25" s="73"/>
      <c r="L25" s="73"/>
      <c r="M25" s="73"/>
      <c r="N25" s="73"/>
      <c r="O25" s="73"/>
      <c r="P25" s="279"/>
    </row>
    <row r="26" spans="2:16" ht="20.25" thickBot="1" thickTop="1">
      <c r="B26" s="275"/>
      <c r="C26" s="80"/>
      <c r="H26" s="433" t="s">
        <v>98</v>
      </c>
      <c r="I26" s="154">
        <f>SUM(I22:I25)</f>
        <v>57660.909999999996</v>
      </c>
      <c r="L26" s="77"/>
      <c r="M26" s="77"/>
      <c r="N26" s="78"/>
      <c r="O26" s="79"/>
      <c r="P26" s="285"/>
    </row>
    <row r="27" spans="2:16" ht="15.75" thickTop="1">
      <c r="B27" s="275"/>
      <c r="C27" s="80"/>
      <c r="D27" s="76"/>
      <c r="E27" s="76"/>
      <c r="F27" s="82"/>
      <c r="G27" s="77"/>
      <c r="H27" s="77"/>
      <c r="I27" s="77"/>
      <c r="J27" s="77"/>
      <c r="K27" s="77"/>
      <c r="L27" s="77"/>
      <c r="M27" s="77"/>
      <c r="N27" s="78"/>
      <c r="O27" s="79"/>
      <c r="P27" s="285"/>
    </row>
    <row r="28" spans="2:16" ht="15">
      <c r="B28" s="275"/>
      <c r="C28" s="68" t="s">
        <v>99</v>
      </c>
      <c r="D28" s="76"/>
      <c r="E28" s="76"/>
      <c r="F28" s="82"/>
      <c r="G28" s="77"/>
      <c r="H28" s="77"/>
      <c r="I28" s="77"/>
      <c r="J28" s="77"/>
      <c r="K28" s="77"/>
      <c r="L28" s="77"/>
      <c r="M28" s="77"/>
      <c r="N28" s="78"/>
      <c r="O28" s="79"/>
      <c r="P28" s="285"/>
    </row>
    <row r="29" spans="2:16" ht="15">
      <c r="B29" s="275"/>
      <c r="C29" s="80"/>
      <c r="D29" s="76"/>
      <c r="E29" s="76"/>
      <c r="F29" s="82"/>
      <c r="G29" s="77"/>
      <c r="H29" s="77"/>
      <c r="I29" s="77"/>
      <c r="J29" s="77"/>
      <c r="K29" s="77"/>
      <c r="L29" s="77"/>
      <c r="M29" s="77"/>
      <c r="N29" s="78"/>
      <c r="O29" s="79"/>
      <c r="P29" s="285"/>
    </row>
    <row r="30" spans="2:16" ht="15.75">
      <c r="B30" s="275"/>
      <c r="C30" s="80"/>
      <c r="D30" s="434" t="s">
        <v>100</v>
      </c>
      <c r="E30" s="435" t="s">
        <v>15</v>
      </c>
      <c r="F30" s="436" t="s">
        <v>101</v>
      </c>
      <c r="G30" s="437"/>
      <c r="H30" s="663" t="s">
        <v>135</v>
      </c>
      <c r="I30" s="662" t="s">
        <v>134</v>
      </c>
      <c r="J30" s="658"/>
      <c r="K30" s="460"/>
      <c r="L30" s="438" t="s">
        <v>2</v>
      </c>
      <c r="N30" s="78"/>
      <c r="O30" s="79"/>
      <c r="P30" s="285"/>
    </row>
    <row r="31" spans="2:16" ht="15.75">
      <c r="B31" s="275"/>
      <c r="C31" s="80"/>
      <c r="D31" s="439" t="s">
        <v>4</v>
      </c>
      <c r="E31" s="440">
        <v>132</v>
      </c>
      <c r="F31" s="441">
        <v>31</v>
      </c>
      <c r="G31" s="442"/>
      <c r="H31" s="443">
        <f>F31*$J$17*$E$17/100</f>
        <v>39476.43168</v>
      </c>
      <c r="I31" s="444">
        <v>0</v>
      </c>
      <c r="J31" s="660" t="s">
        <v>181</v>
      </c>
      <c r="K31" s="446"/>
      <c r="L31" s="447">
        <f>SUM(H31:K31)</f>
        <v>39476.43168</v>
      </c>
      <c r="M31" s="77"/>
      <c r="N31" s="78"/>
      <c r="O31" s="79"/>
      <c r="P31" s="285"/>
    </row>
    <row r="32" spans="2:16" ht="15.75">
      <c r="B32" s="275"/>
      <c r="C32" s="80"/>
      <c r="D32" s="467" t="s">
        <v>5</v>
      </c>
      <c r="E32" s="76">
        <v>132</v>
      </c>
      <c r="F32" s="82">
        <v>110.3</v>
      </c>
      <c r="G32" s="77"/>
      <c r="H32" s="290">
        <f>F32*$J$17*$E$17/100</f>
        <v>140459.69078399998</v>
      </c>
      <c r="I32" s="484">
        <v>0</v>
      </c>
      <c r="J32" s="659" t="s">
        <v>181</v>
      </c>
      <c r="K32" s="282"/>
      <c r="L32" s="468">
        <f>SUM(H32:K32)</f>
        <v>140459.69078399998</v>
      </c>
      <c r="M32" s="77"/>
      <c r="N32" s="78"/>
      <c r="O32" s="79"/>
      <c r="P32" s="285"/>
    </row>
    <row r="33" spans="2:16" ht="15.75">
      <c r="B33" s="275"/>
      <c r="C33" s="80"/>
      <c r="D33" s="467" t="s">
        <v>6</v>
      </c>
      <c r="E33" s="76">
        <v>132</v>
      </c>
      <c r="F33" s="82">
        <v>185.6</v>
      </c>
      <c r="G33" s="77"/>
      <c r="H33" s="290">
        <f>F33*$J$17*$E$17/100</f>
        <v>236349.216768</v>
      </c>
      <c r="I33" s="484">
        <v>0</v>
      </c>
      <c r="J33" s="659" t="s">
        <v>181</v>
      </c>
      <c r="K33" s="282"/>
      <c r="L33" s="468">
        <f>SUM(H33:K33)</f>
        <v>236349.216768</v>
      </c>
      <c r="M33" s="77"/>
      <c r="N33" s="78"/>
      <c r="O33" s="79"/>
      <c r="P33" s="285"/>
    </row>
    <row r="34" spans="2:16" ht="15.75">
      <c r="B34" s="275"/>
      <c r="C34" s="80"/>
      <c r="D34" s="448" t="s">
        <v>7</v>
      </c>
      <c r="E34" s="449">
        <v>132</v>
      </c>
      <c r="F34" s="450">
        <v>7</v>
      </c>
      <c r="G34" s="451"/>
      <c r="H34" s="452">
        <f>F34*$J$17*$E$17/100</f>
        <v>8914.03296</v>
      </c>
      <c r="I34" s="453">
        <v>0</v>
      </c>
      <c r="J34" s="661" t="s">
        <v>181</v>
      </c>
      <c r="K34" s="455"/>
      <c r="L34" s="456">
        <f>SUM(H34:K34)</f>
        <v>8914.03296</v>
      </c>
      <c r="M34" s="77"/>
      <c r="N34" s="78"/>
      <c r="O34" s="79"/>
      <c r="P34" s="285"/>
    </row>
    <row r="35" spans="2:16" ht="15">
      <c r="B35" s="275"/>
      <c r="C35" s="80"/>
      <c r="D35" s="76"/>
      <c r="E35" s="76"/>
      <c r="F35" s="286"/>
      <c r="G35" s="77"/>
      <c r="I35" s="83"/>
      <c r="J35" s="282"/>
      <c r="K35" s="282"/>
      <c r="L35" s="457">
        <f>SUM(L31:L34)</f>
        <v>425199.372192</v>
      </c>
      <c r="M35" s="77"/>
      <c r="N35" s="78"/>
      <c r="O35" s="79"/>
      <c r="P35" s="285"/>
    </row>
    <row r="36" spans="2:16" ht="15">
      <c r="B36" s="275"/>
      <c r="C36" s="80"/>
      <c r="D36" s="76"/>
      <c r="E36" s="76"/>
      <c r="F36" s="286"/>
      <c r="G36" s="77"/>
      <c r="I36" s="83"/>
      <c r="J36" s="282"/>
      <c r="K36" s="282"/>
      <c r="L36" s="287"/>
      <c r="M36" s="77"/>
      <c r="N36" s="78"/>
      <c r="O36" s="79"/>
      <c r="P36" s="285"/>
    </row>
    <row r="37" spans="2:16" ht="15.75">
      <c r="B37" s="275"/>
      <c r="C37" s="80"/>
      <c r="D37" s="434" t="s">
        <v>102</v>
      </c>
      <c r="E37" s="435" t="s">
        <v>103</v>
      </c>
      <c r="F37" s="485" t="s">
        <v>113</v>
      </c>
      <c r="G37" s="486"/>
      <c r="H37" s="664" t="s">
        <v>136</v>
      </c>
      <c r="J37" s="458" t="s">
        <v>104</v>
      </c>
      <c r="K37" s="459"/>
      <c r="L37" s="460" t="s">
        <v>50</v>
      </c>
      <c r="M37" s="435" t="s">
        <v>15</v>
      </c>
      <c r="N37" s="461" t="s">
        <v>105</v>
      </c>
      <c r="O37" s="462"/>
      <c r="P37" s="285"/>
    </row>
    <row r="38" spans="2:16" ht="15">
      <c r="B38" s="275"/>
      <c r="C38" s="80"/>
      <c r="D38" s="439" t="s">
        <v>9</v>
      </c>
      <c r="E38" s="440" t="s">
        <v>114</v>
      </c>
      <c r="F38" s="487">
        <v>30</v>
      </c>
      <c r="G38" s="488"/>
      <c r="H38" s="447">
        <f>+F38*$J$18*$E$17</f>
        <v>13305.6</v>
      </c>
      <c r="J38" s="463" t="s">
        <v>115</v>
      </c>
      <c r="K38" s="445"/>
      <c r="L38" s="442" t="s">
        <v>116</v>
      </c>
      <c r="M38" s="464">
        <v>132</v>
      </c>
      <c r="N38" s="465">
        <f>M16*E17</f>
        <v>5920.992</v>
      </c>
      <c r="O38" s="466"/>
      <c r="P38" s="285"/>
    </row>
    <row r="39" spans="2:16" ht="15">
      <c r="B39" s="275"/>
      <c r="C39" s="80"/>
      <c r="D39" s="467" t="s">
        <v>12</v>
      </c>
      <c r="E39" s="76" t="s">
        <v>117</v>
      </c>
      <c r="F39" s="489">
        <v>88</v>
      </c>
      <c r="G39" s="490"/>
      <c r="H39" s="468">
        <f>+F39*$J$18*$E$17</f>
        <v>39029.76</v>
      </c>
      <c r="J39" s="469" t="s">
        <v>10</v>
      </c>
      <c r="K39" s="470"/>
      <c r="L39" s="77" t="s">
        <v>118</v>
      </c>
      <c r="M39" s="78">
        <v>33</v>
      </c>
      <c r="N39" s="471">
        <f>+M17*E17*2</f>
        <v>8886.528</v>
      </c>
      <c r="O39" s="472"/>
      <c r="P39" s="285"/>
    </row>
    <row r="40" spans="2:16" ht="15">
      <c r="B40" s="275"/>
      <c r="C40" s="80"/>
      <c r="D40" s="467" t="s">
        <v>10</v>
      </c>
      <c r="E40" s="76" t="s">
        <v>8</v>
      </c>
      <c r="F40" s="489">
        <v>7.5</v>
      </c>
      <c r="G40" s="490"/>
      <c r="H40" s="468">
        <f>+F40*$J$18*$E$17</f>
        <v>3326.4</v>
      </c>
      <c r="J40" s="469" t="s">
        <v>11</v>
      </c>
      <c r="K40" s="470"/>
      <c r="L40" s="77" t="s">
        <v>119</v>
      </c>
      <c r="M40" s="78">
        <v>33</v>
      </c>
      <c r="N40" s="471">
        <f>3*M17*E17</f>
        <v>13329.792</v>
      </c>
      <c r="O40" s="472"/>
      <c r="P40" s="285"/>
    </row>
    <row r="41" spans="2:16" ht="15">
      <c r="B41" s="275"/>
      <c r="C41" s="80"/>
      <c r="D41" s="467" t="s">
        <v>11</v>
      </c>
      <c r="E41" s="76" t="s">
        <v>8</v>
      </c>
      <c r="F41" s="489">
        <v>15</v>
      </c>
      <c r="G41" s="490"/>
      <c r="H41" s="468">
        <f>+F41*$J$18*$E$17</f>
        <v>6652.8</v>
      </c>
      <c r="J41" s="469" t="s">
        <v>13</v>
      </c>
      <c r="K41" s="470"/>
      <c r="L41" s="77" t="s">
        <v>120</v>
      </c>
      <c r="M41" s="78">
        <v>13.2</v>
      </c>
      <c r="N41" s="471">
        <f>+M18*E17*6</f>
        <v>26659.584000000003</v>
      </c>
      <c r="O41" s="472"/>
      <c r="P41" s="285"/>
    </row>
    <row r="42" spans="2:16" ht="15">
      <c r="B42" s="275"/>
      <c r="C42" s="80"/>
      <c r="D42" s="448" t="s">
        <v>13</v>
      </c>
      <c r="E42" s="449" t="s">
        <v>121</v>
      </c>
      <c r="F42" s="491">
        <v>30</v>
      </c>
      <c r="G42" s="492"/>
      <c r="H42" s="468">
        <f>+F42*$J$18*$E$17</f>
        <v>13305.6</v>
      </c>
      <c r="J42" s="469" t="s">
        <v>9</v>
      </c>
      <c r="K42" s="470"/>
      <c r="L42" s="77" t="s">
        <v>122</v>
      </c>
      <c r="M42" s="78"/>
      <c r="N42" s="471">
        <f>+M17*E17+M18*E17*2</f>
        <v>13329.792000000001</v>
      </c>
      <c r="O42" s="472"/>
      <c r="P42" s="285"/>
    </row>
    <row r="43" spans="2:16" ht="15">
      <c r="B43" s="275"/>
      <c r="C43" s="80"/>
      <c r="D43" s="76"/>
      <c r="E43" s="76"/>
      <c r="F43" s="286"/>
      <c r="G43" s="77"/>
      <c r="H43" s="457">
        <f>SUM(H38:H42)</f>
        <v>75620.16</v>
      </c>
      <c r="J43" s="473" t="s">
        <v>12</v>
      </c>
      <c r="K43" s="454"/>
      <c r="L43" s="451" t="s">
        <v>123</v>
      </c>
      <c r="M43" s="474"/>
      <c r="N43" s="475">
        <f>(M16+M17+M18*5)*E17</f>
        <v>32580.576</v>
      </c>
      <c r="O43" s="476"/>
      <c r="P43" s="285"/>
    </row>
    <row r="44" spans="2:16" ht="15">
      <c r="B44" s="275"/>
      <c r="C44" s="80"/>
      <c r="D44" s="76"/>
      <c r="E44" s="76"/>
      <c r="F44" s="286"/>
      <c r="G44" s="77"/>
      <c r="I44" s="83"/>
      <c r="J44" s="282"/>
      <c r="K44" s="282"/>
      <c r="L44" s="287"/>
      <c r="M44" s="77"/>
      <c r="N44" s="477">
        <f>SUM(N38:N43)</f>
        <v>100707.264</v>
      </c>
      <c r="O44" s="462"/>
      <c r="P44" s="285"/>
    </row>
    <row r="45" spans="2:16" ht="12.75" customHeight="1" thickBot="1">
      <c r="B45" s="275"/>
      <c r="C45" s="80"/>
      <c r="D45" s="76"/>
      <c r="E45" s="76"/>
      <c r="F45" s="82"/>
      <c r="G45" s="77"/>
      <c r="H45" s="83"/>
      <c r="I45" s="76"/>
      <c r="J45" s="76"/>
      <c r="K45" s="76"/>
      <c r="L45" s="77"/>
      <c r="M45" s="77"/>
      <c r="N45" s="78"/>
      <c r="O45" s="79"/>
      <c r="P45" s="285"/>
    </row>
    <row r="46" spans="2:16" ht="20.25" thickBot="1" thickTop="1">
      <c r="B46" s="275"/>
      <c r="C46" s="80"/>
      <c r="D46" s="76"/>
      <c r="E46" s="76"/>
      <c r="F46" s="82"/>
      <c r="G46" s="77"/>
      <c r="H46" s="478" t="s">
        <v>106</v>
      </c>
      <c r="I46" s="479">
        <f>+H43+N44+L35</f>
        <v>601526.7961919999</v>
      </c>
      <c r="J46" s="76"/>
      <c r="K46" s="478" t="s">
        <v>192</v>
      </c>
      <c r="L46" s="479">
        <v>221338.78</v>
      </c>
      <c r="M46" s="77"/>
      <c r="N46" s="78"/>
      <c r="O46" s="79"/>
      <c r="P46" s="285"/>
    </row>
    <row r="47" spans="2:16" ht="15.75" thickTop="1">
      <c r="B47" s="275"/>
      <c r="C47" s="80"/>
      <c r="D47" s="76"/>
      <c r="E47" s="76"/>
      <c r="F47" s="82"/>
      <c r="G47" s="77"/>
      <c r="H47" s="83"/>
      <c r="I47" s="76"/>
      <c r="J47" s="76"/>
      <c r="K47" s="76"/>
      <c r="L47" s="77"/>
      <c r="M47" s="77"/>
      <c r="N47" s="78"/>
      <c r="O47" s="79"/>
      <c r="P47" s="285"/>
    </row>
    <row r="48" spans="2:16" ht="15.75">
      <c r="B48" s="275"/>
      <c r="C48" s="480" t="s">
        <v>107</v>
      </c>
      <c r="D48" s="76"/>
      <c r="E48" s="76"/>
      <c r="F48" s="82"/>
      <c r="G48" s="77"/>
      <c r="H48" s="83"/>
      <c r="I48" s="76"/>
      <c r="J48" s="76"/>
      <c r="K48" s="76"/>
      <c r="L48" s="77"/>
      <c r="M48" s="77"/>
      <c r="N48" s="78"/>
      <c r="O48" s="79"/>
      <c r="P48" s="285"/>
    </row>
    <row r="49" spans="2:16" ht="15.75" thickBot="1">
      <c r="B49" s="275"/>
      <c r="C49" s="80"/>
      <c r="D49" s="76"/>
      <c r="E49" s="76"/>
      <c r="F49" s="82"/>
      <c r="G49" s="77"/>
      <c r="H49" s="83"/>
      <c r="I49" s="76"/>
      <c r="J49" s="76"/>
      <c r="K49" s="76"/>
      <c r="L49" s="77"/>
      <c r="M49" s="77"/>
      <c r="N49" s="78"/>
      <c r="O49" s="79"/>
      <c r="P49" s="285"/>
    </row>
    <row r="50" spans="2:16" ht="20.25" thickBot="1" thickTop="1">
      <c r="B50" s="275"/>
      <c r="C50" s="80"/>
      <c r="D50" s="233" t="s">
        <v>108</v>
      </c>
      <c r="F50" s="288"/>
      <c r="G50" s="73"/>
      <c r="H50" s="153" t="s">
        <v>109</v>
      </c>
      <c r="I50" s="481">
        <f>E18*L46</f>
        <v>5533.4695</v>
      </c>
      <c r="J50" s="69"/>
      <c r="K50" s="69"/>
      <c r="O50" s="69"/>
      <c r="P50" s="285"/>
    </row>
    <row r="51" spans="2:16" ht="21.75" thickTop="1">
      <c r="B51" s="275"/>
      <c r="C51" s="80"/>
      <c r="F51" s="289"/>
      <c r="G51" s="45"/>
      <c r="I51" s="69"/>
      <c r="J51" s="69"/>
      <c r="K51" s="69"/>
      <c r="O51" s="69"/>
      <c r="P51" s="285"/>
    </row>
    <row r="52" spans="2:16" ht="15">
      <c r="B52" s="275"/>
      <c r="C52" s="68" t="s">
        <v>110</v>
      </c>
      <c r="E52" s="69"/>
      <c r="F52" s="69"/>
      <c r="G52" s="69"/>
      <c r="H52" s="69"/>
      <c r="I52" s="77"/>
      <c r="J52" s="77"/>
      <c r="K52" s="77"/>
      <c r="L52" s="77"/>
      <c r="M52" s="77"/>
      <c r="N52" s="78"/>
      <c r="O52" s="79"/>
      <c r="P52" s="285"/>
    </row>
    <row r="53" spans="2:16" ht="15">
      <c r="B53" s="275"/>
      <c r="C53" s="80"/>
      <c r="D53" s="75" t="s">
        <v>111</v>
      </c>
      <c r="E53" s="290">
        <f>10*I26*I50/I46</f>
        <v>5304.250597763951</v>
      </c>
      <c r="F53" s="482"/>
      <c r="H53" s="69"/>
      <c r="I53" s="77"/>
      <c r="J53" s="77"/>
      <c r="K53" s="77"/>
      <c r="L53" s="77"/>
      <c r="M53" s="77"/>
      <c r="N53" s="78"/>
      <c r="O53" s="79"/>
      <c r="P53" s="285"/>
    </row>
    <row r="54" spans="2:16" ht="15">
      <c r="B54" s="275"/>
      <c r="C54" s="80"/>
      <c r="D54" s="69"/>
      <c r="E54" s="69"/>
      <c r="J54" s="77"/>
      <c r="K54" s="77"/>
      <c r="L54" s="77"/>
      <c r="M54" s="77"/>
      <c r="N54" s="78"/>
      <c r="O54" s="79"/>
      <c r="P54" s="285"/>
    </row>
    <row r="55" spans="2:16" ht="15">
      <c r="B55" s="275"/>
      <c r="C55" s="80"/>
      <c r="D55" s="69" t="s">
        <v>124</v>
      </c>
      <c r="E55" s="69"/>
      <c r="F55" s="69"/>
      <c r="G55" s="69"/>
      <c r="H55" s="69"/>
      <c r="M55" s="77"/>
      <c r="N55" s="78"/>
      <c r="O55" s="79"/>
      <c r="P55" s="285"/>
    </row>
    <row r="56" spans="2:16" ht="15.75" thickBot="1">
      <c r="B56" s="275"/>
      <c r="C56" s="80"/>
      <c r="D56" s="69"/>
      <c r="E56" s="69"/>
      <c r="F56" s="69"/>
      <c r="G56" s="69"/>
      <c r="H56" s="69"/>
      <c r="M56" s="77"/>
      <c r="N56" s="78"/>
      <c r="O56" s="79"/>
      <c r="P56" s="285"/>
    </row>
    <row r="57" spans="2:16" ht="20.25" thickBot="1" thickTop="1">
      <c r="B57" s="275"/>
      <c r="C57" s="80"/>
      <c r="D57" s="76"/>
      <c r="E57" s="76"/>
      <c r="F57" s="82"/>
      <c r="G57" s="77"/>
      <c r="H57" s="234" t="s">
        <v>112</v>
      </c>
      <c r="I57" s="483">
        <f>IF($E$53&gt;3*I50,3*I50,$E$53)</f>
        <v>5304.250597763951</v>
      </c>
      <c r="J57" s="77"/>
      <c r="K57" s="77"/>
      <c r="L57" s="77"/>
      <c r="M57" s="77"/>
      <c r="N57" s="78"/>
      <c r="O57" s="79"/>
      <c r="P57" s="285"/>
    </row>
    <row r="58" spans="2:16" ht="16.5" thickBot="1" thickTop="1">
      <c r="B58" s="291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3"/>
    </row>
    <row r="59" spans="2:16" ht="13.5" thickTop="1">
      <c r="B59" s="1"/>
      <c r="P59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8" ht="12" customHeight="1"/>
    <row r="104" ht="12.75">
      <c r="B104" s="1"/>
    </row>
    <row r="110" ht="12.75">
      <c r="A110" s="1"/>
    </row>
  </sheetData>
  <sheetProtection/>
  <mergeCells count="3">
    <mergeCell ref="M16:N16"/>
    <mergeCell ref="M17:N17"/>
    <mergeCell ref="M18:N18"/>
  </mergeCells>
  <printOptions/>
  <pageMargins left="0.75" right="0.1968503937007874" top="0.7874015748031497" bottom="0.7874015748031497" header="0.5118110236220472" footer="0.5118110236220472"/>
  <pageSetup fitToHeight="1" fitToWidth="1" orientation="landscape" paperSize="9" scale="55" r:id="rId4"/>
  <headerFooter alignWithMargins="0">
    <oddFooter>&amp;L&amp;"Times New Roman,Normal"&amp;8&amp;Z&amp;F</oddFoot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0"/>
  <sheetViews>
    <sheetView zoomScale="75" zoomScaleNormal="75" zoomScalePageLayoutView="0" workbookViewId="0" topLeftCell="A1">
      <selection activeCell="L47" sqref="L47"/>
    </sheetView>
  </sheetViews>
  <sheetFormatPr defaultColWidth="13.421875" defaultRowHeight="12.75"/>
  <cols>
    <col min="1" max="2" width="13.8515625" style="0" customWidth="1"/>
    <col min="3" max="3" width="4.7109375" style="0" customWidth="1"/>
    <col min="4" max="4" width="41.7109375" style="0" customWidth="1"/>
    <col min="5" max="5" width="13.57421875" style="0" customWidth="1"/>
    <col min="6" max="6" width="11.8515625" style="0" customWidth="1"/>
    <col min="7" max="7" width="6.7109375" style="0" customWidth="1"/>
    <col min="8" max="8" width="24.8515625" style="0" bestFit="1" customWidth="1"/>
    <col min="9" max="9" width="19.140625" style="0" customWidth="1"/>
    <col min="10" max="10" width="13.8515625" style="0" customWidth="1"/>
    <col min="11" max="11" width="8.421875" style="0" customWidth="1"/>
    <col min="12" max="12" width="33.28125" style="0" customWidth="1"/>
    <col min="13" max="13" width="8.421875" style="0" customWidth="1"/>
    <col min="14" max="14" width="9.28125" style="0" customWidth="1"/>
    <col min="15" max="15" width="9.8515625" style="0" customWidth="1"/>
    <col min="16" max="16" width="13.8515625" style="0" customWidth="1"/>
  </cols>
  <sheetData>
    <row r="1" s="109" customFormat="1" ht="39.75" customHeight="1">
      <c r="P1" s="412"/>
    </row>
    <row r="2" spans="1:16" s="109" customFormat="1" ht="26.25">
      <c r="A2" s="168"/>
      <c r="B2" s="680" t="str">
        <f>'TOT-0214'!B2</f>
        <v>ANEXO II al Memorándum  D.T.E.E.  N°  223 /2016               .-</v>
      </c>
      <c r="C2" s="68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3" s="112" customFormat="1" ht="12.75">
      <c r="A3" s="685" t="s">
        <v>148</v>
      </c>
      <c r="B3" s="10"/>
      <c r="C3" s="10"/>
    </row>
    <row r="4" spans="1:3" s="112" customFormat="1" ht="11.25">
      <c r="A4" s="685" t="s">
        <v>186</v>
      </c>
      <c r="B4" s="231"/>
      <c r="C4" s="231"/>
    </row>
    <row r="5" s="10" customFormat="1" ht="13.5" thickBot="1"/>
    <row r="6" spans="1:16" s="10" customFormat="1" ht="13.5" thickTop="1">
      <c r="A6" s="8"/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3"/>
    </row>
    <row r="7" spans="1:16" s="114" customFormat="1" ht="20.25">
      <c r="A7" s="45"/>
      <c r="B7" s="113"/>
      <c r="C7" s="45"/>
      <c r="D7" s="21" t="s">
        <v>40</v>
      </c>
      <c r="G7" s="45"/>
      <c r="H7" s="45"/>
      <c r="I7" s="45"/>
      <c r="J7" s="45"/>
      <c r="K7" s="45"/>
      <c r="L7" s="45"/>
      <c r="M7" s="45"/>
      <c r="N7" s="45"/>
      <c r="O7" s="45"/>
      <c r="P7" s="115"/>
    </row>
    <row r="8" spans="1:16" ht="15">
      <c r="A8" s="1"/>
      <c r="B8" s="275"/>
      <c r="C8" s="73"/>
      <c r="D8" s="413"/>
      <c r="E8" s="73"/>
      <c r="F8" s="71"/>
      <c r="G8" s="73"/>
      <c r="H8" s="73"/>
      <c r="I8" s="73"/>
      <c r="J8" s="73"/>
      <c r="K8" s="73"/>
      <c r="L8" s="73"/>
      <c r="M8" s="73"/>
      <c r="N8" s="73"/>
      <c r="O8" s="73"/>
      <c r="P8" s="279"/>
    </row>
    <row r="9" spans="1:19" s="114" customFormat="1" ht="20.25">
      <c r="A9" s="45"/>
      <c r="B9" s="414"/>
      <c r="C9"/>
      <c r="D9" s="22" t="s">
        <v>180</v>
      </c>
      <c r="E9" s="415"/>
      <c r="F9" s="415"/>
      <c r="G9" s="415"/>
      <c r="H9" s="416"/>
      <c r="I9" s="415"/>
      <c r="J9" s="415"/>
      <c r="K9" s="415"/>
      <c r="L9" s="415"/>
      <c r="M9" s="415"/>
      <c r="N9" s="415"/>
      <c r="O9" s="415"/>
      <c r="P9" s="417"/>
      <c r="Q9" s="232"/>
      <c r="R9" s="175"/>
      <c r="S9" s="175"/>
    </row>
    <row r="10" spans="1:19" s="10" customFormat="1" ht="12.75">
      <c r="A10" s="8"/>
      <c r="B10" s="44"/>
      <c r="C10" s="8"/>
      <c r="D10" s="67"/>
      <c r="E10" s="30"/>
      <c r="F10" s="30"/>
      <c r="G10" s="30"/>
      <c r="H10" s="167"/>
      <c r="I10" s="30"/>
      <c r="J10" s="30"/>
      <c r="K10" s="30"/>
      <c r="L10" s="30"/>
      <c r="M10" s="30"/>
      <c r="N10" s="30"/>
      <c r="O10" s="30"/>
      <c r="P10" s="38"/>
      <c r="Q10" s="30"/>
      <c r="R10" s="30"/>
      <c r="S10" s="174"/>
    </row>
    <row r="11" spans="1:19" s="121" customFormat="1" ht="19.5">
      <c r="A11" s="47"/>
      <c r="B11" s="235" t="str">
        <f>+'TOT-0214'!B14</f>
        <v>Desde el 01 al 28 de febrero de 2014</v>
      </c>
      <c r="C11" s="141"/>
      <c r="D11" s="195"/>
      <c r="E11" s="195"/>
      <c r="F11" s="195"/>
      <c r="G11" s="195"/>
      <c r="H11" s="195"/>
      <c r="I11" s="141"/>
      <c r="J11" s="195"/>
      <c r="K11" s="195"/>
      <c r="L11" s="195"/>
      <c r="M11" s="195"/>
      <c r="N11" s="195"/>
      <c r="O11" s="195"/>
      <c r="P11" s="418"/>
      <c r="Q11" s="419"/>
      <c r="R11" s="419"/>
      <c r="S11" s="419"/>
    </row>
    <row r="12" spans="1:19" ht="15">
      <c r="A12" s="1"/>
      <c r="B12" s="275"/>
      <c r="C12" s="73"/>
      <c r="D12" s="69"/>
      <c r="E12" s="69"/>
      <c r="F12" s="69"/>
      <c r="G12" s="69"/>
      <c r="H12" s="420"/>
      <c r="I12" s="73"/>
      <c r="J12" s="69"/>
      <c r="K12" s="69"/>
      <c r="L12" s="69"/>
      <c r="M12" s="69"/>
      <c r="N12" s="69"/>
      <c r="O12" s="69"/>
      <c r="P12" s="70"/>
      <c r="Q12" s="4"/>
      <c r="R12" s="4"/>
      <c r="S12" s="421"/>
    </row>
    <row r="13" spans="1:19" ht="18" customHeight="1">
      <c r="A13" s="1"/>
      <c r="B13" s="275"/>
      <c r="C13" s="73"/>
      <c r="D13" s="69"/>
      <c r="E13" s="69"/>
      <c r="F13" s="69"/>
      <c r="G13" s="69"/>
      <c r="H13" s="81"/>
      <c r="I13" s="81"/>
      <c r="J13" s="69"/>
      <c r="K13" s="69"/>
      <c r="P13" s="70"/>
      <c r="Q13" s="4"/>
      <c r="R13" s="4"/>
      <c r="S13" s="421"/>
    </row>
    <row r="14" spans="1:19" ht="18" customHeight="1">
      <c r="A14" s="1"/>
      <c r="B14" s="275"/>
      <c r="C14" s="73"/>
      <c r="D14" s="68"/>
      <c r="E14" s="422"/>
      <c r="F14" s="69"/>
      <c r="G14" s="69"/>
      <c r="H14" s="81"/>
      <c r="I14" s="81"/>
      <c r="J14" s="69"/>
      <c r="K14" s="69"/>
      <c r="P14" s="70"/>
      <c r="Q14" s="4"/>
      <c r="R14" s="4"/>
      <c r="S14" s="421"/>
    </row>
    <row r="15" spans="1:16" ht="16.5" thickBot="1">
      <c r="A15" s="1"/>
      <c r="B15" s="275"/>
      <c r="C15" s="423" t="s">
        <v>89</v>
      </c>
      <c r="D15" s="71"/>
      <c r="E15" s="276"/>
      <c r="F15" s="277"/>
      <c r="G15" s="73"/>
      <c r="H15" s="73"/>
      <c r="I15" s="73"/>
      <c r="J15" s="72"/>
      <c r="K15" s="72"/>
      <c r="L15" s="278"/>
      <c r="M15" s="73"/>
      <c r="N15" s="73"/>
      <c r="O15" s="73"/>
      <c r="P15" s="279"/>
    </row>
    <row r="16" spans="1:16" ht="16.5" thickBot="1">
      <c r="A16" s="1"/>
      <c r="B16" s="275"/>
      <c r="C16" s="280"/>
      <c r="D16" s="71"/>
      <c r="E16" s="276"/>
      <c r="F16" s="277"/>
      <c r="G16" s="73"/>
      <c r="H16" s="73"/>
      <c r="L16" s="725" t="s">
        <v>85</v>
      </c>
      <c r="M16" s="735">
        <v>8.811</v>
      </c>
      <c r="N16" s="736"/>
      <c r="O16" s="73"/>
      <c r="P16" s="279"/>
    </row>
    <row r="17" spans="1:16" ht="15.75">
      <c r="A17" s="1"/>
      <c r="B17" s="275"/>
      <c r="C17" s="280"/>
      <c r="D17" s="72" t="s">
        <v>90</v>
      </c>
      <c r="E17" s="281">
        <f>MID(B11,16,2)*24</f>
        <v>672</v>
      </c>
      <c r="F17" s="73" t="s">
        <v>91</v>
      </c>
      <c r="G17" s="69"/>
      <c r="H17" s="424"/>
      <c r="I17" s="425" t="s">
        <v>92</v>
      </c>
      <c r="J17" s="730">
        <v>189.499</v>
      </c>
      <c r="K17" s="407"/>
      <c r="L17" s="726" t="s">
        <v>86</v>
      </c>
      <c r="M17" s="737">
        <v>6.612</v>
      </c>
      <c r="N17" s="738"/>
      <c r="O17" s="73"/>
      <c r="P17" s="279"/>
    </row>
    <row r="18" spans="1:16" ht="16.5" thickBot="1">
      <c r="A18" s="1"/>
      <c r="B18" s="275"/>
      <c r="C18" s="280"/>
      <c r="D18" s="72" t="s">
        <v>93</v>
      </c>
      <c r="E18" s="283">
        <v>0.025</v>
      </c>
      <c r="F18" s="69"/>
      <c r="G18" s="69"/>
      <c r="H18" s="426"/>
      <c r="I18" s="427" t="s">
        <v>94</v>
      </c>
      <c r="J18" s="428">
        <v>0.66</v>
      </c>
      <c r="K18" s="429"/>
      <c r="L18" s="727" t="s">
        <v>87</v>
      </c>
      <c r="M18" s="739">
        <v>6.612</v>
      </c>
      <c r="N18" s="740"/>
      <c r="O18" s="73"/>
      <c r="P18" s="279"/>
    </row>
    <row r="19" spans="1:16" ht="15.75">
      <c r="A19" s="1"/>
      <c r="B19" s="275"/>
      <c r="C19" s="280"/>
      <c r="D19" s="72"/>
      <c r="E19" s="283"/>
      <c r="F19" s="69"/>
      <c r="G19" s="69"/>
      <c r="H19" s="69"/>
      <c r="I19" s="69"/>
      <c r="L19" s="278"/>
      <c r="M19" s="73"/>
      <c r="N19" s="73"/>
      <c r="O19" s="73"/>
      <c r="P19" s="279"/>
    </row>
    <row r="20" spans="1:16" ht="15">
      <c r="A20" s="1"/>
      <c r="B20" s="275"/>
      <c r="C20" s="68" t="s">
        <v>95</v>
      </c>
      <c r="D20" s="76"/>
      <c r="E20" s="276"/>
      <c r="F20" s="277"/>
      <c r="G20" s="73"/>
      <c r="H20" s="73"/>
      <c r="I20" s="73"/>
      <c r="J20" s="72"/>
      <c r="K20" s="72"/>
      <c r="L20" s="278"/>
      <c r="M20" s="73"/>
      <c r="N20" s="73"/>
      <c r="O20" s="73"/>
      <c r="P20" s="279"/>
    </row>
    <row r="21" spans="1:16" ht="15">
      <c r="A21" s="1"/>
      <c r="B21" s="275"/>
      <c r="C21" s="73"/>
      <c r="D21" s="73"/>
      <c r="E21" s="73"/>
      <c r="F21" s="73"/>
      <c r="G21" s="73"/>
      <c r="H21" s="284"/>
      <c r="I21" s="73"/>
      <c r="J21" s="73"/>
      <c r="K21" s="73"/>
      <c r="L21" s="73"/>
      <c r="M21" s="73"/>
      <c r="N21" s="73"/>
      <c r="O21" s="73"/>
      <c r="P21" s="279"/>
    </row>
    <row r="22" spans="1:16" ht="15">
      <c r="A22" s="1"/>
      <c r="B22" s="275"/>
      <c r="C22" s="73"/>
      <c r="D22" s="72" t="s">
        <v>96</v>
      </c>
      <c r="E22" s="73"/>
      <c r="F22" s="284" t="s">
        <v>19</v>
      </c>
      <c r="G22" s="73"/>
      <c r="H22" s="71"/>
      <c r="I22" s="430">
        <v>40.02</v>
      </c>
      <c r="J22" s="73"/>
      <c r="K22" s="73"/>
      <c r="L22" s="431"/>
      <c r="M22" s="73"/>
      <c r="N22" s="73"/>
      <c r="O22" s="73"/>
      <c r="P22" s="279"/>
    </row>
    <row r="23" spans="1:16" ht="15">
      <c r="A23" s="1"/>
      <c r="B23" s="275"/>
      <c r="C23" s="73"/>
      <c r="D23" s="73"/>
      <c r="E23" s="73"/>
      <c r="F23" s="284" t="s">
        <v>97</v>
      </c>
      <c r="G23" s="73"/>
      <c r="H23" s="71"/>
      <c r="I23" s="430">
        <v>16.34</v>
      </c>
      <c r="J23" s="73"/>
      <c r="K23" s="73"/>
      <c r="L23" s="719"/>
      <c r="M23" s="73"/>
      <c r="N23" s="73"/>
      <c r="O23" s="73"/>
      <c r="P23" s="279"/>
    </row>
    <row r="24" spans="1:16" ht="15">
      <c r="A24" s="1"/>
      <c r="B24" s="275"/>
      <c r="C24" s="73"/>
      <c r="D24" s="73"/>
      <c r="E24" s="73"/>
      <c r="F24" s="284" t="s">
        <v>3</v>
      </c>
      <c r="G24" s="73"/>
      <c r="H24" s="71"/>
      <c r="I24" s="432">
        <v>30.08</v>
      </c>
      <c r="J24" s="73"/>
      <c r="K24" s="73"/>
      <c r="L24" s="719"/>
      <c r="M24" s="73"/>
      <c r="N24" s="73"/>
      <c r="O24" s="73"/>
      <c r="P24" s="279"/>
    </row>
    <row r="25" spans="1:16" ht="15.75" thickBot="1">
      <c r="A25" s="1"/>
      <c r="B25" s="275"/>
      <c r="C25" s="73"/>
      <c r="D25" s="73"/>
      <c r="E25" s="73"/>
      <c r="F25" s="73"/>
      <c r="G25" s="73"/>
      <c r="H25" s="284"/>
      <c r="I25" s="73"/>
      <c r="J25" s="73"/>
      <c r="K25" s="73"/>
      <c r="L25" s="73"/>
      <c r="M25" s="73"/>
      <c r="N25" s="73"/>
      <c r="O25" s="73"/>
      <c r="P25" s="279"/>
    </row>
    <row r="26" spans="2:16" ht="20.25" thickBot="1" thickTop="1">
      <c r="B26" s="275"/>
      <c r="C26" s="80"/>
      <c r="H26" s="433" t="s">
        <v>98</v>
      </c>
      <c r="I26" s="154">
        <f>SUM(I22:I25)</f>
        <v>86.44</v>
      </c>
      <c r="L26" s="77"/>
      <c r="M26" s="77"/>
      <c r="N26" s="78"/>
      <c r="O26" s="79"/>
      <c r="P26" s="285"/>
    </row>
    <row r="27" spans="2:16" ht="15.75" thickTop="1">
      <c r="B27" s="275"/>
      <c r="C27" s="80"/>
      <c r="D27" s="76"/>
      <c r="E27" s="76"/>
      <c r="F27" s="82"/>
      <c r="G27" s="77"/>
      <c r="H27" s="77"/>
      <c r="I27" s="77"/>
      <c r="J27" s="77"/>
      <c r="K27" s="77"/>
      <c r="L27" s="77"/>
      <c r="M27" s="77"/>
      <c r="N27" s="78"/>
      <c r="O27" s="79"/>
      <c r="P27" s="285"/>
    </row>
    <row r="28" spans="2:16" ht="15">
      <c r="B28" s="275"/>
      <c r="C28" s="68" t="s">
        <v>99</v>
      </c>
      <c r="D28" s="76"/>
      <c r="E28" s="76"/>
      <c r="F28" s="82"/>
      <c r="G28" s="77"/>
      <c r="H28" s="77"/>
      <c r="I28" s="77"/>
      <c r="J28" s="77"/>
      <c r="K28" s="77"/>
      <c r="L28" s="77"/>
      <c r="M28" s="77"/>
      <c r="N28" s="78"/>
      <c r="O28" s="79"/>
      <c r="P28" s="285"/>
    </row>
    <row r="29" spans="2:16" ht="15">
      <c r="B29" s="275"/>
      <c r="C29" s="80"/>
      <c r="D29" s="76"/>
      <c r="E29" s="76"/>
      <c r="F29" s="82"/>
      <c r="G29" s="77"/>
      <c r="H29" s="77"/>
      <c r="I29" s="77"/>
      <c r="J29" s="77"/>
      <c r="K29" s="77"/>
      <c r="L29" s="77"/>
      <c r="M29" s="77"/>
      <c r="N29" s="78"/>
      <c r="O29" s="79"/>
      <c r="P29" s="285"/>
    </row>
    <row r="30" spans="2:16" ht="15.75">
      <c r="B30" s="275"/>
      <c r="C30" s="80"/>
      <c r="D30" s="434" t="s">
        <v>100</v>
      </c>
      <c r="E30" s="435" t="s">
        <v>15</v>
      </c>
      <c r="F30" s="436" t="s">
        <v>101</v>
      </c>
      <c r="G30" s="437"/>
      <c r="H30" s="663" t="s">
        <v>135</v>
      </c>
      <c r="I30" s="662" t="s">
        <v>134</v>
      </c>
      <c r="J30" s="658"/>
      <c r="K30" s="460"/>
      <c r="L30" s="438" t="s">
        <v>2</v>
      </c>
      <c r="N30" s="78"/>
      <c r="O30" s="79"/>
      <c r="P30" s="285"/>
    </row>
    <row r="31" spans="2:16" ht="15.75">
      <c r="B31" s="275"/>
      <c r="C31" s="80"/>
      <c r="D31" s="439" t="s">
        <v>125</v>
      </c>
      <c r="E31" s="440">
        <v>132</v>
      </c>
      <c r="F31" s="441">
        <v>42.6</v>
      </c>
      <c r="G31" s="442"/>
      <c r="H31" s="443">
        <f>F31*$J$17*$E$17/100</f>
        <v>54248.257728000004</v>
      </c>
      <c r="I31" s="444">
        <v>0</v>
      </c>
      <c r="J31" s="660" t="s">
        <v>149</v>
      </c>
      <c r="K31" s="446"/>
      <c r="L31" s="447">
        <f>SUM(H31:K31)</f>
        <v>54248.257728000004</v>
      </c>
      <c r="M31" s="77"/>
      <c r="N31" s="78"/>
      <c r="O31" s="79"/>
      <c r="P31" s="285"/>
    </row>
    <row r="32" spans="2:16" ht="15.75">
      <c r="B32" s="275"/>
      <c r="C32" s="80"/>
      <c r="D32" s="467" t="s">
        <v>126</v>
      </c>
      <c r="E32" s="76">
        <v>132</v>
      </c>
      <c r="F32" s="82">
        <v>33.6</v>
      </c>
      <c r="G32" s="77"/>
      <c r="H32" s="290">
        <f>F32*$J$17*$E$17/100</f>
        <v>42787.358208</v>
      </c>
      <c r="I32" s="484">
        <v>0</v>
      </c>
      <c r="J32" s="659" t="s">
        <v>149</v>
      </c>
      <c r="K32" s="282"/>
      <c r="L32" s="468">
        <f>SUM(H32:K32)</f>
        <v>42787.358208</v>
      </c>
      <c r="M32" s="77"/>
      <c r="N32" s="78"/>
      <c r="O32" s="79"/>
      <c r="P32" s="285"/>
    </row>
    <row r="33" spans="2:16" ht="15.75">
      <c r="B33" s="275"/>
      <c r="C33" s="80"/>
      <c r="D33" s="467" t="s">
        <v>127</v>
      </c>
      <c r="E33" s="76">
        <v>132</v>
      </c>
      <c r="F33" s="82">
        <v>41</v>
      </c>
      <c r="G33" s="77"/>
      <c r="H33" s="290">
        <f>F33*$J$17*$E$17/100</f>
        <v>52210.76448</v>
      </c>
      <c r="I33" s="484">
        <v>0</v>
      </c>
      <c r="J33" s="659" t="s">
        <v>149</v>
      </c>
      <c r="K33" s="282"/>
      <c r="L33" s="468">
        <f>SUM(H33:K33)</f>
        <v>52210.76448</v>
      </c>
      <c r="M33" s="77"/>
      <c r="N33" s="78"/>
      <c r="O33" s="79"/>
      <c r="P33" s="285"/>
    </row>
    <row r="34" spans="2:16" ht="15.75">
      <c r="B34" s="275"/>
      <c r="C34" s="80"/>
      <c r="D34" s="448"/>
      <c r="E34" s="449"/>
      <c r="F34" s="450"/>
      <c r="G34" s="451"/>
      <c r="H34" s="452"/>
      <c r="I34" s="453"/>
      <c r="J34" s="661"/>
      <c r="K34" s="455"/>
      <c r="L34" s="456"/>
      <c r="M34" s="77"/>
      <c r="N34" s="78"/>
      <c r="O34" s="79"/>
      <c r="P34" s="285"/>
    </row>
    <row r="35" spans="2:16" ht="15">
      <c r="B35" s="275"/>
      <c r="C35" s="80"/>
      <c r="D35" s="76"/>
      <c r="E35" s="76"/>
      <c r="F35" s="286"/>
      <c r="G35" s="77"/>
      <c r="I35" s="83"/>
      <c r="J35" s="282"/>
      <c r="K35" s="282"/>
      <c r="L35" s="457">
        <f>SUM(L31:L34)</f>
        <v>149246.380416</v>
      </c>
      <c r="M35" s="77"/>
      <c r="N35" s="78"/>
      <c r="O35" s="79"/>
      <c r="P35" s="285"/>
    </row>
    <row r="36" spans="2:16" ht="15">
      <c r="B36" s="275"/>
      <c r="C36" s="80"/>
      <c r="D36" s="76"/>
      <c r="E36" s="76"/>
      <c r="F36" s="286"/>
      <c r="G36" s="77"/>
      <c r="I36" s="83"/>
      <c r="J36" s="282"/>
      <c r="K36" s="282"/>
      <c r="L36" s="287"/>
      <c r="M36" s="77"/>
      <c r="N36" s="78"/>
      <c r="O36" s="79"/>
      <c r="P36" s="285"/>
    </row>
    <row r="37" spans="2:16" ht="15.75">
      <c r="B37" s="275"/>
      <c r="C37" s="80"/>
      <c r="D37" s="434" t="s">
        <v>102</v>
      </c>
      <c r="E37" s="435" t="s">
        <v>103</v>
      </c>
      <c r="F37" s="485" t="s">
        <v>113</v>
      </c>
      <c r="G37" s="486"/>
      <c r="H37" s="664" t="s">
        <v>136</v>
      </c>
      <c r="J37" s="458" t="s">
        <v>104</v>
      </c>
      <c r="K37" s="459"/>
      <c r="L37" s="460" t="s">
        <v>50</v>
      </c>
      <c r="M37" s="435" t="s">
        <v>15</v>
      </c>
      <c r="N37" s="461" t="s">
        <v>105</v>
      </c>
      <c r="O37" s="462"/>
      <c r="P37" s="285"/>
    </row>
    <row r="38" spans="2:16" ht="15">
      <c r="B38" s="275"/>
      <c r="C38" s="80"/>
      <c r="D38" s="439"/>
      <c r="E38" s="440"/>
      <c r="F38" s="487"/>
      <c r="G38" s="488"/>
      <c r="H38" s="447">
        <f>+F38*$J$18*$E$17</f>
        <v>0</v>
      </c>
      <c r="J38" s="665" t="s">
        <v>128</v>
      </c>
      <c r="K38" s="666"/>
      <c r="L38" s="667" t="s">
        <v>130</v>
      </c>
      <c r="M38" s="464">
        <v>132</v>
      </c>
      <c r="N38" s="465">
        <f aca="true" t="shared" si="0" ref="N38:N43">$M$16*$E$17</f>
        <v>5920.992</v>
      </c>
      <c r="O38" s="466"/>
      <c r="P38" s="285"/>
    </row>
    <row r="39" spans="2:16" ht="15">
      <c r="B39" s="275"/>
      <c r="C39" s="80"/>
      <c r="D39" s="467"/>
      <c r="E39" s="76"/>
      <c r="F39" s="489"/>
      <c r="G39" s="490"/>
      <c r="H39" s="468">
        <f>+F39*$J$18*$E$17</f>
        <v>0</v>
      </c>
      <c r="J39" s="668" t="s">
        <v>128</v>
      </c>
      <c r="K39" s="669"/>
      <c r="L39" s="670" t="s">
        <v>139</v>
      </c>
      <c r="M39" s="78">
        <v>132</v>
      </c>
      <c r="N39" s="471">
        <f t="shared" si="0"/>
        <v>5920.992</v>
      </c>
      <c r="O39" s="472"/>
      <c r="P39" s="285"/>
    </row>
    <row r="40" spans="2:16" ht="15">
      <c r="B40" s="275"/>
      <c r="C40" s="80"/>
      <c r="D40" s="467"/>
      <c r="E40" s="76"/>
      <c r="F40" s="489"/>
      <c r="G40" s="490"/>
      <c r="H40" s="468">
        <f>+F40*$J$18*$E$17</f>
        <v>0</v>
      </c>
      <c r="J40" s="668" t="s">
        <v>129</v>
      </c>
      <c r="K40" s="669"/>
      <c r="L40" s="670" t="s">
        <v>130</v>
      </c>
      <c r="M40" s="78">
        <v>132</v>
      </c>
      <c r="N40" s="471">
        <f t="shared" si="0"/>
        <v>5920.992</v>
      </c>
      <c r="O40" s="472"/>
      <c r="P40" s="285"/>
    </row>
    <row r="41" spans="2:16" ht="15">
      <c r="B41" s="275"/>
      <c r="C41" s="80"/>
      <c r="D41" s="467"/>
      <c r="E41" s="76"/>
      <c r="F41" s="489"/>
      <c r="G41" s="490"/>
      <c r="H41" s="468">
        <f>+F41*$J$18*$E$17</f>
        <v>0</v>
      </c>
      <c r="J41" s="668" t="s">
        <v>131</v>
      </c>
      <c r="K41" s="669"/>
      <c r="L41" s="670" t="s">
        <v>132</v>
      </c>
      <c r="M41" s="78">
        <v>132</v>
      </c>
      <c r="N41" s="471">
        <f t="shared" si="0"/>
        <v>5920.992</v>
      </c>
      <c r="O41" s="472"/>
      <c r="P41" s="285"/>
    </row>
    <row r="42" spans="2:16" ht="15">
      <c r="B42" s="275"/>
      <c r="C42" s="80"/>
      <c r="D42" s="448"/>
      <c r="E42" s="449"/>
      <c r="F42" s="491"/>
      <c r="G42" s="492"/>
      <c r="H42" s="468">
        <f>+F42*$J$18*$E$17</f>
        <v>0</v>
      </c>
      <c r="J42" s="668" t="s">
        <v>131</v>
      </c>
      <c r="K42" s="669"/>
      <c r="L42" s="670" t="s">
        <v>133</v>
      </c>
      <c r="M42" s="78">
        <v>132</v>
      </c>
      <c r="N42" s="471">
        <f t="shared" si="0"/>
        <v>5920.992</v>
      </c>
      <c r="O42" s="472"/>
      <c r="P42" s="285"/>
    </row>
    <row r="43" spans="2:16" ht="15">
      <c r="B43" s="275"/>
      <c r="C43" s="80"/>
      <c r="D43" s="76"/>
      <c r="E43" s="76"/>
      <c r="F43" s="286"/>
      <c r="G43" s="77"/>
      <c r="H43" s="457">
        <f>SUM(H38:H42)</f>
        <v>0</v>
      </c>
      <c r="J43" s="671" t="s">
        <v>131</v>
      </c>
      <c r="K43" s="672"/>
      <c r="L43" s="673" t="s">
        <v>140</v>
      </c>
      <c r="M43" s="474">
        <v>132</v>
      </c>
      <c r="N43" s="475">
        <f t="shared" si="0"/>
        <v>5920.992</v>
      </c>
      <c r="O43" s="476"/>
      <c r="P43" s="285"/>
    </row>
    <row r="44" spans="2:16" ht="15">
      <c r="B44" s="275"/>
      <c r="C44" s="80"/>
      <c r="D44" s="76"/>
      <c r="E44" s="76"/>
      <c r="F44" s="286"/>
      <c r="G44" s="77"/>
      <c r="I44" s="83"/>
      <c r="J44" s="282"/>
      <c r="K44" s="282"/>
      <c r="L44" s="287"/>
      <c r="M44" s="77"/>
      <c r="N44" s="477">
        <f>SUM(N38:N43)</f>
        <v>35525.952</v>
      </c>
      <c r="O44" s="462"/>
      <c r="P44" s="285"/>
    </row>
    <row r="45" spans="2:16" ht="12.75" customHeight="1" thickBot="1">
      <c r="B45" s="275"/>
      <c r="C45" s="80"/>
      <c r="D45" s="76"/>
      <c r="E45" s="76"/>
      <c r="F45" s="82"/>
      <c r="G45" s="77"/>
      <c r="H45" s="83"/>
      <c r="I45" s="76"/>
      <c r="J45" s="76"/>
      <c r="K45" s="76"/>
      <c r="L45" s="77"/>
      <c r="M45" s="77"/>
      <c r="N45" s="78"/>
      <c r="O45" s="79"/>
      <c r="P45" s="285"/>
    </row>
    <row r="46" spans="2:16" ht="20.25" thickBot="1" thickTop="1">
      <c r="B46" s="275"/>
      <c r="C46" s="80"/>
      <c r="D46" s="76"/>
      <c r="E46" s="76"/>
      <c r="F46" s="82"/>
      <c r="G46" s="77"/>
      <c r="H46" s="478" t="s">
        <v>106</v>
      </c>
      <c r="I46" s="479">
        <f>+H43+N44+L35</f>
        <v>184772.332416</v>
      </c>
      <c r="J46" s="76"/>
      <c r="K46" s="478" t="s">
        <v>192</v>
      </c>
      <c r="L46" s="479">
        <v>67987.34</v>
      </c>
      <c r="M46" s="77"/>
      <c r="N46" s="78"/>
      <c r="O46" s="79"/>
      <c r="P46" s="285"/>
    </row>
    <row r="47" spans="2:16" ht="15.75" thickTop="1">
      <c r="B47" s="275"/>
      <c r="C47" s="80"/>
      <c r="D47" s="76"/>
      <c r="E47" s="76"/>
      <c r="F47" s="82"/>
      <c r="G47" s="77"/>
      <c r="H47" s="83"/>
      <c r="I47" s="76"/>
      <c r="J47" s="76"/>
      <c r="K47" s="76"/>
      <c r="L47" s="77"/>
      <c r="M47" s="77"/>
      <c r="N47" s="78"/>
      <c r="O47" s="79"/>
      <c r="P47" s="285"/>
    </row>
    <row r="48" spans="2:16" ht="15.75">
      <c r="B48" s="275"/>
      <c r="C48" s="480" t="s">
        <v>107</v>
      </c>
      <c r="D48" s="76"/>
      <c r="E48" s="76"/>
      <c r="F48" s="82"/>
      <c r="G48" s="77"/>
      <c r="H48" s="83"/>
      <c r="I48" s="76"/>
      <c r="J48" s="76"/>
      <c r="K48" s="76"/>
      <c r="L48" s="77"/>
      <c r="M48" s="77"/>
      <c r="N48" s="78"/>
      <c r="O48" s="79"/>
      <c r="P48" s="285"/>
    </row>
    <row r="49" spans="2:16" ht="15.75" thickBot="1">
      <c r="B49" s="275"/>
      <c r="C49" s="80"/>
      <c r="D49" s="76"/>
      <c r="E49" s="76"/>
      <c r="F49" s="82"/>
      <c r="G49" s="77"/>
      <c r="H49" s="83"/>
      <c r="I49" s="76"/>
      <c r="J49" s="76"/>
      <c r="K49" s="76"/>
      <c r="L49" s="77"/>
      <c r="M49" s="77"/>
      <c r="N49" s="78"/>
      <c r="O49" s="79"/>
      <c r="P49" s="285"/>
    </row>
    <row r="50" spans="2:16" ht="20.25" thickBot="1" thickTop="1">
      <c r="B50" s="275"/>
      <c r="C50" s="80"/>
      <c r="D50" s="233" t="s">
        <v>108</v>
      </c>
      <c r="F50" s="288"/>
      <c r="G50" s="73"/>
      <c r="H50" s="153" t="s">
        <v>109</v>
      </c>
      <c r="I50" s="481">
        <f>E18*L46</f>
        <v>1699.6835</v>
      </c>
      <c r="J50" s="69"/>
      <c r="K50" s="69"/>
      <c r="O50" s="69"/>
      <c r="P50" s="285"/>
    </row>
    <row r="51" spans="2:16" ht="21.75" thickTop="1">
      <c r="B51" s="275"/>
      <c r="C51" s="80"/>
      <c r="F51" s="289"/>
      <c r="G51" s="45"/>
      <c r="I51" s="69"/>
      <c r="J51" s="69"/>
      <c r="K51" s="69"/>
      <c r="O51" s="69"/>
      <c r="P51" s="285"/>
    </row>
    <row r="52" spans="2:16" ht="15">
      <c r="B52" s="275"/>
      <c r="C52" s="68" t="s">
        <v>110</v>
      </c>
      <c r="E52" s="69"/>
      <c r="F52" s="69"/>
      <c r="G52" s="69"/>
      <c r="H52" s="69"/>
      <c r="I52" s="77"/>
      <c r="J52" s="77"/>
      <c r="K52" s="77"/>
      <c r="L52" s="77"/>
      <c r="M52" s="77"/>
      <c r="N52" s="78"/>
      <c r="O52" s="79"/>
      <c r="P52" s="285"/>
    </row>
    <row r="53" spans="2:16" ht="15">
      <c r="B53" s="275"/>
      <c r="C53" s="80"/>
      <c r="D53" s="75" t="s">
        <v>111</v>
      </c>
      <c r="E53" s="290">
        <f>10*I26*I50/I46</f>
        <v>7.951441637334536</v>
      </c>
      <c r="F53" s="482"/>
      <c r="H53" s="69"/>
      <c r="I53" s="77"/>
      <c r="J53" s="77"/>
      <c r="K53" s="77"/>
      <c r="L53" s="77"/>
      <c r="M53" s="77"/>
      <c r="N53" s="78"/>
      <c r="O53" s="79"/>
      <c r="P53" s="285"/>
    </row>
    <row r="54" spans="2:16" ht="15">
      <c r="B54" s="275"/>
      <c r="C54" s="80"/>
      <c r="D54" s="69"/>
      <c r="E54" s="69"/>
      <c r="J54" s="77"/>
      <c r="K54" s="77"/>
      <c r="L54" s="77"/>
      <c r="M54" s="77"/>
      <c r="N54" s="78"/>
      <c r="O54" s="79"/>
      <c r="P54" s="285"/>
    </row>
    <row r="55" spans="2:16" ht="15">
      <c r="B55" s="275"/>
      <c r="C55" s="80"/>
      <c r="D55" s="69" t="s">
        <v>124</v>
      </c>
      <c r="E55" s="69"/>
      <c r="F55" s="69"/>
      <c r="G55" s="69"/>
      <c r="H55" s="69"/>
      <c r="M55" s="77"/>
      <c r="N55" s="78"/>
      <c r="O55" s="79"/>
      <c r="P55" s="285"/>
    </row>
    <row r="56" spans="2:16" ht="15.75" thickBot="1">
      <c r="B56" s="275"/>
      <c r="C56" s="80"/>
      <c r="D56" s="69"/>
      <c r="E56" s="69"/>
      <c r="F56" s="69"/>
      <c r="G56" s="69"/>
      <c r="H56" s="69"/>
      <c r="M56" s="77"/>
      <c r="N56" s="78"/>
      <c r="O56" s="79"/>
      <c r="P56" s="285"/>
    </row>
    <row r="57" spans="2:16" ht="20.25" thickBot="1" thickTop="1">
      <c r="B57" s="275"/>
      <c r="C57" s="80"/>
      <c r="D57" s="76"/>
      <c r="E57" s="76"/>
      <c r="F57" s="82"/>
      <c r="G57" s="77"/>
      <c r="H57" s="234" t="s">
        <v>112</v>
      </c>
      <c r="I57" s="483">
        <f>IF($E$53&gt;3*I50,3*I50,$E$53)</f>
        <v>7.951441637334536</v>
      </c>
      <c r="J57" s="77"/>
      <c r="K57" s="77"/>
      <c r="L57" s="77"/>
      <c r="M57" s="77"/>
      <c r="N57" s="78"/>
      <c r="O57" s="79"/>
      <c r="P57" s="285"/>
    </row>
    <row r="58" spans="2:16" ht="16.5" thickBot="1" thickTop="1">
      <c r="B58" s="291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3"/>
    </row>
    <row r="59" spans="2:16" ht="13.5" thickTop="1">
      <c r="B59" s="1"/>
      <c r="P59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8" ht="12" customHeight="1"/>
    <row r="104" ht="12.75">
      <c r="B104" s="1"/>
    </row>
    <row r="110" ht="12.75">
      <c r="A110" s="1"/>
    </row>
  </sheetData>
  <sheetProtection/>
  <mergeCells count="3">
    <mergeCell ref="M16:N16"/>
    <mergeCell ref="M17:N17"/>
    <mergeCell ref="M18:N18"/>
  </mergeCells>
  <printOptions/>
  <pageMargins left="0.74" right="0.1968503937007874" top="0.7874015748031497" bottom="0.7874015748031497" header="0.5118110236220472" footer="0.5118110236220472"/>
  <pageSetup fitToHeight="1" fitToWidth="1" orientation="landscape" paperSize="9" scale="55" r:id="rId4"/>
  <headerFooter alignWithMargins="0">
    <oddFooter>&amp;L&amp;"Times New Roman,Normal"&amp;8&amp;Z&amp;F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1"/>
  <sheetViews>
    <sheetView zoomScale="70" zoomScaleNormal="70" zoomScalePageLayoutView="0" workbookViewId="0" topLeftCell="A1">
      <selection activeCell="G16" sqref="G16:H16"/>
    </sheetView>
  </sheetViews>
  <sheetFormatPr defaultColWidth="11.421875" defaultRowHeight="12.75"/>
  <cols>
    <col min="1" max="2" width="4.28125" style="0" customWidth="1"/>
    <col min="3" max="3" width="5.421875" style="0" customWidth="1"/>
    <col min="4" max="5" width="13.7109375" style="0" customWidth="1"/>
    <col min="6" max="6" width="45.7109375" style="0" customWidth="1"/>
    <col min="7" max="7" width="9.7109375" style="0" customWidth="1"/>
    <col min="8" max="8" width="9.421875" style="0" customWidth="1"/>
    <col min="9" max="9" width="12.7109375" style="0" hidden="1" customWidth="1"/>
    <col min="10" max="11" width="15.7109375" style="0" customWidth="1"/>
    <col min="12" max="14" width="9.7109375" style="0" customWidth="1"/>
    <col min="16" max="25" width="14.140625" style="0" hidden="1" customWidth="1"/>
    <col min="26" max="26" width="14.140625" style="0" customWidth="1"/>
    <col min="27" max="27" width="15.7109375" style="0" customWidth="1"/>
    <col min="28" max="28" width="4.28125" style="0" customWidth="1"/>
  </cols>
  <sheetData>
    <row r="1" s="109" customFormat="1" ht="26.25">
      <c r="AB1" s="412"/>
    </row>
    <row r="2" spans="2:28" s="109" customFormat="1" ht="26.25">
      <c r="B2" s="110" t="str">
        <f>+'TOT-0214'!B2</f>
        <v>ANEXO II al Memorándum  D.T.E.E.  N°  223 /2016               .-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</row>
    <row r="3" s="10" customFormat="1" ht="12.75"/>
    <row r="4" spans="1:3" s="112" customFormat="1" ht="11.25">
      <c r="A4" s="685" t="s">
        <v>16</v>
      </c>
      <c r="C4" s="684"/>
    </row>
    <row r="5" spans="1:3" s="112" customFormat="1" ht="11.25">
      <c r="A5" s="685" t="s">
        <v>146</v>
      </c>
      <c r="C5" s="684"/>
    </row>
    <row r="6" s="10" customFormat="1" ht="13.5" thickBot="1"/>
    <row r="7" spans="1:28" s="10" customFormat="1" ht="13.5" thickTop="1">
      <c r="A7" s="8"/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3"/>
    </row>
    <row r="8" spans="1:28" s="114" customFormat="1" ht="20.25">
      <c r="A8" s="45"/>
      <c r="B8" s="113"/>
      <c r="C8" s="45"/>
      <c r="D8" s="45"/>
      <c r="E8" s="45"/>
      <c r="F8" s="21" t="s">
        <v>40</v>
      </c>
      <c r="G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115"/>
    </row>
    <row r="9" spans="1:28" s="10" customFormat="1" ht="12.75">
      <c r="A9" s="8"/>
      <c r="B9" s="44"/>
      <c r="C9" s="8"/>
      <c r="D9" s="8"/>
      <c r="E9" s="8"/>
      <c r="F9" s="126"/>
      <c r="G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11"/>
    </row>
    <row r="10" spans="1:28" s="114" customFormat="1" ht="20.25">
      <c r="A10" s="45"/>
      <c r="B10" s="113"/>
      <c r="C10" s="45"/>
      <c r="D10" s="45"/>
      <c r="E10" s="45"/>
      <c r="F10" s="21" t="s">
        <v>41</v>
      </c>
      <c r="G10" s="21"/>
      <c r="H10" s="45"/>
      <c r="I10" s="116"/>
      <c r="J10" s="116"/>
      <c r="K10" s="116"/>
      <c r="L10" s="116"/>
      <c r="M10" s="116"/>
      <c r="N10" s="116"/>
      <c r="O10" s="116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115"/>
    </row>
    <row r="11" spans="1:28" s="10" customFormat="1" ht="12.75">
      <c r="A11" s="8"/>
      <c r="B11" s="44"/>
      <c r="C11" s="8"/>
      <c r="D11" s="8"/>
      <c r="E11" s="8"/>
      <c r="F11" s="125"/>
      <c r="G11" s="123"/>
      <c r="H11" s="8"/>
      <c r="I11" s="122"/>
      <c r="J11" s="122"/>
      <c r="K11" s="122"/>
      <c r="L11" s="122"/>
      <c r="M11" s="122"/>
      <c r="N11" s="122"/>
      <c r="O11" s="122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11"/>
    </row>
    <row r="12" spans="1:28" s="114" customFormat="1" ht="20.25">
      <c r="A12" s="45"/>
      <c r="B12" s="113"/>
      <c r="C12" s="45"/>
      <c r="D12" s="45"/>
      <c r="E12" s="45"/>
      <c r="F12" s="21" t="s">
        <v>42</v>
      </c>
      <c r="G12" s="21"/>
      <c r="H12" s="45"/>
      <c r="I12" s="116"/>
      <c r="J12" s="116"/>
      <c r="K12" s="116"/>
      <c r="L12" s="116"/>
      <c r="M12" s="116"/>
      <c r="N12" s="116"/>
      <c r="O12" s="116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115"/>
    </row>
    <row r="13" spans="1:28" s="10" customFormat="1" ht="12.75">
      <c r="A13" s="8"/>
      <c r="B13" s="44"/>
      <c r="C13" s="8"/>
      <c r="D13" s="8"/>
      <c r="E13" s="8"/>
      <c r="F13" s="125"/>
      <c r="G13" s="123"/>
      <c r="H13" s="8"/>
      <c r="I13" s="122"/>
      <c r="J13" s="122"/>
      <c r="K13" s="122"/>
      <c r="L13" s="122"/>
      <c r="M13" s="122"/>
      <c r="N13" s="122"/>
      <c r="O13" s="122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11"/>
    </row>
    <row r="14" spans="1:28" s="121" customFormat="1" ht="19.5">
      <c r="A14" s="47"/>
      <c r="B14" s="87" t="str">
        <f>+'TOT-0214'!B14</f>
        <v>Desde el 01 al 28 de febrero de 2014</v>
      </c>
      <c r="C14" s="117"/>
      <c r="D14" s="117"/>
      <c r="E14" s="117"/>
      <c r="F14" s="117"/>
      <c r="G14" s="118"/>
      <c r="H14" s="118"/>
      <c r="I14" s="119"/>
      <c r="J14" s="119"/>
      <c r="K14" s="119"/>
      <c r="L14" s="119"/>
      <c r="M14" s="119"/>
      <c r="N14" s="119"/>
      <c r="O14" s="119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20"/>
    </row>
    <row r="15" spans="1:28" s="10" customFormat="1" ht="13.5" thickBot="1">
      <c r="A15" s="8"/>
      <c r="B15" s="44"/>
      <c r="C15" s="8"/>
      <c r="D15" s="8"/>
      <c r="E15" s="8"/>
      <c r="F15" s="8"/>
      <c r="G15" s="123"/>
      <c r="H15" s="124"/>
      <c r="I15" s="122"/>
      <c r="J15" s="122"/>
      <c r="K15" s="122"/>
      <c r="L15" s="122"/>
      <c r="M15" s="122"/>
      <c r="N15" s="122"/>
      <c r="O15" s="122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11"/>
    </row>
    <row r="16" spans="1:28" s="95" customFormat="1" ht="16.5" customHeight="1" thickBot="1" thickTop="1">
      <c r="A16" s="91"/>
      <c r="B16" s="92"/>
      <c r="C16" s="91"/>
      <c r="D16" s="91"/>
      <c r="E16" s="91"/>
      <c r="F16" s="494" t="s">
        <v>43</v>
      </c>
      <c r="G16" s="733">
        <v>198.313</v>
      </c>
      <c r="H16" s="734"/>
      <c r="I16" s="96"/>
      <c r="J16" s="96"/>
      <c r="K16" s="96"/>
      <c r="L16" s="96"/>
      <c r="M16" s="96"/>
      <c r="N16" s="96"/>
      <c r="O16" s="96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4"/>
    </row>
    <row r="17" spans="1:28" s="95" customFormat="1" ht="16.5" customHeight="1" thickBot="1" thickTop="1">
      <c r="A17" s="91"/>
      <c r="B17" s="92"/>
      <c r="C17" s="91"/>
      <c r="D17" s="91"/>
      <c r="E17" s="91"/>
      <c r="F17" s="494" t="s">
        <v>44</v>
      </c>
      <c r="G17" s="733">
        <v>189.499</v>
      </c>
      <c r="H17" s="734"/>
      <c r="I17" s="91"/>
      <c r="K17" s="97" t="s">
        <v>45</v>
      </c>
      <c r="L17" s="98">
        <f>30*'TOT-0214'!B13</f>
        <v>30</v>
      </c>
      <c r="M17" s="236" t="str">
        <f>IF(L17=30," ",IF(L17=60,"Coeficiente duplicado por tasa de falla &gt;4 Sal. x año/100 km.","REVISAR COEFICIENTE"))</f>
        <v> </v>
      </c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4"/>
    </row>
    <row r="18" spans="1:28" s="708" customFormat="1" ht="14.25" thickBot="1" thickTop="1">
      <c r="A18" s="704"/>
      <c r="B18" s="705"/>
      <c r="C18" s="706">
        <v>3</v>
      </c>
      <c r="D18" s="706">
        <v>4</v>
      </c>
      <c r="E18" s="706">
        <v>5</v>
      </c>
      <c r="F18" s="706">
        <v>6</v>
      </c>
      <c r="G18" s="706">
        <v>7</v>
      </c>
      <c r="H18" s="706">
        <v>8</v>
      </c>
      <c r="I18" s="706">
        <v>9</v>
      </c>
      <c r="J18" s="706">
        <v>10</v>
      </c>
      <c r="K18" s="706">
        <v>11</v>
      </c>
      <c r="L18" s="706">
        <v>12</v>
      </c>
      <c r="M18" s="706">
        <v>13</v>
      </c>
      <c r="N18" s="706">
        <v>14</v>
      </c>
      <c r="O18" s="706">
        <v>15</v>
      </c>
      <c r="P18" s="706">
        <v>16</v>
      </c>
      <c r="Q18" s="706">
        <v>17</v>
      </c>
      <c r="R18" s="706">
        <v>18</v>
      </c>
      <c r="S18" s="706">
        <v>19</v>
      </c>
      <c r="T18" s="706">
        <v>20</v>
      </c>
      <c r="U18" s="706">
        <v>21</v>
      </c>
      <c r="V18" s="706">
        <v>22</v>
      </c>
      <c r="W18" s="706">
        <v>23</v>
      </c>
      <c r="X18" s="706">
        <v>24</v>
      </c>
      <c r="Y18" s="706">
        <v>25</v>
      </c>
      <c r="Z18" s="706">
        <v>26</v>
      </c>
      <c r="AA18" s="706">
        <v>27</v>
      </c>
      <c r="AB18" s="707"/>
    </row>
    <row r="19" spans="1:28" s="108" customFormat="1" ht="33.75" customHeight="1" thickBot="1" thickTop="1">
      <c r="A19" s="99"/>
      <c r="B19" s="100"/>
      <c r="C19" s="101" t="s">
        <v>46</v>
      </c>
      <c r="D19" s="101" t="s">
        <v>145</v>
      </c>
      <c r="E19" s="101" t="s">
        <v>144</v>
      </c>
      <c r="F19" s="102" t="s">
        <v>19</v>
      </c>
      <c r="G19" s="103" t="s">
        <v>47</v>
      </c>
      <c r="H19" s="104" t="s">
        <v>48</v>
      </c>
      <c r="I19" s="265" t="s">
        <v>49</v>
      </c>
      <c r="J19" s="102" t="s">
        <v>50</v>
      </c>
      <c r="K19" s="102" t="s">
        <v>51</v>
      </c>
      <c r="L19" s="103" t="s">
        <v>52</v>
      </c>
      <c r="M19" s="103" t="s">
        <v>53</v>
      </c>
      <c r="N19" s="105" t="s">
        <v>54</v>
      </c>
      <c r="O19" s="103" t="s">
        <v>55</v>
      </c>
      <c r="P19" s="294" t="s">
        <v>56</v>
      </c>
      <c r="Q19" s="297" t="s">
        <v>57</v>
      </c>
      <c r="R19" s="300" t="s">
        <v>58</v>
      </c>
      <c r="S19" s="301"/>
      <c r="T19" s="302"/>
      <c r="U19" s="311" t="s">
        <v>59</v>
      </c>
      <c r="V19" s="312"/>
      <c r="W19" s="313"/>
      <c r="X19" s="321" t="s">
        <v>60</v>
      </c>
      <c r="Y19" s="324" t="s">
        <v>61</v>
      </c>
      <c r="Z19" s="106" t="s">
        <v>62</v>
      </c>
      <c r="AA19" s="106" t="s">
        <v>63</v>
      </c>
      <c r="AB19" s="107"/>
    </row>
    <row r="20" spans="1:28" ht="16.5" customHeight="1" thickTop="1">
      <c r="A20" s="1"/>
      <c r="B20" s="2"/>
      <c r="C20" s="51"/>
      <c r="D20" s="683"/>
      <c r="E20" s="683"/>
      <c r="F20" s="409"/>
      <c r="G20" s="53"/>
      <c r="H20" s="53"/>
      <c r="I20" s="401"/>
      <c r="J20" s="53"/>
      <c r="K20" s="54"/>
      <c r="L20" s="54"/>
      <c r="M20" s="54"/>
      <c r="N20" s="52"/>
      <c r="O20" s="53"/>
      <c r="P20" s="295"/>
      <c r="Q20" s="298"/>
      <c r="R20" s="303"/>
      <c r="S20" s="304"/>
      <c r="T20" s="305"/>
      <c r="U20" s="314"/>
      <c r="V20" s="315"/>
      <c r="W20" s="316"/>
      <c r="X20" s="322"/>
      <c r="Y20" s="325"/>
      <c r="Z20" s="309"/>
      <c r="AA20" s="410"/>
      <c r="AB20" s="3"/>
    </row>
    <row r="21" spans="1:28" ht="16.5" customHeight="1">
      <c r="A21" s="1"/>
      <c r="B21" s="2"/>
      <c r="C21" s="518"/>
      <c r="D21" s="681"/>
      <c r="E21" s="681"/>
      <c r="F21" s="518"/>
      <c r="G21" s="519"/>
      <c r="H21" s="519"/>
      <c r="I21" s="402"/>
      <c r="J21" s="518"/>
      <c r="K21" s="520"/>
      <c r="L21" s="90"/>
      <c r="M21" s="90"/>
      <c r="N21" s="521"/>
      <c r="O21" s="518"/>
      <c r="P21" s="522"/>
      <c r="Q21" s="523"/>
      <c r="R21" s="524"/>
      <c r="S21" s="525"/>
      <c r="T21" s="526"/>
      <c r="U21" s="527"/>
      <c r="V21" s="528"/>
      <c r="W21" s="529"/>
      <c r="X21" s="530"/>
      <c r="Y21" s="531"/>
      <c r="Z21" s="532"/>
      <c r="AA21" s="90"/>
      <c r="AB21" s="3"/>
    </row>
    <row r="22" spans="1:28" ht="16.5" customHeight="1">
      <c r="A22" s="1"/>
      <c r="B22" s="2"/>
      <c r="C22" s="496">
        <v>1</v>
      </c>
      <c r="D22" s="496">
        <v>272524</v>
      </c>
      <c r="E22" s="496">
        <v>3516</v>
      </c>
      <c r="F22" s="497" t="s">
        <v>151</v>
      </c>
      <c r="G22" s="498">
        <v>132</v>
      </c>
      <c r="H22" s="499">
        <v>28.40999984741211</v>
      </c>
      <c r="I22" s="403">
        <f aca="true" t="shared" si="0" ref="I22:I38">IF(H22&gt;25,H22,25)*IF(G22=330,$G$16,$G$17)/100</f>
        <v>53.836665610847476</v>
      </c>
      <c r="J22" s="504">
        <v>41690.583333333336</v>
      </c>
      <c r="K22" s="504">
        <v>41690.60208333333</v>
      </c>
      <c r="L22" s="13">
        <f aca="true" t="shared" si="1" ref="L22:L38">IF(F22="","",(K22-J22)*24)</f>
        <v>0.4499999998952262</v>
      </c>
      <c r="M22" s="14">
        <f aca="true" t="shared" si="2" ref="M22:M38">IF(F22="","",ROUND((K22-J22)*24*60,0))</f>
        <v>27</v>
      </c>
      <c r="N22" s="505" t="s">
        <v>152</v>
      </c>
      <c r="O22" s="703" t="s">
        <v>154</v>
      </c>
      <c r="P22" s="688">
        <f aca="true" t="shared" si="3" ref="P22:P38">IF(N22="P",ROUND(M22/60,2)*I22*$L$17*0.01,"--")</f>
        <v>7.2679498574644095</v>
      </c>
      <c r="Q22" s="689" t="str">
        <f aca="true" t="shared" si="4" ref="Q22:Q38">IF(N22="RP",ROUND(M22/60,2)*I22*$L$17*0.01*O22/100,"--")</f>
        <v>--</v>
      </c>
      <c r="R22" s="690" t="str">
        <f aca="true" t="shared" si="5" ref="R22:R38">IF(N22="F",I22*$L$17,"--")</f>
        <v>--</v>
      </c>
      <c r="S22" s="691" t="str">
        <f aca="true" t="shared" si="6" ref="S22:S38">IF(AND(M22&gt;10,N22="F"),I22*$L$17*IF(M22&gt;180,3,ROUND(M22/60,2)),"--")</f>
        <v>--</v>
      </c>
      <c r="T22" s="692" t="str">
        <f aca="true" t="shared" si="7" ref="T22:T38">IF(AND(M22&gt;180,N22="F"),(ROUND(M22/60,2)-3)*I22*$L$17*0.1,"--")</f>
        <v>--</v>
      </c>
      <c r="U22" s="693" t="str">
        <f aca="true" t="shared" si="8" ref="U22:U38">IF(N22="R",I22*$L$17*O22/100,"--")</f>
        <v>--</v>
      </c>
      <c r="V22" s="694" t="str">
        <f aca="true" t="shared" si="9" ref="V22:V38">IF(AND(M22&gt;10,N22="R"),I22*$L$17*O22/100*IF(M22&gt;180,3,ROUND(M22/60,2)),"--")</f>
        <v>--</v>
      </c>
      <c r="W22" s="695" t="str">
        <f aca="true" t="shared" si="10" ref="W22:W38">IF(AND(M22&gt;180,N22="R"),(ROUND(M22/60,2)-3)*O22/100*I22*$L$17*0.1,"--")</f>
        <v>--</v>
      </c>
      <c r="X22" s="696" t="str">
        <f aca="true" t="shared" si="11" ref="X22:X38">IF(N22="RF",ROUND(M22/60,2)*I22*$L$17*0.1,"--")</f>
        <v>--</v>
      </c>
      <c r="Y22" s="697" t="str">
        <f aca="true" t="shared" si="12" ref="Y22:Y38">IF(N22="RR",ROUND(M22/60,2)*O22/100*I22*$L$17*0.1,"--")</f>
        <v>--</v>
      </c>
      <c r="Z22" s="698" t="s">
        <v>153</v>
      </c>
      <c r="AA22" s="55">
        <f aca="true" t="shared" si="13" ref="AA22:AA38">IF(F22="","",SUM(P22:Y22)*IF(Z22="SI",1,2))</f>
        <v>7.2679498574644095</v>
      </c>
      <c r="AB22" s="3"/>
    </row>
    <row r="23" spans="1:28" ht="16.5" customHeight="1">
      <c r="A23" s="1"/>
      <c r="B23" s="2"/>
      <c r="C23" s="496">
        <v>2</v>
      </c>
      <c r="D23" s="496">
        <v>272706</v>
      </c>
      <c r="E23" s="496">
        <v>2036</v>
      </c>
      <c r="F23" s="497" t="s">
        <v>155</v>
      </c>
      <c r="G23" s="498">
        <v>132</v>
      </c>
      <c r="H23" s="499">
        <v>138</v>
      </c>
      <c r="I23" s="403">
        <f t="shared" si="0"/>
        <v>261.50862</v>
      </c>
      <c r="J23" s="504">
        <v>41695.38958333333</v>
      </c>
      <c r="K23" s="504">
        <v>41695.57013888889</v>
      </c>
      <c r="L23" s="13">
        <f t="shared" si="1"/>
        <v>4.333333333488554</v>
      </c>
      <c r="M23" s="14">
        <f t="shared" si="2"/>
        <v>260</v>
      </c>
      <c r="N23" s="505" t="s">
        <v>152</v>
      </c>
      <c r="O23" s="703" t="s">
        <v>154</v>
      </c>
      <c r="P23" s="688">
        <f t="shared" si="3"/>
        <v>339.69969738000003</v>
      </c>
      <c r="Q23" s="689" t="str">
        <f t="shared" si="4"/>
        <v>--</v>
      </c>
      <c r="R23" s="690" t="str">
        <f t="shared" si="5"/>
        <v>--</v>
      </c>
      <c r="S23" s="691" t="str">
        <f t="shared" si="6"/>
        <v>--</v>
      </c>
      <c r="T23" s="692" t="str">
        <f t="shared" si="7"/>
        <v>--</v>
      </c>
      <c r="U23" s="693" t="str">
        <f t="shared" si="8"/>
        <v>--</v>
      </c>
      <c r="V23" s="694" t="str">
        <f t="shared" si="9"/>
        <v>--</v>
      </c>
      <c r="W23" s="695" t="str">
        <f t="shared" si="10"/>
        <v>--</v>
      </c>
      <c r="X23" s="696" t="str">
        <f t="shared" si="11"/>
        <v>--</v>
      </c>
      <c r="Y23" s="697" t="str">
        <f t="shared" si="12"/>
        <v>--</v>
      </c>
      <c r="Z23" s="698" t="s">
        <v>153</v>
      </c>
      <c r="AA23" s="55">
        <f t="shared" si="13"/>
        <v>339.69969738000003</v>
      </c>
      <c r="AB23" s="3"/>
    </row>
    <row r="24" spans="1:28" ht="16.5" customHeight="1">
      <c r="A24" s="1"/>
      <c r="B24" s="2"/>
      <c r="C24" s="496">
        <v>3</v>
      </c>
      <c r="D24" s="496">
        <v>272707</v>
      </c>
      <c r="E24" s="496">
        <v>1628</v>
      </c>
      <c r="F24" s="497" t="s">
        <v>156</v>
      </c>
      <c r="G24" s="498">
        <v>132</v>
      </c>
      <c r="H24" s="499">
        <v>112</v>
      </c>
      <c r="I24" s="403">
        <f t="shared" si="0"/>
        <v>212.23888</v>
      </c>
      <c r="J24" s="504">
        <v>41696.3125</v>
      </c>
      <c r="K24" s="504">
        <v>41696.74097222222</v>
      </c>
      <c r="L24" s="13">
        <f t="shared" si="1"/>
        <v>10.283333333325572</v>
      </c>
      <c r="M24" s="14">
        <f t="shared" si="2"/>
        <v>617</v>
      </c>
      <c r="N24" s="505" t="s">
        <v>152</v>
      </c>
      <c r="O24" s="703" t="s">
        <v>154</v>
      </c>
      <c r="P24" s="688">
        <f t="shared" si="3"/>
        <v>654.54470592</v>
      </c>
      <c r="Q24" s="689" t="str">
        <f t="shared" si="4"/>
        <v>--</v>
      </c>
      <c r="R24" s="690" t="str">
        <f t="shared" si="5"/>
        <v>--</v>
      </c>
      <c r="S24" s="691" t="str">
        <f t="shared" si="6"/>
        <v>--</v>
      </c>
      <c r="T24" s="692" t="str">
        <f t="shared" si="7"/>
        <v>--</v>
      </c>
      <c r="U24" s="693" t="str">
        <f t="shared" si="8"/>
        <v>--</v>
      </c>
      <c r="V24" s="694" t="str">
        <f t="shared" si="9"/>
        <v>--</v>
      </c>
      <c r="W24" s="695" t="str">
        <f t="shared" si="10"/>
        <v>--</v>
      </c>
      <c r="X24" s="696" t="str">
        <f t="shared" si="11"/>
        <v>--</v>
      </c>
      <c r="Y24" s="697" t="str">
        <f t="shared" si="12"/>
        <v>--</v>
      </c>
      <c r="Z24" s="698" t="s">
        <v>153</v>
      </c>
      <c r="AA24" s="55">
        <f t="shared" si="13"/>
        <v>654.54470592</v>
      </c>
      <c r="AB24" s="3"/>
    </row>
    <row r="25" spans="1:28" ht="16.5" customHeight="1">
      <c r="A25" s="1"/>
      <c r="B25" s="2"/>
      <c r="C25" s="496"/>
      <c r="D25" s="496"/>
      <c r="E25" s="496"/>
      <c r="F25" s="497"/>
      <c r="G25" s="498"/>
      <c r="H25" s="499"/>
      <c r="I25" s="403"/>
      <c r="J25" s="504"/>
      <c r="K25" s="504"/>
      <c r="L25" s="13"/>
      <c r="M25" s="14"/>
      <c r="N25" s="505"/>
      <c r="O25" s="703"/>
      <c r="P25" s="688"/>
      <c r="Q25" s="689"/>
      <c r="R25" s="690"/>
      <c r="S25" s="691"/>
      <c r="T25" s="692"/>
      <c r="U25" s="693"/>
      <c r="V25" s="694"/>
      <c r="W25" s="695"/>
      <c r="X25" s="696"/>
      <c r="Y25" s="697"/>
      <c r="Z25" s="698"/>
      <c r="AA25" s="55"/>
      <c r="AB25" s="3"/>
    </row>
    <row r="26" spans="1:28" ht="16.5" customHeight="1">
      <c r="A26" s="1"/>
      <c r="B26" s="2"/>
      <c r="C26" s="496"/>
      <c r="D26" s="496"/>
      <c r="E26" s="496"/>
      <c r="F26" s="497"/>
      <c r="G26" s="498"/>
      <c r="H26" s="499"/>
      <c r="I26" s="403">
        <f t="shared" si="0"/>
        <v>47.37474999999999</v>
      </c>
      <c r="J26" s="504"/>
      <c r="K26" s="504"/>
      <c r="L26" s="13">
        <f t="shared" si="1"/>
      </c>
      <c r="M26" s="14">
        <f t="shared" si="2"/>
      </c>
      <c r="N26" s="505"/>
      <c r="O26" s="687">
        <f aca="true" t="shared" si="14" ref="O26:O38">IF(F26="","","--")</f>
      </c>
      <c r="P26" s="688" t="str">
        <f t="shared" si="3"/>
        <v>--</v>
      </c>
      <c r="Q26" s="689" t="str">
        <f t="shared" si="4"/>
        <v>--</v>
      </c>
      <c r="R26" s="690" t="str">
        <f t="shared" si="5"/>
        <v>--</v>
      </c>
      <c r="S26" s="691" t="str">
        <f t="shared" si="6"/>
        <v>--</v>
      </c>
      <c r="T26" s="692" t="str">
        <f t="shared" si="7"/>
        <v>--</v>
      </c>
      <c r="U26" s="693" t="str">
        <f t="shared" si="8"/>
        <v>--</v>
      </c>
      <c r="V26" s="694" t="str">
        <f t="shared" si="9"/>
        <v>--</v>
      </c>
      <c r="W26" s="695" t="str">
        <f t="shared" si="10"/>
        <v>--</v>
      </c>
      <c r="X26" s="696" t="str">
        <f t="shared" si="11"/>
        <v>--</v>
      </c>
      <c r="Y26" s="697" t="str">
        <f t="shared" si="12"/>
        <v>--</v>
      </c>
      <c r="Z26" s="698">
        <f aca="true" t="shared" si="15" ref="Z26:Z38">IF(F26="","","SI")</f>
      </c>
      <c r="AA26" s="55">
        <f t="shared" si="13"/>
      </c>
      <c r="AB26" s="3"/>
    </row>
    <row r="27" spans="1:28" ht="16.5" customHeight="1">
      <c r="A27" s="1"/>
      <c r="B27" s="2"/>
      <c r="C27" s="496"/>
      <c r="D27" s="496"/>
      <c r="E27" s="496"/>
      <c r="F27" s="497"/>
      <c r="G27" s="498"/>
      <c r="H27" s="499"/>
      <c r="I27" s="403">
        <f t="shared" si="0"/>
        <v>47.37474999999999</v>
      </c>
      <c r="J27" s="504"/>
      <c r="K27" s="504"/>
      <c r="L27" s="13">
        <f t="shared" si="1"/>
      </c>
      <c r="M27" s="14">
        <f t="shared" si="2"/>
      </c>
      <c r="N27" s="505"/>
      <c r="O27" s="687">
        <f t="shared" si="14"/>
      </c>
      <c r="P27" s="688" t="str">
        <f t="shared" si="3"/>
        <v>--</v>
      </c>
      <c r="Q27" s="689" t="str">
        <f t="shared" si="4"/>
        <v>--</v>
      </c>
      <c r="R27" s="690" t="str">
        <f t="shared" si="5"/>
        <v>--</v>
      </c>
      <c r="S27" s="691" t="str">
        <f t="shared" si="6"/>
        <v>--</v>
      </c>
      <c r="T27" s="692" t="str">
        <f t="shared" si="7"/>
        <v>--</v>
      </c>
      <c r="U27" s="693" t="str">
        <f t="shared" si="8"/>
        <v>--</v>
      </c>
      <c r="V27" s="694" t="str">
        <f t="shared" si="9"/>
        <v>--</v>
      </c>
      <c r="W27" s="695" t="str">
        <f t="shared" si="10"/>
        <v>--</v>
      </c>
      <c r="X27" s="696" t="str">
        <f t="shared" si="11"/>
        <v>--</v>
      </c>
      <c r="Y27" s="697" t="str">
        <f t="shared" si="12"/>
        <v>--</v>
      </c>
      <c r="Z27" s="698">
        <f t="shared" si="15"/>
      </c>
      <c r="AA27" s="55">
        <f t="shared" si="13"/>
      </c>
      <c r="AB27" s="3"/>
    </row>
    <row r="28" spans="1:28" ht="16.5" customHeight="1">
      <c r="A28" s="1"/>
      <c r="B28" s="2"/>
      <c r="C28" s="496"/>
      <c r="D28" s="496"/>
      <c r="E28" s="496"/>
      <c r="F28" s="497"/>
      <c r="G28" s="498"/>
      <c r="H28" s="499"/>
      <c r="I28" s="403">
        <f t="shared" si="0"/>
        <v>47.37474999999999</v>
      </c>
      <c r="J28" s="504"/>
      <c r="K28" s="504"/>
      <c r="L28" s="13">
        <f t="shared" si="1"/>
      </c>
      <c r="M28" s="14">
        <f t="shared" si="2"/>
      </c>
      <c r="N28" s="505"/>
      <c r="O28" s="687">
        <f t="shared" si="14"/>
      </c>
      <c r="P28" s="688" t="str">
        <f t="shared" si="3"/>
        <v>--</v>
      </c>
      <c r="Q28" s="689" t="str">
        <f t="shared" si="4"/>
        <v>--</v>
      </c>
      <c r="R28" s="690" t="str">
        <f t="shared" si="5"/>
        <v>--</v>
      </c>
      <c r="S28" s="691" t="str">
        <f t="shared" si="6"/>
        <v>--</v>
      </c>
      <c r="T28" s="692" t="str">
        <f t="shared" si="7"/>
        <v>--</v>
      </c>
      <c r="U28" s="693" t="str">
        <f t="shared" si="8"/>
        <v>--</v>
      </c>
      <c r="V28" s="694" t="str">
        <f t="shared" si="9"/>
        <v>--</v>
      </c>
      <c r="W28" s="695" t="str">
        <f t="shared" si="10"/>
        <v>--</v>
      </c>
      <c r="X28" s="696" t="str">
        <f t="shared" si="11"/>
        <v>--</v>
      </c>
      <c r="Y28" s="697" t="str">
        <f t="shared" si="12"/>
        <v>--</v>
      </c>
      <c r="Z28" s="698">
        <f t="shared" si="15"/>
      </c>
      <c r="AA28" s="55">
        <f t="shared" si="13"/>
      </c>
      <c r="AB28" s="3"/>
    </row>
    <row r="29" spans="1:28" ht="16.5" customHeight="1">
      <c r="A29" s="1"/>
      <c r="B29" s="2"/>
      <c r="C29" s="496"/>
      <c r="D29" s="496"/>
      <c r="E29" s="496"/>
      <c r="F29" s="497"/>
      <c r="G29" s="498"/>
      <c r="H29" s="499"/>
      <c r="I29" s="403">
        <f t="shared" si="0"/>
        <v>47.37474999999999</v>
      </c>
      <c r="J29" s="504"/>
      <c r="K29" s="504"/>
      <c r="L29" s="13">
        <f t="shared" si="1"/>
      </c>
      <c r="M29" s="14">
        <f t="shared" si="2"/>
      </c>
      <c r="N29" s="505"/>
      <c r="O29" s="687">
        <f t="shared" si="14"/>
      </c>
      <c r="P29" s="688" t="str">
        <f t="shared" si="3"/>
        <v>--</v>
      </c>
      <c r="Q29" s="689" t="str">
        <f t="shared" si="4"/>
        <v>--</v>
      </c>
      <c r="R29" s="690" t="str">
        <f t="shared" si="5"/>
        <v>--</v>
      </c>
      <c r="S29" s="691" t="str">
        <f t="shared" si="6"/>
        <v>--</v>
      </c>
      <c r="T29" s="692" t="str">
        <f t="shared" si="7"/>
        <v>--</v>
      </c>
      <c r="U29" s="693" t="str">
        <f t="shared" si="8"/>
        <v>--</v>
      </c>
      <c r="V29" s="694" t="str">
        <f t="shared" si="9"/>
        <v>--</v>
      </c>
      <c r="W29" s="695" t="str">
        <f t="shared" si="10"/>
        <v>--</v>
      </c>
      <c r="X29" s="696" t="str">
        <f t="shared" si="11"/>
        <v>--</v>
      </c>
      <c r="Y29" s="697" t="str">
        <f t="shared" si="12"/>
        <v>--</v>
      </c>
      <c r="Z29" s="698">
        <f t="shared" si="15"/>
      </c>
      <c r="AA29" s="55">
        <f t="shared" si="13"/>
      </c>
      <c r="AB29" s="3"/>
    </row>
    <row r="30" spans="1:28" ht="16.5" customHeight="1">
      <c r="A30" s="1"/>
      <c r="B30" s="2"/>
      <c r="C30" s="496"/>
      <c r="D30" s="496"/>
      <c r="E30" s="496"/>
      <c r="F30" s="497"/>
      <c r="G30" s="498"/>
      <c r="H30" s="499"/>
      <c r="I30" s="403">
        <f t="shared" si="0"/>
        <v>47.37474999999999</v>
      </c>
      <c r="J30" s="504"/>
      <c r="K30" s="504"/>
      <c r="L30" s="13">
        <f t="shared" si="1"/>
      </c>
      <c r="M30" s="14">
        <f t="shared" si="2"/>
      </c>
      <c r="N30" s="505"/>
      <c r="O30" s="687">
        <f t="shared" si="14"/>
      </c>
      <c r="P30" s="688" t="str">
        <f t="shared" si="3"/>
        <v>--</v>
      </c>
      <c r="Q30" s="689" t="str">
        <f t="shared" si="4"/>
        <v>--</v>
      </c>
      <c r="R30" s="690" t="str">
        <f t="shared" si="5"/>
        <v>--</v>
      </c>
      <c r="S30" s="691" t="str">
        <f t="shared" si="6"/>
        <v>--</v>
      </c>
      <c r="T30" s="692" t="str">
        <f t="shared" si="7"/>
        <v>--</v>
      </c>
      <c r="U30" s="693" t="str">
        <f t="shared" si="8"/>
        <v>--</v>
      </c>
      <c r="V30" s="694" t="str">
        <f t="shared" si="9"/>
        <v>--</v>
      </c>
      <c r="W30" s="695" t="str">
        <f t="shared" si="10"/>
        <v>--</v>
      </c>
      <c r="X30" s="696" t="str">
        <f t="shared" si="11"/>
        <v>--</v>
      </c>
      <c r="Y30" s="697" t="str">
        <f t="shared" si="12"/>
        <v>--</v>
      </c>
      <c r="Z30" s="698">
        <f t="shared" si="15"/>
      </c>
      <c r="AA30" s="55">
        <f t="shared" si="13"/>
      </c>
      <c r="AB30" s="3"/>
    </row>
    <row r="31" spans="1:28" ht="16.5" customHeight="1">
      <c r="A31" s="1"/>
      <c r="B31" s="2"/>
      <c r="C31" s="496"/>
      <c r="D31" s="496"/>
      <c r="E31" s="496"/>
      <c r="F31" s="497"/>
      <c r="G31" s="498"/>
      <c r="H31" s="499"/>
      <c r="I31" s="403">
        <f t="shared" si="0"/>
        <v>47.37474999999999</v>
      </c>
      <c r="J31" s="504"/>
      <c r="K31" s="504"/>
      <c r="L31" s="13">
        <f t="shared" si="1"/>
      </c>
      <c r="M31" s="14">
        <f t="shared" si="2"/>
      </c>
      <c r="N31" s="505"/>
      <c r="O31" s="687">
        <f t="shared" si="14"/>
      </c>
      <c r="P31" s="688" t="str">
        <f t="shared" si="3"/>
        <v>--</v>
      </c>
      <c r="Q31" s="689" t="str">
        <f t="shared" si="4"/>
        <v>--</v>
      </c>
      <c r="R31" s="690" t="str">
        <f t="shared" si="5"/>
        <v>--</v>
      </c>
      <c r="S31" s="691" t="str">
        <f t="shared" si="6"/>
        <v>--</v>
      </c>
      <c r="T31" s="692" t="str">
        <f t="shared" si="7"/>
        <v>--</v>
      </c>
      <c r="U31" s="693" t="str">
        <f t="shared" si="8"/>
        <v>--</v>
      </c>
      <c r="V31" s="694" t="str">
        <f t="shared" si="9"/>
        <v>--</v>
      </c>
      <c r="W31" s="695" t="str">
        <f t="shared" si="10"/>
        <v>--</v>
      </c>
      <c r="X31" s="696" t="str">
        <f t="shared" si="11"/>
        <v>--</v>
      </c>
      <c r="Y31" s="697" t="str">
        <f t="shared" si="12"/>
        <v>--</v>
      </c>
      <c r="Z31" s="698">
        <f t="shared" si="15"/>
      </c>
      <c r="AA31" s="55">
        <f t="shared" si="13"/>
      </c>
      <c r="AB31" s="3"/>
    </row>
    <row r="32" spans="1:28" ht="16.5" customHeight="1">
      <c r="A32" s="1"/>
      <c r="B32" s="2"/>
      <c r="C32" s="496"/>
      <c r="D32" s="496"/>
      <c r="E32" s="496"/>
      <c r="F32" s="497"/>
      <c r="G32" s="498"/>
      <c r="H32" s="499"/>
      <c r="I32" s="403">
        <f t="shared" si="0"/>
        <v>47.37474999999999</v>
      </c>
      <c r="J32" s="504"/>
      <c r="K32" s="504"/>
      <c r="L32" s="13">
        <f t="shared" si="1"/>
      </c>
      <c r="M32" s="14">
        <f t="shared" si="2"/>
      </c>
      <c r="N32" s="505"/>
      <c r="O32" s="687">
        <f t="shared" si="14"/>
      </c>
      <c r="P32" s="688" t="str">
        <f t="shared" si="3"/>
        <v>--</v>
      </c>
      <c r="Q32" s="689" t="str">
        <f t="shared" si="4"/>
        <v>--</v>
      </c>
      <c r="R32" s="690" t="str">
        <f t="shared" si="5"/>
        <v>--</v>
      </c>
      <c r="S32" s="691" t="str">
        <f t="shared" si="6"/>
        <v>--</v>
      </c>
      <c r="T32" s="692" t="str">
        <f t="shared" si="7"/>
        <v>--</v>
      </c>
      <c r="U32" s="693" t="str">
        <f t="shared" si="8"/>
        <v>--</v>
      </c>
      <c r="V32" s="694" t="str">
        <f t="shared" si="9"/>
        <v>--</v>
      </c>
      <c r="W32" s="695" t="str">
        <f t="shared" si="10"/>
        <v>--</v>
      </c>
      <c r="X32" s="696" t="str">
        <f t="shared" si="11"/>
        <v>--</v>
      </c>
      <c r="Y32" s="697" t="str">
        <f t="shared" si="12"/>
        <v>--</v>
      </c>
      <c r="Z32" s="698">
        <f t="shared" si="15"/>
      </c>
      <c r="AA32" s="55">
        <f t="shared" si="13"/>
      </c>
      <c r="AB32" s="3"/>
    </row>
    <row r="33" spans="1:28" ht="16.5" customHeight="1">
      <c r="A33" s="1"/>
      <c r="B33" s="2"/>
      <c r="C33" s="496"/>
      <c r="D33" s="496"/>
      <c r="E33" s="496"/>
      <c r="F33" s="497"/>
      <c r="G33" s="498"/>
      <c r="H33" s="499"/>
      <c r="I33" s="403">
        <f t="shared" si="0"/>
        <v>47.37474999999999</v>
      </c>
      <c r="J33" s="504"/>
      <c r="K33" s="504"/>
      <c r="L33" s="13">
        <f t="shared" si="1"/>
      </c>
      <c r="M33" s="14">
        <f t="shared" si="2"/>
      </c>
      <c r="N33" s="505"/>
      <c r="O33" s="687">
        <f t="shared" si="14"/>
      </c>
      <c r="P33" s="688" t="str">
        <f t="shared" si="3"/>
        <v>--</v>
      </c>
      <c r="Q33" s="689" t="str">
        <f t="shared" si="4"/>
        <v>--</v>
      </c>
      <c r="R33" s="690" t="str">
        <f t="shared" si="5"/>
        <v>--</v>
      </c>
      <c r="S33" s="691" t="str">
        <f t="shared" si="6"/>
        <v>--</v>
      </c>
      <c r="T33" s="692" t="str">
        <f t="shared" si="7"/>
        <v>--</v>
      </c>
      <c r="U33" s="693" t="str">
        <f t="shared" si="8"/>
        <v>--</v>
      </c>
      <c r="V33" s="694" t="str">
        <f t="shared" si="9"/>
        <v>--</v>
      </c>
      <c r="W33" s="695" t="str">
        <f t="shared" si="10"/>
        <v>--</v>
      </c>
      <c r="X33" s="696" t="str">
        <f t="shared" si="11"/>
        <v>--</v>
      </c>
      <c r="Y33" s="697" t="str">
        <f t="shared" si="12"/>
        <v>--</v>
      </c>
      <c r="Z33" s="698">
        <f t="shared" si="15"/>
      </c>
      <c r="AA33" s="55">
        <f t="shared" si="13"/>
      </c>
      <c r="AB33" s="3"/>
    </row>
    <row r="34" spans="1:28" ht="16.5" customHeight="1">
      <c r="A34" s="1"/>
      <c r="B34" s="2"/>
      <c r="C34" s="496"/>
      <c r="D34" s="496"/>
      <c r="E34" s="496"/>
      <c r="F34" s="497"/>
      <c r="G34" s="498"/>
      <c r="H34" s="499"/>
      <c r="I34" s="403">
        <f t="shared" si="0"/>
        <v>47.37474999999999</v>
      </c>
      <c r="J34" s="504"/>
      <c r="K34" s="504"/>
      <c r="L34" s="13">
        <f t="shared" si="1"/>
      </c>
      <c r="M34" s="14">
        <f t="shared" si="2"/>
      </c>
      <c r="N34" s="505"/>
      <c r="O34" s="687">
        <f t="shared" si="14"/>
      </c>
      <c r="P34" s="688" t="str">
        <f t="shared" si="3"/>
        <v>--</v>
      </c>
      <c r="Q34" s="689" t="str">
        <f t="shared" si="4"/>
        <v>--</v>
      </c>
      <c r="R34" s="690" t="str">
        <f t="shared" si="5"/>
        <v>--</v>
      </c>
      <c r="S34" s="691" t="str">
        <f t="shared" si="6"/>
        <v>--</v>
      </c>
      <c r="T34" s="692" t="str">
        <f t="shared" si="7"/>
        <v>--</v>
      </c>
      <c r="U34" s="693" t="str">
        <f t="shared" si="8"/>
        <v>--</v>
      </c>
      <c r="V34" s="694" t="str">
        <f t="shared" si="9"/>
        <v>--</v>
      </c>
      <c r="W34" s="695" t="str">
        <f t="shared" si="10"/>
        <v>--</v>
      </c>
      <c r="X34" s="696" t="str">
        <f t="shared" si="11"/>
        <v>--</v>
      </c>
      <c r="Y34" s="697" t="str">
        <f t="shared" si="12"/>
        <v>--</v>
      </c>
      <c r="Z34" s="698">
        <f t="shared" si="15"/>
      </c>
      <c r="AA34" s="55">
        <f t="shared" si="13"/>
      </c>
      <c r="AB34" s="3"/>
    </row>
    <row r="35" spans="1:28" ht="16.5" customHeight="1">
      <c r="A35" s="1"/>
      <c r="B35" s="2"/>
      <c r="C35" s="496"/>
      <c r="D35" s="496"/>
      <c r="E35" s="496"/>
      <c r="F35" s="497"/>
      <c r="G35" s="498"/>
      <c r="H35" s="499"/>
      <c r="I35" s="403">
        <f t="shared" si="0"/>
        <v>47.37474999999999</v>
      </c>
      <c r="J35" s="504"/>
      <c r="K35" s="504"/>
      <c r="L35" s="13">
        <f t="shared" si="1"/>
      </c>
      <c r="M35" s="14">
        <f t="shared" si="2"/>
      </c>
      <c r="N35" s="505"/>
      <c r="O35" s="687">
        <f t="shared" si="14"/>
      </c>
      <c r="P35" s="688" t="str">
        <f t="shared" si="3"/>
        <v>--</v>
      </c>
      <c r="Q35" s="689" t="str">
        <f t="shared" si="4"/>
        <v>--</v>
      </c>
      <c r="R35" s="690" t="str">
        <f t="shared" si="5"/>
        <v>--</v>
      </c>
      <c r="S35" s="691" t="str">
        <f t="shared" si="6"/>
        <v>--</v>
      </c>
      <c r="T35" s="692" t="str">
        <f t="shared" si="7"/>
        <v>--</v>
      </c>
      <c r="U35" s="693" t="str">
        <f t="shared" si="8"/>
        <v>--</v>
      </c>
      <c r="V35" s="694" t="str">
        <f t="shared" si="9"/>
        <v>--</v>
      </c>
      <c r="W35" s="695" t="str">
        <f t="shared" si="10"/>
        <v>--</v>
      </c>
      <c r="X35" s="696" t="str">
        <f t="shared" si="11"/>
        <v>--</v>
      </c>
      <c r="Y35" s="697" t="str">
        <f t="shared" si="12"/>
        <v>--</v>
      </c>
      <c r="Z35" s="698">
        <f t="shared" si="15"/>
      </c>
      <c r="AA35" s="55">
        <f t="shared" si="13"/>
      </c>
      <c r="AB35" s="3"/>
    </row>
    <row r="36" spans="1:28" ht="16.5" customHeight="1">
      <c r="A36" s="1"/>
      <c r="B36" s="2"/>
      <c r="C36" s="496"/>
      <c r="D36" s="496"/>
      <c r="E36" s="496"/>
      <c r="F36" s="497"/>
      <c r="G36" s="498"/>
      <c r="H36" s="499"/>
      <c r="I36" s="403">
        <f t="shared" si="0"/>
        <v>47.37474999999999</v>
      </c>
      <c r="J36" s="504"/>
      <c r="K36" s="504"/>
      <c r="L36" s="13">
        <f t="shared" si="1"/>
      </c>
      <c r="M36" s="14">
        <f t="shared" si="2"/>
      </c>
      <c r="N36" s="505"/>
      <c r="O36" s="687">
        <f t="shared" si="14"/>
      </c>
      <c r="P36" s="688" t="str">
        <f t="shared" si="3"/>
        <v>--</v>
      </c>
      <c r="Q36" s="689" t="str">
        <f t="shared" si="4"/>
        <v>--</v>
      </c>
      <c r="R36" s="690" t="str">
        <f t="shared" si="5"/>
        <v>--</v>
      </c>
      <c r="S36" s="691" t="str">
        <f t="shared" si="6"/>
        <v>--</v>
      </c>
      <c r="T36" s="692" t="str">
        <f t="shared" si="7"/>
        <v>--</v>
      </c>
      <c r="U36" s="693" t="str">
        <f t="shared" si="8"/>
        <v>--</v>
      </c>
      <c r="V36" s="694" t="str">
        <f t="shared" si="9"/>
        <v>--</v>
      </c>
      <c r="W36" s="695" t="str">
        <f t="shared" si="10"/>
        <v>--</v>
      </c>
      <c r="X36" s="696" t="str">
        <f t="shared" si="11"/>
        <v>--</v>
      </c>
      <c r="Y36" s="697" t="str">
        <f t="shared" si="12"/>
        <v>--</v>
      </c>
      <c r="Z36" s="698">
        <f t="shared" si="15"/>
      </c>
      <c r="AA36" s="55">
        <f t="shared" si="13"/>
      </c>
      <c r="AB36" s="3"/>
    </row>
    <row r="37" spans="1:28" ht="16.5" customHeight="1">
      <c r="A37" s="1"/>
      <c r="B37" s="2"/>
      <c r="C37" s="496"/>
      <c r="D37" s="496"/>
      <c r="E37" s="496"/>
      <c r="F37" s="497"/>
      <c r="G37" s="498"/>
      <c r="H37" s="499"/>
      <c r="I37" s="403">
        <f t="shared" si="0"/>
        <v>47.37474999999999</v>
      </c>
      <c r="J37" s="504"/>
      <c r="K37" s="504"/>
      <c r="L37" s="13">
        <f t="shared" si="1"/>
      </c>
      <c r="M37" s="14">
        <f t="shared" si="2"/>
      </c>
      <c r="N37" s="505"/>
      <c r="O37" s="687">
        <f t="shared" si="14"/>
      </c>
      <c r="P37" s="688" t="str">
        <f t="shared" si="3"/>
        <v>--</v>
      </c>
      <c r="Q37" s="689" t="str">
        <f t="shared" si="4"/>
        <v>--</v>
      </c>
      <c r="R37" s="690" t="str">
        <f t="shared" si="5"/>
        <v>--</v>
      </c>
      <c r="S37" s="691" t="str">
        <f t="shared" si="6"/>
        <v>--</v>
      </c>
      <c r="T37" s="692" t="str">
        <f t="shared" si="7"/>
        <v>--</v>
      </c>
      <c r="U37" s="693" t="str">
        <f t="shared" si="8"/>
        <v>--</v>
      </c>
      <c r="V37" s="694" t="str">
        <f t="shared" si="9"/>
        <v>--</v>
      </c>
      <c r="W37" s="695" t="str">
        <f t="shared" si="10"/>
        <v>--</v>
      </c>
      <c r="X37" s="696" t="str">
        <f t="shared" si="11"/>
        <v>--</v>
      </c>
      <c r="Y37" s="697" t="str">
        <f t="shared" si="12"/>
        <v>--</v>
      </c>
      <c r="Z37" s="698">
        <f t="shared" si="15"/>
      </c>
      <c r="AA37" s="55">
        <f t="shared" si="13"/>
      </c>
      <c r="AB37" s="3"/>
    </row>
    <row r="38" spans="2:28" ht="16.5" customHeight="1">
      <c r="B38" s="56"/>
      <c r="C38" s="496"/>
      <c r="D38" s="496"/>
      <c r="E38" s="496"/>
      <c r="F38" s="497"/>
      <c r="G38" s="498"/>
      <c r="H38" s="499"/>
      <c r="I38" s="403">
        <f t="shared" si="0"/>
        <v>47.37474999999999</v>
      </c>
      <c r="J38" s="504"/>
      <c r="K38" s="504"/>
      <c r="L38" s="13">
        <f t="shared" si="1"/>
      </c>
      <c r="M38" s="14">
        <f t="shared" si="2"/>
      </c>
      <c r="N38" s="505"/>
      <c r="O38" s="687">
        <f t="shared" si="14"/>
      </c>
      <c r="P38" s="688" t="str">
        <f t="shared" si="3"/>
        <v>--</v>
      </c>
      <c r="Q38" s="689" t="str">
        <f t="shared" si="4"/>
        <v>--</v>
      </c>
      <c r="R38" s="690" t="str">
        <f t="shared" si="5"/>
        <v>--</v>
      </c>
      <c r="S38" s="691" t="str">
        <f t="shared" si="6"/>
        <v>--</v>
      </c>
      <c r="T38" s="692" t="str">
        <f t="shared" si="7"/>
        <v>--</v>
      </c>
      <c r="U38" s="693" t="str">
        <f t="shared" si="8"/>
        <v>--</v>
      </c>
      <c r="V38" s="694" t="str">
        <f t="shared" si="9"/>
        <v>--</v>
      </c>
      <c r="W38" s="695" t="str">
        <f t="shared" si="10"/>
        <v>--</v>
      </c>
      <c r="X38" s="696" t="str">
        <f t="shared" si="11"/>
        <v>--</v>
      </c>
      <c r="Y38" s="697" t="str">
        <f t="shared" si="12"/>
        <v>--</v>
      </c>
      <c r="Z38" s="698">
        <f t="shared" si="15"/>
      </c>
      <c r="AA38" s="55">
        <f t="shared" si="13"/>
      </c>
      <c r="AB38" s="3"/>
    </row>
    <row r="39" spans="2:28" ht="16.5" customHeight="1">
      <c r="B39" s="56"/>
      <c r="C39" s="496"/>
      <c r="D39" s="496"/>
      <c r="E39" s="496"/>
      <c r="F39" s="497"/>
      <c r="G39" s="498"/>
      <c r="H39" s="499"/>
      <c r="I39" s="403">
        <f>IF(H39&gt;25,H39,25)*IF(G39=330,$G$16,$G$17)/100</f>
        <v>47.37474999999999</v>
      </c>
      <c r="J39" s="504"/>
      <c r="K39" s="504"/>
      <c r="L39" s="13">
        <f>IF(F39="","",(K39-J39)*24)</f>
      </c>
      <c r="M39" s="14">
        <f>IF(F39="","",ROUND((K39-J39)*24*60,0))</f>
      </c>
      <c r="N39" s="505"/>
      <c r="O39" s="687">
        <f>IF(F39="","","--")</f>
      </c>
      <c r="P39" s="688" t="str">
        <f>IF(N39="P",ROUND(M39/60,2)*I39*$L$17*0.01,"--")</f>
        <v>--</v>
      </c>
      <c r="Q39" s="689" t="str">
        <f>IF(N39="RP",ROUND(M39/60,2)*I39*$L$17*0.01*O39/100,"--")</f>
        <v>--</v>
      </c>
      <c r="R39" s="690" t="str">
        <f>IF(N39="F",I39*$L$17,"--")</f>
        <v>--</v>
      </c>
      <c r="S39" s="691" t="str">
        <f>IF(AND(M39&gt;10,N39="F"),I39*$L$17*IF(M39&gt;180,3,ROUND(M39/60,2)),"--")</f>
        <v>--</v>
      </c>
      <c r="T39" s="692" t="str">
        <f>IF(AND(M39&gt;180,N39="F"),(ROUND(M39/60,2)-3)*I39*$L$17*0.1,"--")</f>
        <v>--</v>
      </c>
      <c r="U39" s="693" t="str">
        <f>IF(N39="R",I39*$L$17*O39/100,"--")</f>
        <v>--</v>
      </c>
      <c r="V39" s="694" t="str">
        <f>IF(AND(M39&gt;10,N39="R"),I39*$L$17*O39/100*IF(M39&gt;180,3,ROUND(M39/60,2)),"--")</f>
        <v>--</v>
      </c>
      <c r="W39" s="695" t="str">
        <f>IF(AND(M39&gt;180,N39="R"),(ROUND(M39/60,2)-3)*O39/100*I39*$L$17*0.1,"--")</f>
        <v>--</v>
      </c>
      <c r="X39" s="696" t="str">
        <f>IF(N39="RF",ROUND(M39/60,2)*I39*$L$17*0.1,"--")</f>
        <v>--</v>
      </c>
      <c r="Y39" s="697" t="str">
        <f>IF(N39="RR",ROUND(M39/60,2)*O39/100*I39*$L$17*0.1,"--")</f>
        <v>--</v>
      </c>
      <c r="Z39" s="698">
        <f>IF(F39="","","SI")</f>
      </c>
      <c r="AA39" s="55">
        <f>IF(F39="","",SUM(P39:Y39)*IF(Z39="SI",1,2))</f>
      </c>
      <c r="AB39" s="3"/>
    </row>
    <row r="40" spans="2:28" ht="16.5" customHeight="1">
      <c r="B40" s="56"/>
      <c r="C40" s="496"/>
      <c r="D40" s="496"/>
      <c r="E40" s="496"/>
      <c r="F40" s="497"/>
      <c r="G40" s="498"/>
      <c r="H40" s="499"/>
      <c r="I40" s="403">
        <f>IF(H40&gt;25,H40,25)*IF(G40=330,$G$16,$G$17)/100</f>
        <v>47.37474999999999</v>
      </c>
      <c r="J40" s="504"/>
      <c r="K40" s="504"/>
      <c r="L40" s="13">
        <f>IF(F40="","",(K40-J40)*24)</f>
      </c>
      <c r="M40" s="14">
        <f>IF(F40="","",ROUND((K40-J40)*24*60,0))</f>
      </c>
      <c r="N40" s="505"/>
      <c r="O40" s="687">
        <f>IF(F40="","","--")</f>
      </c>
      <c r="P40" s="688" t="str">
        <f>IF(N40="P",ROUND(M40/60,2)*I40*$L$17*0.01,"--")</f>
        <v>--</v>
      </c>
      <c r="Q40" s="689" t="str">
        <f>IF(N40="RP",ROUND(M40/60,2)*I40*$L$17*0.01*O40/100,"--")</f>
        <v>--</v>
      </c>
      <c r="R40" s="690" t="str">
        <f>IF(N40="F",I40*$L$17,"--")</f>
        <v>--</v>
      </c>
      <c r="S40" s="691" t="str">
        <f>IF(AND(M40&gt;10,N40="F"),I40*$L$17*IF(M40&gt;180,3,ROUND(M40/60,2)),"--")</f>
        <v>--</v>
      </c>
      <c r="T40" s="692" t="str">
        <f>IF(AND(M40&gt;180,N40="F"),(ROUND(M40/60,2)-3)*I40*$L$17*0.1,"--")</f>
        <v>--</v>
      </c>
      <c r="U40" s="693" t="str">
        <f>IF(N40="R",I40*$L$17*O40/100,"--")</f>
        <v>--</v>
      </c>
      <c r="V40" s="694" t="str">
        <f>IF(AND(M40&gt;10,N40="R"),I40*$L$17*O40/100*IF(M40&gt;180,3,ROUND(M40/60,2)),"--")</f>
        <v>--</v>
      </c>
      <c r="W40" s="695" t="str">
        <f>IF(AND(M40&gt;180,N40="R"),(ROUND(M40/60,2)-3)*O40/100*I40*$L$17*0.1,"--")</f>
        <v>--</v>
      </c>
      <c r="X40" s="696" t="str">
        <f>IF(N40="RF",ROUND(M40/60,2)*I40*$L$17*0.1,"--")</f>
        <v>--</v>
      </c>
      <c r="Y40" s="697" t="str">
        <f>IF(N40="RR",ROUND(M40/60,2)*O40/100*I40*$L$17*0.1,"--")</f>
        <v>--</v>
      </c>
      <c r="Z40" s="698">
        <f>IF(F40="","","SI")</f>
      </c>
      <c r="AA40" s="55">
        <f>IF(F40="","",SUM(P40:Y40)*IF(Z40="SI",1,2))</f>
      </c>
      <c r="AB40" s="3"/>
    </row>
    <row r="41" spans="2:28" ht="16.5" customHeight="1">
      <c r="B41" s="56"/>
      <c r="C41" s="496"/>
      <c r="D41" s="496"/>
      <c r="E41" s="496"/>
      <c r="F41" s="497"/>
      <c r="G41" s="498"/>
      <c r="H41" s="499"/>
      <c r="I41" s="403">
        <f>IF(H41&gt;25,H41,25)*IF(G41=330,$G$16,$G$17)/100</f>
        <v>47.37474999999999</v>
      </c>
      <c r="J41" s="504"/>
      <c r="K41" s="504"/>
      <c r="L41" s="13">
        <f>IF(F41="","",(K41-J41)*24)</f>
      </c>
      <c r="M41" s="14">
        <f>IF(F41="","",ROUND((K41-J41)*24*60,0))</f>
      </c>
      <c r="N41" s="505"/>
      <c r="O41" s="687">
        <f>IF(F41="","","--")</f>
      </c>
      <c r="P41" s="688" t="str">
        <f>IF(N41="P",ROUND(M41/60,2)*I41*$L$17*0.01,"--")</f>
        <v>--</v>
      </c>
      <c r="Q41" s="689" t="str">
        <f>IF(N41="RP",ROUND(M41/60,2)*I41*$L$17*0.01*O41/100,"--")</f>
        <v>--</v>
      </c>
      <c r="R41" s="690" t="str">
        <f>IF(N41="F",I41*$L$17,"--")</f>
        <v>--</v>
      </c>
      <c r="S41" s="691" t="str">
        <f>IF(AND(M41&gt;10,N41="F"),I41*$L$17*IF(M41&gt;180,3,ROUND(M41/60,2)),"--")</f>
        <v>--</v>
      </c>
      <c r="T41" s="692" t="str">
        <f>IF(AND(M41&gt;180,N41="F"),(ROUND(M41/60,2)-3)*I41*$L$17*0.1,"--")</f>
        <v>--</v>
      </c>
      <c r="U41" s="693" t="str">
        <f>IF(N41="R",I41*$L$17*O41/100,"--")</f>
        <v>--</v>
      </c>
      <c r="V41" s="694" t="str">
        <f>IF(AND(M41&gt;10,N41="R"),I41*$L$17*O41/100*IF(M41&gt;180,3,ROUND(M41/60,2)),"--")</f>
        <v>--</v>
      </c>
      <c r="W41" s="695" t="str">
        <f>IF(AND(M41&gt;180,N41="R"),(ROUND(M41/60,2)-3)*O41/100*I41*$L$17*0.1,"--")</f>
        <v>--</v>
      </c>
      <c r="X41" s="696" t="str">
        <f>IF(N41="RF",ROUND(M41/60,2)*I41*$L$17*0.1,"--")</f>
        <v>--</v>
      </c>
      <c r="Y41" s="697" t="str">
        <f>IF(N41="RR",ROUND(M41/60,2)*O41/100*I41*$L$17*0.1,"--")</f>
        <v>--</v>
      </c>
      <c r="Z41" s="698">
        <f>IF(F41="","","SI")</f>
      </c>
      <c r="AA41" s="55">
        <f>IF(F41="","",SUM(P41:Y41)*IF(Z41="SI",1,2))</f>
      </c>
      <c r="AB41" s="3"/>
    </row>
    <row r="42" spans="1:28" ht="16.5" customHeight="1" thickBot="1">
      <c r="A42" s="1"/>
      <c r="B42" s="2"/>
      <c r="C42" s="500"/>
      <c r="D42" s="500"/>
      <c r="E42" s="500"/>
      <c r="F42" s="501"/>
      <c r="G42" s="502"/>
      <c r="H42" s="503"/>
      <c r="I42" s="404"/>
      <c r="J42" s="503"/>
      <c r="K42" s="503"/>
      <c r="L42" s="15"/>
      <c r="M42" s="15"/>
      <c r="N42" s="503"/>
      <c r="O42" s="506"/>
      <c r="P42" s="507"/>
      <c r="Q42" s="508"/>
      <c r="R42" s="509"/>
      <c r="S42" s="510"/>
      <c r="T42" s="511"/>
      <c r="U42" s="512"/>
      <c r="V42" s="513"/>
      <c r="W42" s="514"/>
      <c r="X42" s="515"/>
      <c r="Y42" s="516"/>
      <c r="Z42" s="517"/>
      <c r="AA42" s="57"/>
      <c r="AB42" s="3"/>
    </row>
    <row r="43" spans="1:28" ht="16.5" customHeight="1" thickBot="1" thickTop="1">
      <c r="A43" s="1"/>
      <c r="B43" s="2"/>
      <c r="C43" s="240" t="s">
        <v>64</v>
      </c>
      <c r="D43" s="720" t="s">
        <v>183</v>
      </c>
      <c r="E43" s="682"/>
      <c r="F43" s="241"/>
      <c r="G43" s="16"/>
      <c r="H43" s="17"/>
      <c r="I43" s="58"/>
      <c r="J43" s="58"/>
      <c r="K43" s="58"/>
      <c r="L43" s="58"/>
      <c r="M43" s="58"/>
      <c r="N43" s="58"/>
      <c r="O43" s="59"/>
      <c r="P43" s="327">
        <f aca="true" t="shared" si="16" ref="P43:Y43">ROUND(SUM(P20:P42),2)</f>
        <v>1001.51</v>
      </c>
      <c r="Q43" s="328">
        <f t="shared" si="16"/>
        <v>0</v>
      </c>
      <c r="R43" s="329">
        <f t="shared" si="16"/>
        <v>0</v>
      </c>
      <c r="S43" s="329">
        <f t="shared" si="16"/>
        <v>0</v>
      </c>
      <c r="T43" s="330">
        <f t="shared" si="16"/>
        <v>0</v>
      </c>
      <c r="U43" s="331">
        <f t="shared" si="16"/>
        <v>0</v>
      </c>
      <c r="V43" s="331">
        <f t="shared" si="16"/>
        <v>0</v>
      </c>
      <c r="W43" s="332">
        <f t="shared" si="16"/>
        <v>0</v>
      </c>
      <c r="X43" s="333">
        <f t="shared" si="16"/>
        <v>0</v>
      </c>
      <c r="Y43" s="334">
        <f t="shared" si="16"/>
        <v>0</v>
      </c>
      <c r="Z43" s="60"/>
      <c r="AA43" s="686">
        <f>ROUND(SUM(AA20:AA42),2)</f>
        <v>1001.51</v>
      </c>
      <c r="AB43" s="61"/>
    </row>
    <row r="44" spans="1:28" s="255" customFormat="1" ht="9.75" thickTop="1">
      <c r="A44" s="244"/>
      <c r="B44" s="245"/>
      <c r="C44" s="242"/>
      <c r="D44" s="242"/>
      <c r="E44" s="242"/>
      <c r="F44" s="243"/>
      <c r="G44" s="246"/>
      <c r="H44" s="247"/>
      <c r="I44" s="248"/>
      <c r="J44" s="248"/>
      <c r="K44" s="248"/>
      <c r="L44" s="248"/>
      <c r="M44" s="248"/>
      <c r="N44" s="248"/>
      <c r="O44" s="249"/>
      <c r="P44" s="250"/>
      <c r="Q44" s="250"/>
      <c r="R44" s="251"/>
      <c r="S44" s="251"/>
      <c r="T44" s="252"/>
      <c r="U44" s="252"/>
      <c r="V44" s="252"/>
      <c r="W44" s="252"/>
      <c r="X44" s="252"/>
      <c r="Y44" s="252"/>
      <c r="Z44" s="252"/>
      <c r="AA44" s="253"/>
      <c r="AB44" s="254"/>
    </row>
    <row r="45" spans="1:28" s="10" customFormat="1" ht="16.5" customHeight="1" thickBot="1">
      <c r="A45" s="8"/>
      <c r="B45" s="4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50"/>
    </row>
    <row r="46" spans="1:28" ht="13.5" thickTop="1">
      <c r="A46" s="1"/>
      <c r="B46" s="1"/>
      <c r="AB46" s="1"/>
    </row>
    <row r="91" spans="1:2" ht="12.75">
      <c r="A91" s="1"/>
      <c r="B91" s="1"/>
    </row>
  </sheetData>
  <sheetProtection/>
  <mergeCells count="2">
    <mergeCell ref="G16:H16"/>
    <mergeCell ref="G17:H17"/>
  </mergeCells>
  <printOptions/>
  <pageMargins left="0.46" right="0.1968503937007874" top="0.7874015748031497" bottom="0.7874015748031497" header="0.5118110236220472" footer="0.5118110236220472"/>
  <pageSetup fitToHeight="1" fitToWidth="1" orientation="landscape" paperSize="9" scale="66" r:id="rId3"/>
  <headerFooter alignWithMargins="0">
    <oddFooter>&amp;L&amp;"Times New Roman,Normal"&amp;8&amp;Z&amp;F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1"/>
  <sheetViews>
    <sheetView zoomScale="70" zoomScaleNormal="70" zoomScalePageLayoutView="0" workbookViewId="0" topLeftCell="A1">
      <selection activeCell="G16" sqref="G16:H16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45.7109375" style="0" customWidth="1"/>
    <col min="7" max="8" width="9.7109375" style="0" customWidth="1"/>
    <col min="9" max="9" width="12.7109375" style="0" hidden="1" customWidth="1"/>
    <col min="10" max="11" width="15.7109375" style="0" customWidth="1"/>
    <col min="12" max="14" width="9.7109375" style="0" customWidth="1"/>
    <col min="15" max="15" width="14.140625" style="0" customWidth="1"/>
    <col min="16" max="25" width="14.140625" style="0" hidden="1" customWidth="1"/>
    <col min="26" max="26" width="14.140625" style="0" customWidth="1"/>
    <col min="27" max="27" width="15.7109375" style="0" customWidth="1"/>
    <col min="28" max="28" width="4.140625" style="0" customWidth="1"/>
  </cols>
  <sheetData>
    <row r="1" s="109" customFormat="1" ht="26.25">
      <c r="AB1" s="412"/>
    </row>
    <row r="2" spans="2:28" s="109" customFormat="1" ht="26.25">
      <c r="B2" s="110" t="str">
        <f>+'TOT-0214'!B2</f>
        <v>ANEXO II al Memorándum  D.T.E.E.  N°  223 /2016               .-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</row>
    <row r="3" s="10" customFormat="1" ht="12.75"/>
    <row r="4" spans="1:4" s="112" customFormat="1" ht="11.25">
      <c r="A4" s="685" t="s">
        <v>16</v>
      </c>
      <c r="C4" s="684"/>
      <c r="D4" s="684"/>
    </row>
    <row r="5" spans="1:4" s="112" customFormat="1" ht="11.25">
      <c r="A5" s="685" t="s">
        <v>146</v>
      </c>
      <c r="C5" s="684"/>
      <c r="D5" s="684"/>
    </row>
    <row r="6" s="10" customFormat="1" ht="13.5" thickBot="1"/>
    <row r="7" spans="1:28" s="10" customFormat="1" ht="13.5" thickTop="1">
      <c r="A7" s="8"/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3"/>
    </row>
    <row r="8" spans="1:28" s="114" customFormat="1" ht="20.25">
      <c r="A8" s="45"/>
      <c r="B8" s="113"/>
      <c r="C8" s="45"/>
      <c r="D8" s="45"/>
      <c r="E8" s="45"/>
      <c r="F8" s="21" t="s">
        <v>40</v>
      </c>
      <c r="G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115"/>
    </row>
    <row r="9" spans="1:28" s="10" customFormat="1" ht="12.75">
      <c r="A9" s="8"/>
      <c r="B9" s="44"/>
      <c r="C9" s="8"/>
      <c r="D9" s="8"/>
      <c r="E9" s="8"/>
      <c r="F9" s="126"/>
      <c r="G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11"/>
    </row>
    <row r="10" spans="1:28" s="114" customFormat="1" ht="20.25">
      <c r="A10" s="45"/>
      <c r="B10" s="113"/>
      <c r="C10" s="45"/>
      <c r="D10" s="45"/>
      <c r="E10" s="45"/>
      <c r="F10" s="21" t="s">
        <v>143</v>
      </c>
      <c r="G10" s="21"/>
      <c r="H10" s="45"/>
      <c r="I10" s="116"/>
      <c r="J10" s="116"/>
      <c r="K10" s="116"/>
      <c r="L10" s="116"/>
      <c r="M10" s="116"/>
      <c r="N10" s="116"/>
      <c r="O10" s="116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115"/>
    </row>
    <row r="11" spans="1:28" s="10" customFormat="1" ht="12.75">
      <c r="A11" s="8"/>
      <c r="B11" s="44"/>
      <c r="C11" s="8"/>
      <c r="D11" s="8"/>
      <c r="E11" s="8"/>
      <c r="F11" s="125"/>
      <c r="G11" s="123"/>
      <c r="H11" s="8"/>
      <c r="I11" s="122"/>
      <c r="J11" s="122"/>
      <c r="K11" s="122"/>
      <c r="L11" s="122"/>
      <c r="M11" s="122"/>
      <c r="N11" s="122"/>
      <c r="O11" s="122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11"/>
    </row>
    <row r="12" spans="1:28" s="121" customFormat="1" ht="19.5">
      <c r="A12" s="47"/>
      <c r="B12" s="87" t="str">
        <f>+'TOT-0214'!B14</f>
        <v>Desde el 01 al 28 de febrero de 2014</v>
      </c>
      <c r="C12" s="117"/>
      <c r="D12" s="117"/>
      <c r="E12" s="117"/>
      <c r="F12" s="117"/>
      <c r="G12" s="118"/>
      <c r="H12" s="118"/>
      <c r="I12" s="119"/>
      <c r="J12" s="119"/>
      <c r="K12" s="119"/>
      <c r="L12" s="119"/>
      <c r="M12" s="119"/>
      <c r="N12" s="119"/>
      <c r="O12" s="119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20"/>
    </row>
    <row r="13" spans="1:28" s="121" customFormat="1" ht="7.5" customHeight="1">
      <c r="A13" s="47"/>
      <c r="B13" s="87"/>
      <c r="C13" s="117"/>
      <c r="D13" s="117"/>
      <c r="E13" s="117"/>
      <c r="F13" s="117"/>
      <c r="G13" s="118"/>
      <c r="H13" s="118"/>
      <c r="I13" s="119"/>
      <c r="J13" s="119"/>
      <c r="K13" s="119"/>
      <c r="L13" s="119"/>
      <c r="M13" s="119"/>
      <c r="N13" s="119"/>
      <c r="O13" s="119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20"/>
    </row>
    <row r="14" spans="1:28" s="10" customFormat="1" ht="7.5" customHeight="1" thickBot="1">
      <c r="A14" s="8"/>
      <c r="B14" s="44"/>
      <c r="C14" s="8"/>
      <c r="D14" s="8"/>
      <c r="E14" s="8"/>
      <c r="F14" s="8"/>
      <c r="G14" s="123"/>
      <c r="H14" s="124"/>
      <c r="I14" s="122"/>
      <c r="J14" s="122"/>
      <c r="K14" s="122"/>
      <c r="L14" s="122"/>
      <c r="M14" s="122"/>
      <c r="N14" s="122"/>
      <c r="O14" s="122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11"/>
    </row>
    <row r="15" spans="1:28" s="95" customFormat="1" ht="16.5" customHeight="1" thickBot="1" thickTop="1">
      <c r="A15" s="91"/>
      <c r="B15" s="92"/>
      <c r="C15" s="91"/>
      <c r="D15" s="91"/>
      <c r="E15" s="91"/>
      <c r="F15" s="494" t="s">
        <v>43</v>
      </c>
      <c r="G15" s="495" t="s">
        <v>182</v>
      </c>
      <c r="H15" s="239"/>
      <c r="I15" s="96"/>
      <c r="J15" s="96"/>
      <c r="K15" s="96"/>
      <c r="L15" s="96"/>
      <c r="M15" s="96"/>
      <c r="N15" s="96"/>
      <c r="O15" s="96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4"/>
    </row>
    <row r="16" spans="1:28" s="95" customFormat="1" ht="16.5" customHeight="1" thickBot="1" thickTop="1">
      <c r="A16" s="91"/>
      <c r="B16" s="92"/>
      <c r="C16" s="91"/>
      <c r="D16" s="91"/>
      <c r="E16" s="91"/>
      <c r="F16" s="494" t="s">
        <v>44</v>
      </c>
      <c r="G16" s="733">
        <v>69.722</v>
      </c>
      <c r="H16" s="734"/>
      <c r="I16" s="91"/>
      <c r="K16" s="97" t="s">
        <v>45</v>
      </c>
      <c r="L16" s="98">
        <f>30*'TOT-0214'!B13</f>
        <v>30</v>
      </c>
      <c r="M16" s="236" t="str">
        <f>IF(L16=30," ",IF(L16=60,"Coeficiente duplicado por tasa de falla &gt;4 Sal. x año/100 km.","REVISAR COEFICIENTE"))</f>
        <v> </v>
      </c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4"/>
    </row>
    <row r="17" spans="1:28" s="95" customFormat="1" ht="7.5" customHeight="1" thickTop="1">
      <c r="A17" s="91"/>
      <c r="B17" s="92"/>
      <c r="C17" s="91"/>
      <c r="D17" s="91"/>
      <c r="E17" s="91"/>
      <c r="F17" s="674"/>
      <c r="G17" s="675"/>
      <c r="H17" s="676"/>
      <c r="I17" s="91"/>
      <c r="K17" s="97"/>
      <c r="L17" s="98"/>
      <c r="M17" s="236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4"/>
    </row>
    <row r="18" spans="1:28" s="708" customFormat="1" ht="15" customHeight="1" thickBot="1">
      <c r="A18" s="704"/>
      <c r="B18" s="705"/>
      <c r="C18" s="706">
        <v>3</v>
      </c>
      <c r="D18" s="706">
        <v>4</v>
      </c>
      <c r="E18" s="706">
        <v>5</v>
      </c>
      <c r="F18" s="706">
        <v>6</v>
      </c>
      <c r="G18" s="706">
        <v>7</v>
      </c>
      <c r="H18" s="706">
        <v>8</v>
      </c>
      <c r="I18" s="706">
        <v>9</v>
      </c>
      <c r="J18" s="706">
        <v>10</v>
      </c>
      <c r="K18" s="706">
        <v>11</v>
      </c>
      <c r="L18" s="706">
        <v>12</v>
      </c>
      <c r="M18" s="706">
        <v>13</v>
      </c>
      <c r="N18" s="706">
        <v>14</v>
      </c>
      <c r="O18" s="706">
        <v>15</v>
      </c>
      <c r="P18" s="706">
        <v>16</v>
      </c>
      <c r="Q18" s="706">
        <v>17</v>
      </c>
      <c r="R18" s="706">
        <v>18</v>
      </c>
      <c r="S18" s="706">
        <v>19</v>
      </c>
      <c r="T18" s="706">
        <v>20</v>
      </c>
      <c r="U18" s="706">
        <v>21</v>
      </c>
      <c r="V18" s="706">
        <v>22</v>
      </c>
      <c r="W18" s="706">
        <v>23</v>
      </c>
      <c r="X18" s="706">
        <v>24</v>
      </c>
      <c r="Y18" s="706">
        <v>25</v>
      </c>
      <c r="Z18" s="706">
        <v>26</v>
      </c>
      <c r="AA18" s="706">
        <v>27</v>
      </c>
      <c r="AB18" s="707"/>
    </row>
    <row r="19" spans="1:28" s="108" customFormat="1" ht="33.75" customHeight="1" thickBot="1" thickTop="1">
      <c r="A19" s="99"/>
      <c r="B19" s="100"/>
      <c r="C19" s="101" t="s">
        <v>46</v>
      </c>
      <c r="D19" s="101" t="s">
        <v>145</v>
      </c>
      <c r="E19" s="101" t="s">
        <v>144</v>
      </c>
      <c r="F19" s="102" t="s">
        <v>19</v>
      </c>
      <c r="G19" s="103" t="s">
        <v>47</v>
      </c>
      <c r="H19" s="104" t="s">
        <v>48</v>
      </c>
      <c r="I19" s="265" t="s">
        <v>49</v>
      </c>
      <c r="J19" s="102" t="s">
        <v>50</v>
      </c>
      <c r="K19" s="102" t="s">
        <v>51</v>
      </c>
      <c r="L19" s="103" t="s">
        <v>52</v>
      </c>
      <c r="M19" s="103" t="s">
        <v>53</v>
      </c>
      <c r="N19" s="105" t="s">
        <v>54</v>
      </c>
      <c r="O19" s="103" t="s">
        <v>55</v>
      </c>
      <c r="P19" s="294" t="s">
        <v>56</v>
      </c>
      <c r="Q19" s="297" t="s">
        <v>57</v>
      </c>
      <c r="R19" s="300" t="s">
        <v>58</v>
      </c>
      <c r="S19" s="301"/>
      <c r="T19" s="302"/>
      <c r="U19" s="311" t="s">
        <v>59</v>
      </c>
      <c r="V19" s="312"/>
      <c r="W19" s="313"/>
      <c r="X19" s="321" t="s">
        <v>60</v>
      </c>
      <c r="Y19" s="324" t="s">
        <v>61</v>
      </c>
      <c r="Z19" s="106" t="s">
        <v>62</v>
      </c>
      <c r="AA19" s="106" t="s">
        <v>63</v>
      </c>
      <c r="AB19" s="107"/>
    </row>
    <row r="20" spans="1:28" ht="16.5" customHeight="1" thickTop="1">
      <c r="A20" s="1"/>
      <c r="B20" s="2"/>
      <c r="C20" s="51"/>
      <c r="D20" s="88"/>
      <c r="E20" s="88"/>
      <c r="F20" s="52"/>
      <c r="G20" s="53"/>
      <c r="H20" s="53"/>
      <c r="I20" s="266"/>
      <c r="J20" s="53"/>
      <c r="K20" s="54"/>
      <c r="L20" s="54"/>
      <c r="M20" s="54"/>
      <c r="N20" s="52"/>
      <c r="O20" s="53"/>
      <c r="P20" s="295"/>
      <c r="Q20" s="298"/>
      <c r="R20" s="303"/>
      <c r="S20" s="304"/>
      <c r="T20" s="305"/>
      <c r="U20" s="314"/>
      <c r="V20" s="315"/>
      <c r="W20" s="316"/>
      <c r="X20" s="322"/>
      <c r="Y20" s="325"/>
      <c r="Z20" s="309"/>
      <c r="AA20" s="54"/>
      <c r="AB20" s="3"/>
    </row>
    <row r="21" spans="1:28" ht="16.5" customHeight="1">
      <c r="A21" s="1"/>
      <c r="B21" s="2"/>
      <c r="C21" s="51"/>
      <c r="D21" s="51"/>
      <c r="E21" s="51"/>
      <c r="F21" s="51"/>
      <c r="G21" s="89"/>
      <c r="H21" s="89"/>
      <c r="I21" s="267"/>
      <c r="J21" s="51"/>
      <c r="K21" s="90"/>
      <c r="L21" s="90"/>
      <c r="M21" s="90"/>
      <c r="N21" s="88"/>
      <c r="O21" s="51"/>
      <c r="P21" s="296"/>
      <c r="Q21" s="299"/>
      <c r="R21" s="306"/>
      <c r="S21" s="307"/>
      <c r="T21" s="308"/>
      <c r="U21" s="317"/>
      <c r="V21" s="318"/>
      <c r="W21" s="319"/>
      <c r="X21" s="323"/>
      <c r="Y21" s="326"/>
      <c r="Z21" s="310"/>
      <c r="AA21" s="90"/>
      <c r="AB21" s="3"/>
    </row>
    <row r="22" spans="1:28" ht="16.5" customHeight="1">
      <c r="A22" s="1"/>
      <c r="B22" s="2"/>
      <c r="C22" s="496">
        <v>4</v>
      </c>
      <c r="D22" s="496">
        <v>272511</v>
      </c>
      <c r="E22" s="496">
        <v>1635</v>
      </c>
      <c r="F22" s="497" t="s">
        <v>157</v>
      </c>
      <c r="G22" s="498">
        <v>132</v>
      </c>
      <c r="H22" s="499">
        <v>162.60000610351562</v>
      </c>
      <c r="I22" s="268">
        <f>IF(H22&gt;25,H22,25)*IF(G22=330,$G$15,$G$16)/100</f>
        <v>113.36797625549316</v>
      </c>
      <c r="J22" s="504">
        <v>41687.17013888889</v>
      </c>
      <c r="K22" s="504">
        <v>41687.52847222222</v>
      </c>
      <c r="L22" s="13">
        <f aca="true" t="shared" si="0" ref="L22:L41">IF(F22="","",(K22-J22)*24)</f>
        <v>8.59999999991851</v>
      </c>
      <c r="M22" s="14">
        <f aca="true" t="shared" si="1" ref="M22:M41">IF(F22="","",ROUND((K22-J22)*24*60,0))</f>
        <v>516</v>
      </c>
      <c r="N22" s="505" t="s">
        <v>158</v>
      </c>
      <c r="O22" s="703" t="s">
        <v>154</v>
      </c>
      <c r="P22" s="688" t="str">
        <f aca="true" t="shared" si="2" ref="P22:P41">IF(N22="P",ROUND(M22/60,2)*I22*$L$16*0.01,"--")</f>
        <v>--</v>
      </c>
      <c r="Q22" s="689" t="str">
        <f>IF(N22="RP",ROUND(M22/60,2)*I22*$L$16*0.01*O22/100,"--")</f>
        <v>--</v>
      </c>
      <c r="R22" s="690">
        <f aca="true" t="shared" si="3" ref="R22:R41">IF(N22="F",I22*$L$16,"--")</f>
        <v>3401.0392876647948</v>
      </c>
      <c r="S22" s="691">
        <f aca="true" t="shared" si="4" ref="S22:S41">IF(AND(M22&gt;10,N22="F"),I22*$L$16*IF(M22&gt;180,3,ROUND(M22/60,2)),"--")</f>
        <v>10203.117862994384</v>
      </c>
      <c r="T22" s="692">
        <f aca="true" t="shared" si="5" ref="T22:T41">IF(AND(M22&gt;180,N22="F"),(ROUND(M22/60,2)-3)*I22*$L$16*0.1,"--")</f>
        <v>1904.582001092285</v>
      </c>
      <c r="U22" s="693" t="str">
        <f aca="true" t="shared" si="6" ref="U22:U41">IF(N22="R",I22*$L$16*O22/100,"--")</f>
        <v>--</v>
      </c>
      <c r="V22" s="694" t="str">
        <f aca="true" t="shared" si="7" ref="V22:V41">IF(AND(M22&gt;10,N22="R"),I22*$L$16*O22/100*IF(M22&gt;180,3,ROUND(M22/60,2)),"--")</f>
        <v>--</v>
      </c>
      <c r="W22" s="695" t="str">
        <f aca="true" t="shared" si="8" ref="W22:W41">IF(AND(M22&gt;180,N22="R"),(ROUND(M22/60,2)-3)*O22/100*I22*$L$16*0.1,"--")</f>
        <v>--</v>
      </c>
      <c r="X22" s="696" t="str">
        <f aca="true" t="shared" si="9" ref="X22:X41">IF(N22="RF",ROUND(M22/60,2)*I22*$L$16*0.1,"--")</f>
        <v>--</v>
      </c>
      <c r="Y22" s="697" t="str">
        <f aca="true" t="shared" si="10" ref="Y22:Y41">IF(N22="RR",ROUND(M22/60,2)*O22/100*I22*$L$16*0.1,"--")</f>
        <v>--</v>
      </c>
      <c r="Z22" s="698" t="s">
        <v>153</v>
      </c>
      <c r="AA22" s="55">
        <f aca="true" t="shared" si="11" ref="AA22:AA41">IF(F22="","",SUM(P22:Y22)*IF(Z22="SI",1,2))</f>
        <v>15508.739151751464</v>
      </c>
      <c r="AB22" s="3"/>
    </row>
    <row r="23" spans="1:28" ht="16.5" customHeight="1">
      <c r="A23" s="1"/>
      <c r="B23" s="2"/>
      <c r="C23" s="496">
        <v>5</v>
      </c>
      <c r="D23" s="496">
        <v>272525</v>
      </c>
      <c r="E23" s="496">
        <v>1635</v>
      </c>
      <c r="F23" s="497" t="s">
        <v>157</v>
      </c>
      <c r="G23" s="498">
        <v>132</v>
      </c>
      <c r="H23" s="499">
        <v>162.60000610351562</v>
      </c>
      <c r="I23" s="268">
        <f aca="true" t="shared" si="12" ref="I23:I38">IF(H23&gt;25,H23,25)*IF(G23=330,$G$15,$G$16)/100</f>
        <v>113.36797625549316</v>
      </c>
      <c r="J23" s="504">
        <v>41691.313888888886</v>
      </c>
      <c r="K23" s="504">
        <v>41691.31527777778</v>
      </c>
      <c r="L23" s="13">
        <f t="shared" si="0"/>
        <v>0.033333333441987634</v>
      </c>
      <c r="M23" s="14">
        <f t="shared" si="1"/>
        <v>2</v>
      </c>
      <c r="N23" s="505" t="s">
        <v>158</v>
      </c>
      <c r="O23" s="703" t="s">
        <v>154</v>
      </c>
      <c r="P23" s="688" t="str">
        <f t="shared" si="2"/>
        <v>--</v>
      </c>
      <c r="Q23" s="689" t="str">
        <f aca="true" t="shared" si="13" ref="Q23:Q38">IF(N23="RP",ROUND(M23/60,2)*I23*$L$16*0.01*O23/100,"--")</f>
        <v>--</v>
      </c>
      <c r="R23" s="690">
        <f t="shared" si="3"/>
        <v>3401.0392876647948</v>
      </c>
      <c r="S23" s="691" t="str">
        <f t="shared" si="4"/>
        <v>--</v>
      </c>
      <c r="T23" s="692" t="str">
        <f t="shared" si="5"/>
        <v>--</v>
      </c>
      <c r="U23" s="693" t="str">
        <f t="shared" si="6"/>
        <v>--</v>
      </c>
      <c r="V23" s="694" t="str">
        <f t="shared" si="7"/>
        <v>--</v>
      </c>
      <c r="W23" s="695" t="str">
        <f t="shared" si="8"/>
        <v>--</v>
      </c>
      <c r="X23" s="696" t="str">
        <f t="shared" si="9"/>
        <v>--</v>
      </c>
      <c r="Y23" s="697" t="str">
        <f t="shared" si="10"/>
        <v>--</v>
      </c>
      <c r="Z23" s="698" t="s">
        <v>153</v>
      </c>
      <c r="AA23" s="55">
        <f t="shared" si="11"/>
        <v>3401.0392876647948</v>
      </c>
      <c r="AB23" s="3"/>
    </row>
    <row r="24" spans="1:28" ht="16.5" customHeight="1">
      <c r="A24" s="1"/>
      <c r="B24" s="2"/>
      <c r="C24" s="496">
        <v>6</v>
      </c>
      <c r="D24" s="496">
        <v>272532</v>
      </c>
      <c r="E24" s="496">
        <v>1632</v>
      </c>
      <c r="F24" s="497" t="s">
        <v>4</v>
      </c>
      <c r="G24" s="498">
        <v>132</v>
      </c>
      <c r="H24" s="499">
        <v>31</v>
      </c>
      <c r="I24" s="268">
        <f t="shared" si="12"/>
        <v>21.613819999999997</v>
      </c>
      <c r="J24" s="504">
        <v>41691.688888888886</v>
      </c>
      <c r="K24" s="504">
        <v>41691.777083333334</v>
      </c>
      <c r="L24" s="13">
        <f t="shared" si="0"/>
        <v>2.1166666667559184</v>
      </c>
      <c r="M24" s="14">
        <f t="shared" si="1"/>
        <v>127</v>
      </c>
      <c r="N24" s="505" t="s">
        <v>158</v>
      </c>
      <c r="O24" s="703" t="s">
        <v>154</v>
      </c>
      <c r="P24" s="688" t="str">
        <f t="shared" si="2"/>
        <v>--</v>
      </c>
      <c r="Q24" s="689" t="str">
        <f t="shared" si="13"/>
        <v>--</v>
      </c>
      <c r="R24" s="690">
        <f t="shared" si="3"/>
        <v>648.4146</v>
      </c>
      <c r="S24" s="691">
        <f t="shared" si="4"/>
        <v>1374.638952</v>
      </c>
      <c r="T24" s="692" t="str">
        <f t="shared" si="5"/>
        <v>--</v>
      </c>
      <c r="U24" s="693" t="str">
        <f t="shared" si="6"/>
        <v>--</v>
      </c>
      <c r="V24" s="694" t="str">
        <f t="shared" si="7"/>
        <v>--</v>
      </c>
      <c r="W24" s="695" t="str">
        <f t="shared" si="8"/>
        <v>--</v>
      </c>
      <c r="X24" s="696" t="str">
        <f t="shared" si="9"/>
        <v>--</v>
      </c>
      <c r="Y24" s="697" t="str">
        <f t="shared" si="10"/>
        <v>--</v>
      </c>
      <c r="Z24" s="698" t="s">
        <v>153</v>
      </c>
      <c r="AA24" s="55">
        <f t="shared" si="11"/>
        <v>2023.0535519999999</v>
      </c>
      <c r="AB24" s="3"/>
    </row>
    <row r="25" spans="1:28" ht="16.5" customHeight="1">
      <c r="A25" s="1"/>
      <c r="B25" s="2"/>
      <c r="C25" s="496"/>
      <c r="D25" s="496"/>
      <c r="E25" s="496"/>
      <c r="F25" s="497"/>
      <c r="G25" s="498"/>
      <c r="H25" s="499"/>
      <c r="I25" s="268">
        <f t="shared" si="12"/>
        <v>17.4305</v>
      </c>
      <c r="J25" s="504"/>
      <c r="K25" s="504"/>
      <c r="L25" s="13">
        <f t="shared" si="0"/>
      </c>
      <c r="M25" s="14">
        <f t="shared" si="1"/>
      </c>
      <c r="N25" s="505"/>
      <c r="O25" s="687">
        <f aca="true" t="shared" si="14" ref="O25:O41">IF(F25="","","--")</f>
      </c>
      <c r="P25" s="688" t="str">
        <f t="shared" si="2"/>
        <v>--</v>
      </c>
      <c r="Q25" s="689" t="str">
        <f t="shared" si="13"/>
        <v>--</v>
      </c>
      <c r="R25" s="690" t="str">
        <f t="shared" si="3"/>
        <v>--</v>
      </c>
      <c r="S25" s="691" t="str">
        <f t="shared" si="4"/>
        <v>--</v>
      </c>
      <c r="T25" s="692" t="str">
        <f t="shared" si="5"/>
        <v>--</v>
      </c>
      <c r="U25" s="693" t="str">
        <f t="shared" si="6"/>
        <v>--</v>
      </c>
      <c r="V25" s="694" t="str">
        <f t="shared" si="7"/>
        <v>--</v>
      </c>
      <c r="W25" s="695" t="str">
        <f t="shared" si="8"/>
        <v>--</v>
      </c>
      <c r="X25" s="696" t="str">
        <f t="shared" si="9"/>
        <v>--</v>
      </c>
      <c r="Y25" s="697" t="str">
        <f t="shared" si="10"/>
        <v>--</v>
      </c>
      <c r="Z25" s="698">
        <f aca="true" t="shared" si="15" ref="Z25:Z41">IF(F25="","","SI")</f>
      </c>
      <c r="AA25" s="55">
        <f t="shared" si="11"/>
      </c>
      <c r="AB25" s="3"/>
    </row>
    <row r="26" spans="1:28" ht="16.5" customHeight="1">
      <c r="A26" s="1"/>
      <c r="B26" s="2"/>
      <c r="C26" s="496"/>
      <c r="D26" s="496"/>
      <c r="E26" s="496"/>
      <c r="F26" s="497"/>
      <c r="G26" s="498"/>
      <c r="H26" s="499"/>
      <c r="I26" s="268">
        <f t="shared" si="12"/>
        <v>17.4305</v>
      </c>
      <c r="J26" s="504"/>
      <c r="K26" s="504"/>
      <c r="L26" s="13">
        <f t="shared" si="0"/>
      </c>
      <c r="M26" s="14">
        <f t="shared" si="1"/>
      </c>
      <c r="N26" s="505"/>
      <c r="O26" s="687">
        <f t="shared" si="14"/>
      </c>
      <c r="P26" s="688" t="str">
        <f t="shared" si="2"/>
        <v>--</v>
      </c>
      <c r="Q26" s="689" t="str">
        <f t="shared" si="13"/>
        <v>--</v>
      </c>
      <c r="R26" s="690" t="str">
        <f t="shared" si="3"/>
        <v>--</v>
      </c>
      <c r="S26" s="691" t="str">
        <f t="shared" si="4"/>
        <v>--</v>
      </c>
      <c r="T26" s="692" t="str">
        <f t="shared" si="5"/>
        <v>--</v>
      </c>
      <c r="U26" s="693" t="str">
        <f t="shared" si="6"/>
        <v>--</v>
      </c>
      <c r="V26" s="694" t="str">
        <f t="shared" si="7"/>
        <v>--</v>
      </c>
      <c r="W26" s="695" t="str">
        <f t="shared" si="8"/>
        <v>--</v>
      </c>
      <c r="X26" s="696" t="str">
        <f t="shared" si="9"/>
        <v>--</v>
      </c>
      <c r="Y26" s="697" t="str">
        <f t="shared" si="10"/>
        <v>--</v>
      </c>
      <c r="Z26" s="698">
        <f t="shared" si="15"/>
      </c>
      <c r="AA26" s="55">
        <f t="shared" si="11"/>
      </c>
      <c r="AB26" s="3"/>
    </row>
    <row r="27" spans="1:28" ht="16.5" customHeight="1">
      <c r="A27" s="1"/>
      <c r="B27" s="2"/>
      <c r="C27" s="496"/>
      <c r="D27" s="496"/>
      <c r="E27" s="496"/>
      <c r="F27" s="497"/>
      <c r="G27" s="498"/>
      <c r="H27" s="499"/>
      <c r="I27" s="268">
        <f t="shared" si="12"/>
        <v>17.4305</v>
      </c>
      <c r="J27" s="504"/>
      <c r="K27" s="504"/>
      <c r="L27" s="13">
        <f t="shared" si="0"/>
      </c>
      <c r="M27" s="14">
        <f t="shared" si="1"/>
      </c>
      <c r="N27" s="505"/>
      <c r="O27" s="687">
        <f t="shared" si="14"/>
      </c>
      <c r="P27" s="688" t="str">
        <f t="shared" si="2"/>
        <v>--</v>
      </c>
      <c r="Q27" s="689" t="str">
        <f t="shared" si="13"/>
        <v>--</v>
      </c>
      <c r="R27" s="690" t="str">
        <f t="shared" si="3"/>
        <v>--</v>
      </c>
      <c r="S27" s="691" t="str">
        <f t="shared" si="4"/>
        <v>--</v>
      </c>
      <c r="T27" s="692" t="str">
        <f t="shared" si="5"/>
        <v>--</v>
      </c>
      <c r="U27" s="693" t="str">
        <f t="shared" si="6"/>
        <v>--</v>
      </c>
      <c r="V27" s="694" t="str">
        <f t="shared" si="7"/>
        <v>--</v>
      </c>
      <c r="W27" s="695" t="str">
        <f t="shared" si="8"/>
        <v>--</v>
      </c>
      <c r="X27" s="696" t="str">
        <f t="shared" si="9"/>
        <v>--</v>
      </c>
      <c r="Y27" s="697" t="str">
        <f t="shared" si="10"/>
        <v>--</v>
      </c>
      <c r="Z27" s="698">
        <f t="shared" si="15"/>
      </c>
      <c r="AA27" s="55">
        <f t="shared" si="11"/>
      </c>
      <c r="AB27" s="3"/>
    </row>
    <row r="28" spans="1:28" ht="16.5" customHeight="1">
      <c r="A28" s="1"/>
      <c r="B28" s="2"/>
      <c r="C28" s="496"/>
      <c r="D28" s="496"/>
      <c r="E28" s="496"/>
      <c r="F28" s="497"/>
      <c r="G28" s="498"/>
      <c r="H28" s="499"/>
      <c r="I28" s="268">
        <f t="shared" si="12"/>
        <v>17.4305</v>
      </c>
      <c r="J28" s="504"/>
      <c r="K28" s="504"/>
      <c r="L28" s="13">
        <f t="shared" si="0"/>
      </c>
      <c r="M28" s="14">
        <f t="shared" si="1"/>
      </c>
      <c r="N28" s="505"/>
      <c r="O28" s="687">
        <f t="shared" si="14"/>
      </c>
      <c r="P28" s="688" t="str">
        <f t="shared" si="2"/>
        <v>--</v>
      </c>
      <c r="Q28" s="689" t="str">
        <f t="shared" si="13"/>
        <v>--</v>
      </c>
      <c r="R28" s="690" t="str">
        <f t="shared" si="3"/>
        <v>--</v>
      </c>
      <c r="S28" s="691" t="str">
        <f t="shared" si="4"/>
        <v>--</v>
      </c>
      <c r="T28" s="692" t="str">
        <f t="shared" si="5"/>
        <v>--</v>
      </c>
      <c r="U28" s="693" t="str">
        <f t="shared" si="6"/>
        <v>--</v>
      </c>
      <c r="V28" s="694" t="str">
        <f t="shared" si="7"/>
        <v>--</v>
      </c>
      <c r="W28" s="695" t="str">
        <f t="shared" si="8"/>
        <v>--</v>
      </c>
      <c r="X28" s="696" t="str">
        <f t="shared" si="9"/>
        <v>--</v>
      </c>
      <c r="Y28" s="697" t="str">
        <f t="shared" si="10"/>
        <v>--</v>
      </c>
      <c r="Z28" s="698">
        <f t="shared" si="15"/>
      </c>
      <c r="AA28" s="55">
        <f t="shared" si="11"/>
      </c>
      <c r="AB28" s="3"/>
    </row>
    <row r="29" spans="1:28" ht="16.5" customHeight="1">
      <c r="A29" s="1"/>
      <c r="B29" s="2"/>
      <c r="C29" s="496"/>
      <c r="D29" s="496"/>
      <c r="E29" s="496"/>
      <c r="F29" s="497"/>
      <c r="G29" s="498"/>
      <c r="H29" s="499"/>
      <c r="I29" s="268">
        <f t="shared" si="12"/>
        <v>17.4305</v>
      </c>
      <c r="J29" s="504"/>
      <c r="K29" s="504"/>
      <c r="L29" s="13">
        <f t="shared" si="0"/>
      </c>
      <c r="M29" s="14">
        <f t="shared" si="1"/>
      </c>
      <c r="N29" s="505"/>
      <c r="O29" s="687">
        <f t="shared" si="14"/>
      </c>
      <c r="P29" s="688" t="str">
        <f t="shared" si="2"/>
        <v>--</v>
      </c>
      <c r="Q29" s="689" t="str">
        <f t="shared" si="13"/>
        <v>--</v>
      </c>
      <c r="R29" s="690" t="str">
        <f t="shared" si="3"/>
        <v>--</v>
      </c>
      <c r="S29" s="691" t="str">
        <f t="shared" si="4"/>
        <v>--</v>
      </c>
      <c r="T29" s="692" t="str">
        <f t="shared" si="5"/>
        <v>--</v>
      </c>
      <c r="U29" s="693" t="str">
        <f t="shared" si="6"/>
        <v>--</v>
      </c>
      <c r="V29" s="694" t="str">
        <f t="shared" si="7"/>
        <v>--</v>
      </c>
      <c r="W29" s="695" t="str">
        <f t="shared" si="8"/>
        <v>--</v>
      </c>
      <c r="X29" s="696" t="str">
        <f t="shared" si="9"/>
        <v>--</v>
      </c>
      <c r="Y29" s="697" t="str">
        <f t="shared" si="10"/>
        <v>--</v>
      </c>
      <c r="Z29" s="698">
        <f t="shared" si="15"/>
      </c>
      <c r="AA29" s="55">
        <f t="shared" si="11"/>
      </c>
      <c r="AB29" s="3"/>
    </row>
    <row r="30" spans="1:28" ht="16.5" customHeight="1">
      <c r="A30" s="1"/>
      <c r="B30" s="2"/>
      <c r="C30" s="496"/>
      <c r="D30" s="496"/>
      <c r="E30" s="496"/>
      <c r="F30" s="497"/>
      <c r="G30" s="498"/>
      <c r="H30" s="499"/>
      <c r="I30" s="268">
        <f t="shared" si="12"/>
        <v>17.4305</v>
      </c>
      <c r="J30" s="504"/>
      <c r="K30" s="504"/>
      <c r="L30" s="13">
        <f t="shared" si="0"/>
      </c>
      <c r="M30" s="14">
        <f t="shared" si="1"/>
      </c>
      <c r="N30" s="505"/>
      <c r="O30" s="687">
        <f t="shared" si="14"/>
      </c>
      <c r="P30" s="688" t="str">
        <f t="shared" si="2"/>
        <v>--</v>
      </c>
      <c r="Q30" s="689" t="str">
        <f t="shared" si="13"/>
        <v>--</v>
      </c>
      <c r="R30" s="690" t="str">
        <f t="shared" si="3"/>
        <v>--</v>
      </c>
      <c r="S30" s="691" t="str">
        <f t="shared" si="4"/>
        <v>--</v>
      </c>
      <c r="T30" s="692" t="str">
        <f t="shared" si="5"/>
        <v>--</v>
      </c>
      <c r="U30" s="693" t="str">
        <f t="shared" si="6"/>
        <v>--</v>
      </c>
      <c r="V30" s="694" t="str">
        <f t="shared" si="7"/>
        <v>--</v>
      </c>
      <c r="W30" s="695" t="str">
        <f t="shared" si="8"/>
        <v>--</v>
      </c>
      <c r="X30" s="696" t="str">
        <f t="shared" si="9"/>
        <v>--</v>
      </c>
      <c r="Y30" s="697" t="str">
        <f t="shared" si="10"/>
        <v>--</v>
      </c>
      <c r="Z30" s="698">
        <f t="shared" si="15"/>
      </c>
      <c r="AA30" s="55">
        <f t="shared" si="11"/>
      </c>
      <c r="AB30" s="3"/>
    </row>
    <row r="31" spans="1:28" ht="16.5" customHeight="1">
      <c r="A31" s="1"/>
      <c r="B31" s="2"/>
      <c r="C31" s="496"/>
      <c r="D31" s="496"/>
      <c r="E31" s="496"/>
      <c r="F31" s="497"/>
      <c r="G31" s="498"/>
      <c r="H31" s="499"/>
      <c r="I31" s="268">
        <f t="shared" si="12"/>
        <v>17.4305</v>
      </c>
      <c r="J31" s="504"/>
      <c r="K31" s="504"/>
      <c r="L31" s="13">
        <f t="shared" si="0"/>
      </c>
      <c r="M31" s="14">
        <f t="shared" si="1"/>
      </c>
      <c r="N31" s="505"/>
      <c r="O31" s="687">
        <f t="shared" si="14"/>
      </c>
      <c r="P31" s="688" t="str">
        <f t="shared" si="2"/>
        <v>--</v>
      </c>
      <c r="Q31" s="689" t="str">
        <f t="shared" si="13"/>
        <v>--</v>
      </c>
      <c r="R31" s="690" t="str">
        <f t="shared" si="3"/>
        <v>--</v>
      </c>
      <c r="S31" s="691" t="str">
        <f t="shared" si="4"/>
        <v>--</v>
      </c>
      <c r="T31" s="692" t="str">
        <f t="shared" si="5"/>
        <v>--</v>
      </c>
      <c r="U31" s="693" t="str">
        <f t="shared" si="6"/>
        <v>--</v>
      </c>
      <c r="V31" s="694" t="str">
        <f t="shared" si="7"/>
        <v>--</v>
      </c>
      <c r="W31" s="695" t="str">
        <f t="shared" si="8"/>
        <v>--</v>
      </c>
      <c r="X31" s="696" t="str">
        <f t="shared" si="9"/>
        <v>--</v>
      </c>
      <c r="Y31" s="697" t="str">
        <f t="shared" si="10"/>
        <v>--</v>
      </c>
      <c r="Z31" s="698">
        <f t="shared" si="15"/>
      </c>
      <c r="AA31" s="55">
        <f t="shared" si="11"/>
      </c>
      <c r="AB31" s="3"/>
    </row>
    <row r="32" spans="1:28" ht="16.5" customHeight="1">
      <c r="A32" s="1"/>
      <c r="B32" s="2"/>
      <c r="C32" s="496"/>
      <c r="D32" s="496"/>
      <c r="E32" s="496"/>
      <c r="F32" s="497"/>
      <c r="G32" s="498"/>
      <c r="H32" s="499"/>
      <c r="I32" s="268">
        <f t="shared" si="12"/>
        <v>17.4305</v>
      </c>
      <c r="J32" s="504"/>
      <c r="K32" s="504"/>
      <c r="L32" s="13">
        <f t="shared" si="0"/>
      </c>
      <c r="M32" s="14">
        <f t="shared" si="1"/>
      </c>
      <c r="N32" s="505"/>
      <c r="O32" s="687">
        <f t="shared" si="14"/>
      </c>
      <c r="P32" s="688" t="str">
        <f t="shared" si="2"/>
        <v>--</v>
      </c>
      <c r="Q32" s="689" t="str">
        <f t="shared" si="13"/>
        <v>--</v>
      </c>
      <c r="R32" s="690" t="str">
        <f t="shared" si="3"/>
        <v>--</v>
      </c>
      <c r="S32" s="691" t="str">
        <f t="shared" si="4"/>
        <v>--</v>
      </c>
      <c r="T32" s="692" t="str">
        <f t="shared" si="5"/>
        <v>--</v>
      </c>
      <c r="U32" s="693" t="str">
        <f t="shared" si="6"/>
        <v>--</v>
      </c>
      <c r="V32" s="694" t="str">
        <f t="shared" si="7"/>
        <v>--</v>
      </c>
      <c r="W32" s="695" t="str">
        <f t="shared" si="8"/>
        <v>--</v>
      </c>
      <c r="X32" s="696" t="str">
        <f t="shared" si="9"/>
        <v>--</v>
      </c>
      <c r="Y32" s="697" t="str">
        <f t="shared" si="10"/>
        <v>--</v>
      </c>
      <c r="Z32" s="698">
        <f t="shared" si="15"/>
      </c>
      <c r="AA32" s="55">
        <f t="shared" si="11"/>
      </c>
      <c r="AB32" s="3"/>
    </row>
    <row r="33" spans="1:28" ht="16.5" customHeight="1">
      <c r="A33" s="1"/>
      <c r="B33" s="2"/>
      <c r="C33" s="496"/>
      <c r="D33" s="496"/>
      <c r="E33" s="496"/>
      <c r="F33" s="497"/>
      <c r="G33" s="498"/>
      <c r="H33" s="499"/>
      <c r="I33" s="268">
        <f t="shared" si="12"/>
        <v>17.4305</v>
      </c>
      <c r="J33" s="504"/>
      <c r="K33" s="504"/>
      <c r="L33" s="13">
        <f t="shared" si="0"/>
      </c>
      <c r="M33" s="14">
        <f t="shared" si="1"/>
      </c>
      <c r="N33" s="505"/>
      <c r="O33" s="687">
        <f t="shared" si="14"/>
      </c>
      <c r="P33" s="688" t="str">
        <f t="shared" si="2"/>
        <v>--</v>
      </c>
      <c r="Q33" s="689" t="str">
        <f t="shared" si="13"/>
        <v>--</v>
      </c>
      <c r="R33" s="690" t="str">
        <f t="shared" si="3"/>
        <v>--</v>
      </c>
      <c r="S33" s="691" t="str">
        <f t="shared" si="4"/>
        <v>--</v>
      </c>
      <c r="T33" s="692" t="str">
        <f t="shared" si="5"/>
        <v>--</v>
      </c>
      <c r="U33" s="693" t="str">
        <f t="shared" si="6"/>
        <v>--</v>
      </c>
      <c r="V33" s="694" t="str">
        <f t="shared" si="7"/>
        <v>--</v>
      </c>
      <c r="W33" s="695" t="str">
        <f t="shared" si="8"/>
        <v>--</v>
      </c>
      <c r="X33" s="696" t="str">
        <f t="shared" si="9"/>
        <v>--</v>
      </c>
      <c r="Y33" s="697" t="str">
        <f t="shared" si="10"/>
        <v>--</v>
      </c>
      <c r="Z33" s="698">
        <f t="shared" si="15"/>
      </c>
      <c r="AA33" s="55">
        <f t="shared" si="11"/>
      </c>
      <c r="AB33" s="3"/>
    </row>
    <row r="34" spans="1:28" ht="16.5" customHeight="1">
      <c r="A34" s="1"/>
      <c r="B34" s="2"/>
      <c r="C34" s="496"/>
      <c r="D34" s="496"/>
      <c r="E34" s="496"/>
      <c r="F34" s="497"/>
      <c r="G34" s="498"/>
      <c r="H34" s="499"/>
      <c r="I34" s="268">
        <f t="shared" si="12"/>
        <v>17.4305</v>
      </c>
      <c r="J34" s="504"/>
      <c r="K34" s="504"/>
      <c r="L34" s="13">
        <f t="shared" si="0"/>
      </c>
      <c r="M34" s="14">
        <f t="shared" si="1"/>
      </c>
      <c r="N34" s="505"/>
      <c r="O34" s="687">
        <f t="shared" si="14"/>
      </c>
      <c r="P34" s="688" t="str">
        <f t="shared" si="2"/>
        <v>--</v>
      </c>
      <c r="Q34" s="689" t="str">
        <f t="shared" si="13"/>
        <v>--</v>
      </c>
      <c r="R34" s="690" t="str">
        <f t="shared" si="3"/>
        <v>--</v>
      </c>
      <c r="S34" s="691" t="str">
        <f t="shared" si="4"/>
        <v>--</v>
      </c>
      <c r="T34" s="692" t="str">
        <f t="shared" si="5"/>
        <v>--</v>
      </c>
      <c r="U34" s="693" t="str">
        <f t="shared" si="6"/>
        <v>--</v>
      </c>
      <c r="V34" s="694" t="str">
        <f t="shared" si="7"/>
        <v>--</v>
      </c>
      <c r="W34" s="695" t="str">
        <f t="shared" si="8"/>
        <v>--</v>
      </c>
      <c r="X34" s="696" t="str">
        <f t="shared" si="9"/>
        <v>--</v>
      </c>
      <c r="Y34" s="697" t="str">
        <f t="shared" si="10"/>
        <v>--</v>
      </c>
      <c r="Z34" s="698">
        <f t="shared" si="15"/>
      </c>
      <c r="AA34" s="55">
        <f t="shared" si="11"/>
      </c>
      <c r="AB34" s="3"/>
    </row>
    <row r="35" spans="1:28" ht="16.5" customHeight="1">
      <c r="A35" s="1"/>
      <c r="B35" s="2"/>
      <c r="C35" s="496"/>
      <c r="D35" s="496"/>
      <c r="E35" s="496"/>
      <c r="F35" s="497"/>
      <c r="G35" s="498"/>
      <c r="H35" s="499"/>
      <c r="I35" s="268">
        <f t="shared" si="12"/>
        <v>17.4305</v>
      </c>
      <c r="J35" s="504"/>
      <c r="K35" s="504"/>
      <c r="L35" s="13">
        <f t="shared" si="0"/>
      </c>
      <c r="M35" s="14">
        <f t="shared" si="1"/>
      </c>
      <c r="N35" s="505"/>
      <c r="O35" s="687">
        <f t="shared" si="14"/>
      </c>
      <c r="P35" s="688" t="str">
        <f t="shared" si="2"/>
        <v>--</v>
      </c>
      <c r="Q35" s="689" t="str">
        <f t="shared" si="13"/>
        <v>--</v>
      </c>
      <c r="R35" s="690" t="str">
        <f t="shared" si="3"/>
        <v>--</v>
      </c>
      <c r="S35" s="691" t="str">
        <f t="shared" si="4"/>
        <v>--</v>
      </c>
      <c r="T35" s="692" t="str">
        <f t="shared" si="5"/>
        <v>--</v>
      </c>
      <c r="U35" s="693" t="str">
        <f t="shared" si="6"/>
        <v>--</v>
      </c>
      <c r="V35" s="694" t="str">
        <f t="shared" si="7"/>
        <v>--</v>
      </c>
      <c r="W35" s="695" t="str">
        <f t="shared" si="8"/>
        <v>--</v>
      </c>
      <c r="X35" s="696" t="str">
        <f t="shared" si="9"/>
        <v>--</v>
      </c>
      <c r="Y35" s="697" t="str">
        <f t="shared" si="10"/>
        <v>--</v>
      </c>
      <c r="Z35" s="698">
        <f t="shared" si="15"/>
      </c>
      <c r="AA35" s="55">
        <f t="shared" si="11"/>
      </c>
      <c r="AB35" s="3"/>
    </row>
    <row r="36" spans="1:28" ht="16.5" customHeight="1">
      <c r="A36" s="1"/>
      <c r="B36" s="2"/>
      <c r="C36" s="496"/>
      <c r="D36" s="496"/>
      <c r="E36" s="496"/>
      <c r="F36" s="497"/>
      <c r="G36" s="498"/>
      <c r="H36" s="499"/>
      <c r="I36" s="268">
        <f t="shared" si="12"/>
        <v>17.4305</v>
      </c>
      <c r="J36" s="504"/>
      <c r="K36" s="504"/>
      <c r="L36" s="13">
        <f t="shared" si="0"/>
      </c>
      <c r="M36" s="14">
        <f t="shared" si="1"/>
      </c>
      <c r="N36" s="505"/>
      <c r="O36" s="687">
        <f t="shared" si="14"/>
      </c>
      <c r="P36" s="688" t="str">
        <f t="shared" si="2"/>
        <v>--</v>
      </c>
      <c r="Q36" s="689" t="str">
        <f t="shared" si="13"/>
        <v>--</v>
      </c>
      <c r="R36" s="690" t="str">
        <f t="shared" si="3"/>
        <v>--</v>
      </c>
      <c r="S36" s="691" t="str">
        <f t="shared" si="4"/>
        <v>--</v>
      </c>
      <c r="T36" s="692" t="str">
        <f t="shared" si="5"/>
        <v>--</v>
      </c>
      <c r="U36" s="693" t="str">
        <f t="shared" si="6"/>
        <v>--</v>
      </c>
      <c r="V36" s="694" t="str">
        <f t="shared" si="7"/>
        <v>--</v>
      </c>
      <c r="W36" s="695" t="str">
        <f t="shared" si="8"/>
        <v>--</v>
      </c>
      <c r="X36" s="696" t="str">
        <f t="shared" si="9"/>
        <v>--</v>
      </c>
      <c r="Y36" s="697" t="str">
        <f t="shared" si="10"/>
        <v>--</v>
      </c>
      <c r="Z36" s="698">
        <f t="shared" si="15"/>
      </c>
      <c r="AA36" s="55">
        <f t="shared" si="11"/>
      </c>
      <c r="AB36" s="3"/>
    </row>
    <row r="37" spans="1:28" ht="16.5" customHeight="1">
      <c r="A37" s="1"/>
      <c r="B37" s="2"/>
      <c r="C37" s="496"/>
      <c r="D37" s="496"/>
      <c r="E37" s="496"/>
      <c r="F37" s="497"/>
      <c r="G37" s="498"/>
      <c r="H37" s="499"/>
      <c r="I37" s="268">
        <f t="shared" si="12"/>
        <v>17.4305</v>
      </c>
      <c r="J37" s="504"/>
      <c r="K37" s="504"/>
      <c r="L37" s="13">
        <f t="shared" si="0"/>
      </c>
      <c r="M37" s="14">
        <f t="shared" si="1"/>
      </c>
      <c r="N37" s="505"/>
      <c r="O37" s="687">
        <f t="shared" si="14"/>
      </c>
      <c r="P37" s="688" t="str">
        <f t="shared" si="2"/>
        <v>--</v>
      </c>
      <c r="Q37" s="689" t="str">
        <f t="shared" si="13"/>
        <v>--</v>
      </c>
      <c r="R37" s="690" t="str">
        <f t="shared" si="3"/>
        <v>--</v>
      </c>
      <c r="S37" s="691" t="str">
        <f t="shared" si="4"/>
        <v>--</v>
      </c>
      <c r="T37" s="692" t="str">
        <f t="shared" si="5"/>
        <v>--</v>
      </c>
      <c r="U37" s="693" t="str">
        <f t="shared" si="6"/>
        <v>--</v>
      </c>
      <c r="V37" s="694" t="str">
        <f t="shared" si="7"/>
        <v>--</v>
      </c>
      <c r="W37" s="695" t="str">
        <f t="shared" si="8"/>
        <v>--</v>
      </c>
      <c r="X37" s="696" t="str">
        <f t="shared" si="9"/>
        <v>--</v>
      </c>
      <c r="Y37" s="697" t="str">
        <f t="shared" si="10"/>
        <v>--</v>
      </c>
      <c r="Z37" s="698">
        <f t="shared" si="15"/>
      </c>
      <c r="AA37" s="55">
        <f t="shared" si="11"/>
      </c>
      <c r="AB37" s="3"/>
    </row>
    <row r="38" spans="2:28" ht="16.5" customHeight="1">
      <c r="B38" s="56"/>
      <c r="C38" s="496"/>
      <c r="D38" s="496"/>
      <c r="E38" s="496"/>
      <c r="F38" s="497"/>
      <c r="G38" s="498"/>
      <c r="H38" s="499"/>
      <c r="I38" s="268">
        <f t="shared" si="12"/>
        <v>17.4305</v>
      </c>
      <c r="J38" s="504"/>
      <c r="K38" s="504"/>
      <c r="L38" s="13">
        <f t="shared" si="0"/>
      </c>
      <c r="M38" s="14">
        <f t="shared" si="1"/>
      </c>
      <c r="N38" s="505"/>
      <c r="O38" s="687">
        <f t="shared" si="14"/>
      </c>
      <c r="P38" s="688" t="str">
        <f t="shared" si="2"/>
        <v>--</v>
      </c>
      <c r="Q38" s="689" t="str">
        <f t="shared" si="13"/>
        <v>--</v>
      </c>
      <c r="R38" s="690" t="str">
        <f t="shared" si="3"/>
        <v>--</v>
      </c>
      <c r="S38" s="691" t="str">
        <f t="shared" si="4"/>
        <v>--</v>
      </c>
      <c r="T38" s="692" t="str">
        <f t="shared" si="5"/>
        <v>--</v>
      </c>
      <c r="U38" s="693" t="str">
        <f t="shared" si="6"/>
        <v>--</v>
      </c>
      <c r="V38" s="694" t="str">
        <f t="shared" si="7"/>
        <v>--</v>
      </c>
      <c r="W38" s="695" t="str">
        <f t="shared" si="8"/>
        <v>--</v>
      </c>
      <c r="X38" s="696" t="str">
        <f t="shared" si="9"/>
        <v>--</v>
      </c>
      <c r="Y38" s="697" t="str">
        <f t="shared" si="10"/>
        <v>--</v>
      </c>
      <c r="Z38" s="698">
        <f t="shared" si="15"/>
      </c>
      <c r="AA38" s="55">
        <f t="shared" si="11"/>
      </c>
      <c r="AB38" s="3"/>
    </row>
    <row r="39" spans="2:28" ht="16.5" customHeight="1">
      <c r="B39" s="56"/>
      <c r="C39" s="496"/>
      <c r="D39" s="496"/>
      <c r="E39" s="496"/>
      <c r="F39" s="497"/>
      <c r="G39" s="498"/>
      <c r="H39" s="499"/>
      <c r="I39" s="268">
        <f>IF(H39&gt;25,H39,25)*IF(G39=330,$G$15,$G$16)/100</f>
        <v>17.4305</v>
      </c>
      <c r="J39" s="504"/>
      <c r="K39" s="504"/>
      <c r="L39" s="13">
        <f t="shared" si="0"/>
      </c>
      <c r="M39" s="14">
        <f t="shared" si="1"/>
      </c>
      <c r="N39" s="505"/>
      <c r="O39" s="687">
        <f t="shared" si="14"/>
      </c>
      <c r="P39" s="688" t="str">
        <f t="shared" si="2"/>
        <v>--</v>
      </c>
      <c r="Q39" s="689" t="str">
        <f>IF(N39="RP",ROUND(M39/60,2)*I39*$L$16*0.01*O39/100,"--")</f>
        <v>--</v>
      </c>
      <c r="R39" s="690" t="str">
        <f t="shared" si="3"/>
        <v>--</v>
      </c>
      <c r="S39" s="691" t="str">
        <f t="shared" si="4"/>
        <v>--</v>
      </c>
      <c r="T39" s="692" t="str">
        <f t="shared" si="5"/>
        <v>--</v>
      </c>
      <c r="U39" s="693" t="str">
        <f t="shared" si="6"/>
        <v>--</v>
      </c>
      <c r="V39" s="694" t="str">
        <f t="shared" si="7"/>
        <v>--</v>
      </c>
      <c r="W39" s="695" t="str">
        <f t="shared" si="8"/>
        <v>--</v>
      </c>
      <c r="X39" s="696" t="str">
        <f t="shared" si="9"/>
        <v>--</v>
      </c>
      <c r="Y39" s="697" t="str">
        <f t="shared" si="10"/>
        <v>--</v>
      </c>
      <c r="Z39" s="698">
        <f t="shared" si="15"/>
      </c>
      <c r="AA39" s="55">
        <f t="shared" si="11"/>
      </c>
      <c r="AB39" s="3"/>
    </row>
    <row r="40" spans="2:28" ht="16.5" customHeight="1">
      <c r="B40" s="56"/>
      <c r="C40" s="496"/>
      <c r="D40" s="496"/>
      <c r="E40" s="496"/>
      <c r="F40" s="497"/>
      <c r="G40" s="498"/>
      <c r="H40" s="499"/>
      <c r="I40" s="268">
        <f>IF(H40&gt;25,H40,25)*IF(G40=330,$G$15,$G$16)/100</f>
        <v>17.4305</v>
      </c>
      <c r="J40" s="504"/>
      <c r="K40" s="504"/>
      <c r="L40" s="13">
        <f t="shared" si="0"/>
      </c>
      <c r="M40" s="14">
        <f t="shared" si="1"/>
      </c>
      <c r="N40" s="505"/>
      <c r="O40" s="687">
        <f t="shared" si="14"/>
      </c>
      <c r="P40" s="688" t="str">
        <f t="shared" si="2"/>
        <v>--</v>
      </c>
      <c r="Q40" s="689" t="str">
        <f>IF(N40="RP",ROUND(M40/60,2)*I40*$L$16*0.01*O40/100,"--")</f>
        <v>--</v>
      </c>
      <c r="R40" s="690" t="str">
        <f t="shared" si="3"/>
        <v>--</v>
      </c>
      <c r="S40" s="691" t="str">
        <f t="shared" si="4"/>
        <v>--</v>
      </c>
      <c r="T40" s="692" t="str">
        <f t="shared" si="5"/>
        <v>--</v>
      </c>
      <c r="U40" s="693" t="str">
        <f t="shared" si="6"/>
        <v>--</v>
      </c>
      <c r="V40" s="694" t="str">
        <f t="shared" si="7"/>
        <v>--</v>
      </c>
      <c r="W40" s="695" t="str">
        <f t="shared" si="8"/>
        <v>--</v>
      </c>
      <c r="X40" s="696" t="str">
        <f t="shared" si="9"/>
        <v>--</v>
      </c>
      <c r="Y40" s="697" t="str">
        <f t="shared" si="10"/>
        <v>--</v>
      </c>
      <c r="Z40" s="698">
        <f t="shared" si="15"/>
      </c>
      <c r="AA40" s="55">
        <f t="shared" si="11"/>
      </c>
      <c r="AB40" s="3"/>
    </row>
    <row r="41" spans="2:28" ht="16.5" customHeight="1">
      <c r="B41" s="56"/>
      <c r="C41" s="496"/>
      <c r="D41" s="496"/>
      <c r="E41" s="496"/>
      <c r="F41" s="497"/>
      <c r="G41" s="498"/>
      <c r="H41" s="499"/>
      <c r="I41" s="268">
        <f>IF(H41&gt;25,H41,25)*IF(G41=330,$G$15,$G$16)/100</f>
        <v>17.4305</v>
      </c>
      <c r="J41" s="504"/>
      <c r="K41" s="504"/>
      <c r="L41" s="13">
        <f t="shared" si="0"/>
      </c>
      <c r="M41" s="14">
        <f t="shared" si="1"/>
      </c>
      <c r="N41" s="505"/>
      <c r="O41" s="687">
        <f t="shared" si="14"/>
      </c>
      <c r="P41" s="688" t="str">
        <f t="shared" si="2"/>
        <v>--</v>
      </c>
      <c r="Q41" s="689" t="str">
        <f>IF(N41="RP",ROUND(M41/60,2)*I41*$L$16*0.01*O41/100,"--")</f>
        <v>--</v>
      </c>
      <c r="R41" s="690" t="str">
        <f t="shared" si="3"/>
        <v>--</v>
      </c>
      <c r="S41" s="691" t="str">
        <f t="shared" si="4"/>
        <v>--</v>
      </c>
      <c r="T41" s="692" t="str">
        <f t="shared" si="5"/>
        <v>--</v>
      </c>
      <c r="U41" s="693" t="str">
        <f t="shared" si="6"/>
        <v>--</v>
      </c>
      <c r="V41" s="694" t="str">
        <f t="shared" si="7"/>
        <v>--</v>
      </c>
      <c r="W41" s="695" t="str">
        <f t="shared" si="8"/>
        <v>--</v>
      </c>
      <c r="X41" s="696" t="str">
        <f t="shared" si="9"/>
        <v>--</v>
      </c>
      <c r="Y41" s="697" t="str">
        <f t="shared" si="10"/>
        <v>--</v>
      </c>
      <c r="Z41" s="698">
        <f t="shared" si="15"/>
      </c>
      <c r="AA41" s="55">
        <f t="shared" si="11"/>
      </c>
      <c r="AB41" s="3"/>
    </row>
    <row r="42" spans="1:28" ht="16.5" customHeight="1" thickBot="1">
      <c r="A42" s="1"/>
      <c r="B42" s="2"/>
      <c r="C42" s="500"/>
      <c r="D42" s="500"/>
      <c r="E42" s="500"/>
      <c r="F42" s="501"/>
      <c r="G42" s="502"/>
      <c r="H42" s="503"/>
      <c r="I42" s="269"/>
      <c r="J42" s="503"/>
      <c r="K42" s="503"/>
      <c r="L42" s="15"/>
      <c r="M42" s="15"/>
      <c r="N42" s="503"/>
      <c r="O42" s="506"/>
      <c r="P42" s="507"/>
      <c r="Q42" s="508"/>
      <c r="R42" s="509"/>
      <c r="S42" s="510"/>
      <c r="T42" s="511"/>
      <c r="U42" s="512"/>
      <c r="V42" s="513"/>
      <c r="W42" s="514"/>
      <c r="X42" s="515"/>
      <c r="Y42" s="516"/>
      <c r="Z42" s="517"/>
      <c r="AA42" s="57"/>
      <c r="AB42" s="3"/>
    </row>
    <row r="43" spans="1:28" ht="16.5" customHeight="1" thickBot="1" thickTop="1">
      <c r="A43" s="1"/>
      <c r="B43" s="2"/>
      <c r="C43" s="240" t="s">
        <v>64</v>
      </c>
      <c r="D43" s="720" t="s">
        <v>184</v>
      </c>
      <c r="E43" s="682"/>
      <c r="F43" s="241"/>
      <c r="G43" s="16"/>
      <c r="H43" s="17"/>
      <c r="I43" s="58"/>
      <c r="J43" s="58"/>
      <c r="K43" s="58"/>
      <c r="L43" s="58"/>
      <c r="M43" s="58"/>
      <c r="N43" s="58"/>
      <c r="O43" s="59"/>
      <c r="P43" s="327">
        <f aca="true" t="shared" si="16" ref="P43:Y43">ROUND(SUM(P20:P42),2)</f>
        <v>0</v>
      </c>
      <c r="Q43" s="328">
        <f t="shared" si="16"/>
        <v>0</v>
      </c>
      <c r="R43" s="329">
        <f t="shared" si="16"/>
        <v>7450.49</v>
      </c>
      <c r="S43" s="329">
        <f t="shared" si="16"/>
        <v>11577.76</v>
      </c>
      <c r="T43" s="330">
        <f t="shared" si="16"/>
        <v>1904.58</v>
      </c>
      <c r="U43" s="331">
        <f t="shared" si="16"/>
        <v>0</v>
      </c>
      <c r="V43" s="331">
        <f t="shared" si="16"/>
        <v>0</v>
      </c>
      <c r="W43" s="332">
        <f t="shared" si="16"/>
        <v>0</v>
      </c>
      <c r="X43" s="333">
        <f t="shared" si="16"/>
        <v>0</v>
      </c>
      <c r="Y43" s="334">
        <f t="shared" si="16"/>
        <v>0</v>
      </c>
      <c r="Z43" s="60"/>
      <c r="AA43" s="686">
        <f>ROUND(SUM(AA20:AA42),2)</f>
        <v>20932.83</v>
      </c>
      <c r="AB43" s="61"/>
    </row>
    <row r="44" spans="1:28" s="255" customFormat="1" ht="9.75" thickTop="1">
      <c r="A44" s="244"/>
      <c r="B44" s="245"/>
      <c r="C44" s="242"/>
      <c r="D44" s="242"/>
      <c r="E44" s="242"/>
      <c r="F44" s="243"/>
      <c r="G44" s="246"/>
      <c r="H44" s="247"/>
      <c r="I44" s="248"/>
      <c r="J44" s="248"/>
      <c r="K44" s="248"/>
      <c r="L44" s="248"/>
      <c r="M44" s="248"/>
      <c r="N44" s="248"/>
      <c r="O44" s="249"/>
      <c r="P44" s="250"/>
      <c r="Q44" s="250"/>
      <c r="R44" s="251"/>
      <c r="S44" s="251"/>
      <c r="T44" s="252"/>
      <c r="U44" s="252"/>
      <c r="V44" s="252"/>
      <c r="W44" s="252"/>
      <c r="X44" s="252"/>
      <c r="Y44" s="252"/>
      <c r="Z44" s="252"/>
      <c r="AA44" s="253"/>
      <c r="AB44" s="254"/>
    </row>
    <row r="45" spans="1:28" s="10" customFormat="1" ht="16.5" customHeight="1" thickBot="1">
      <c r="A45" s="8"/>
      <c r="B45" s="4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50"/>
    </row>
    <row r="46" spans="1:28" ht="13.5" thickTop="1">
      <c r="A46" s="1"/>
      <c r="B46" s="1"/>
      <c r="AB46" s="1"/>
    </row>
    <row r="91" spans="1:2" ht="12.75">
      <c r="A91" s="1"/>
      <c r="B91" s="1"/>
    </row>
  </sheetData>
  <sheetProtection/>
  <mergeCells count="1">
    <mergeCell ref="G16:H16"/>
  </mergeCells>
  <printOptions/>
  <pageMargins left="0.3937007874015748" right="0.38" top="0.7874015748031497" bottom="0.7874015748031497" header="0.5118110236220472" footer="0.5118110236220472"/>
  <pageSetup fitToHeight="1" fitToWidth="1" orientation="landscape" paperSize="9" scale="66" r:id="rId3"/>
  <headerFooter alignWithMargins="0">
    <oddFooter>&amp;L&amp;"Times New Roman,Normal"&amp;8&amp;Z&amp;F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1"/>
  <sheetViews>
    <sheetView zoomScale="70" zoomScaleNormal="70" zoomScalePageLayoutView="0" workbookViewId="0" topLeftCell="A1">
      <selection activeCell="G16" sqref="G16:H16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45.7109375" style="0" customWidth="1"/>
    <col min="7" max="8" width="9.7109375" style="0" customWidth="1"/>
    <col min="9" max="9" width="12.7109375" style="0" hidden="1" customWidth="1"/>
    <col min="10" max="11" width="15.7109375" style="0" customWidth="1"/>
    <col min="12" max="14" width="9.7109375" style="0" customWidth="1"/>
    <col min="15" max="15" width="14.140625" style="0" customWidth="1"/>
    <col min="16" max="25" width="14.140625" style="0" hidden="1" customWidth="1"/>
    <col min="26" max="26" width="14.140625" style="0" customWidth="1"/>
    <col min="27" max="27" width="15.7109375" style="0" customWidth="1"/>
    <col min="28" max="28" width="4.140625" style="0" customWidth="1"/>
  </cols>
  <sheetData>
    <row r="1" s="109" customFormat="1" ht="26.25">
      <c r="AB1" s="412"/>
    </row>
    <row r="2" spans="2:28" s="109" customFormat="1" ht="26.25">
      <c r="B2" s="110" t="str">
        <f>+'TOT-0214'!B2</f>
        <v>ANEXO II al Memorándum  D.T.E.E.  N°  223 /2016               .-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</row>
    <row r="3" s="10" customFormat="1" ht="12.75"/>
    <row r="4" spans="1:4" s="112" customFormat="1" ht="11.25">
      <c r="A4" s="685" t="s">
        <v>16</v>
      </c>
      <c r="C4" s="684"/>
      <c r="D4" s="684"/>
    </row>
    <row r="5" spans="1:4" s="112" customFormat="1" ht="11.25">
      <c r="A5" s="685" t="s">
        <v>146</v>
      </c>
      <c r="C5" s="684"/>
      <c r="D5" s="684"/>
    </row>
    <row r="6" s="10" customFormat="1" ht="13.5" thickBot="1"/>
    <row r="7" spans="1:28" s="10" customFormat="1" ht="13.5" thickTop="1">
      <c r="A7" s="8"/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3"/>
    </row>
    <row r="8" spans="1:28" s="114" customFormat="1" ht="20.25">
      <c r="A8" s="45"/>
      <c r="B8" s="113"/>
      <c r="C8" s="45"/>
      <c r="D8" s="45"/>
      <c r="E8" s="45"/>
      <c r="F8" s="21" t="s">
        <v>40</v>
      </c>
      <c r="G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115"/>
    </row>
    <row r="9" spans="1:28" s="10" customFormat="1" ht="12.75">
      <c r="A9" s="8"/>
      <c r="B9" s="44"/>
      <c r="C9" s="8"/>
      <c r="D9" s="8"/>
      <c r="E9" s="8"/>
      <c r="F9" s="126"/>
      <c r="G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11"/>
    </row>
    <row r="10" spans="1:28" s="114" customFormat="1" ht="20.25">
      <c r="A10" s="45"/>
      <c r="B10" s="113"/>
      <c r="C10" s="45"/>
      <c r="D10" s="45"/>
      <c r="E10" s="45"/>
      <c r="F10" s="21" t="s">
        <v>177</v>
      </c>
      <c r="G10" s="21"/>
      <c r="H10" s="45"/>
      <c r="I10" s="116"/>
      <c r="J10" s="116"/>
      <c r="K10" s="116"/>
      <c r="L10" s="116"/>
      <c r="M10" s="116"/>
      <c r="N10" s="116"/>
      <c r="O10" s="116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115"/>
    </row>
    <row r="11" spans="1:28" s="10" customFormat="1" ht="12.75">
      <c r="A11" s="8"/>
      <c r="B11" s="44"/>
      <c r="C11" s="8"/>
      <c r="D11" s="8"/>
      <c r="E11" s="8"/>
      <c r="F11" s="125"/>
      <c r="G11" s="123"/>
      <c r="H11" s="8"/>
      <c r="I11" s="122"/>
      <c r="J11" s="122"/>
      <c r="K11" s="122"/>
      <c r="L11" s="122"/>
      <c r="M11" s="122"/>
      <c r="N11" s="122"/>
      <c r="O11" s="122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11"/>
    </row>
    <row r="12" spans="1:28" s="121" customFormat="1" ht="19.5">
      <c r="A12" s="47"/>
      <c r="B12" s="87" t="str">
        <f>+'TOT-0214'!B14</f>
        <v>Desde el 01 al 28 de febrero de 2014</v>
      </c>
      <c r="C12" s="117"/>
      <c r="D12" s="117"/>
      <c r="E12" s="117"/>
      <c r="F12" s="117"/>
      <c r="G12" s="118"/>
      <c r="H12" s="118"/>
      <c r="I12" s="119"/>
      <c r="J12" s="119"/>
      <c r="K12" s="119"/>
      <c r="L12" s="119"/>
      <c r="M12" s="119"/>
      <c r="N12" s="119"/>
      <c r="O12" s="119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20"/>
    </row>
    <row r="13" spans="1:28" s="121" customFormat="1" ht="7.5" customHeight="1">
      <c r="A13" s="47"/>
      <c r="B13" s="87"/>
      <c r="C13" s="117"/>
      <c r="D13" s="117"/>
      <c r="E13" s="117"/>
      <c r="F13" s="117"/>
      <c r="G13" s="118"/>
      <c r="H13" s="118"/>
      <c r="I13" s="119"/>
      <c r="J13" s="119"/>
      <c r="K13" s="119"/>
      <c r="L13" s="119"/>
      <c r="M13" s="119"/>
      <c r="N13" s="119"/>
      <c r="O13" s="119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20"/>
    </row>
    <row r="14" spans="1:28" s="10" customFormat="1" ht="7.5" customHeight="1" thickBot="1">
      <c r="A14" s="8"/>
      <c r="B14" s="44"/>
      <c r="C14" s="8"/>
      <c r="D14" s="8"/>
      <c r="E14" s="8"/>
      <c r="F14" s="8"/>
      <c r="G14" s="123"/>
      <c r="H14" s="124"/>
      <c r="I14" s="122"/>
      <c r="J14" s="122"/>
      <c r="K14" s="122"/>
      <c r="L14" s="122"/>
      <c r="M14" s="122"/>
      <c r="N14" s="122"/>
      <c r="O14" s="122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11"/>
    </row>
    <row r="15" spans="1:28" s="95" customFormat="1" ht="16.5" customHeight="1" thickBot="1" thickTop="1">
      <c r="A15" s="91"/>
      <c r="B15" s="92"/>
      <c r="C15" s="91"/>
      <c r="D15" s="91"/>
      <c r="E15" s="91"/>
      <c r="F15" s="494" t="s">
        <v>43</v>
      </c>
      <c r="G15" s="495" t="s">
        <v>182</v>
      </c>
      <c r="H15" s="239"/>
      <c r="I15" s="96"/>
      <c r="J15" s="96"/>
      <c r="K15" s="96"/>
      <c r="L15" s="96"/>
      <c r="M15" s="96"/>
      <c r="N15" s="96"/>
      <c r="O15" s="96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4"/>
    </row>
    <row r="16" spans="1:28" s="95" customFormat="1" ht="16.5" customHeight="1" thickBot="1" thickTop="1">
      <c r="A16" s="91"/>
      <c r="B16" s="92"/>
      <c r="C16" s="91"/>
      <c r="D16" s="91"/>
      <c r="E16" s="91"/>
      <c r="F16" s="494" t="s">
        <v>44</v>
      </c>
      <c r="G16" s="733">
        <v>69.722</v>
      </c>
      <c r="H16" s="734"/>
      <c r="I16" s="91"/>
      <c r="K16" s="97" t="s">
        <v>45</v>
      </c>
      <c r="L16" s="98">
        <f>30*'TOT-0214'!B13</f>
        <v>30</v>
      </c>
      <c r="M16" s="236" t="str">
        <f>IF(L16=30," ",IF(L16=60,"Coeficiente duplicado por tasa de falla &gt;4 Sal. x año/100 km.","REVISAR COEFICIENTE"))</f>
        <v> </v>
      </c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4"/>
    </row>
    <row r="17" spans="1:28" s="95" customFormat="1" ht="7.5" customHeight="1" thickTop="1">
      <c r="A17" s="91"/>
      <c r="B17" s="92"/>
      <c r="C17" s="91"/>
      <c r="D17" s="91"/>
      <c r="E17" s="91"/>
      <c r="F17" s="674"/>
      <c r="G17" s="675"/>
      <c r="H17" s="676"/>
      <c r="I17" s="91"/>
      <c r="K17" s="97"/>
      <c r="L17" s="98"/>
      <c r="M17" s="236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4"/>
    </row>
    <row r="18" spans="1:28" s="708" customFormat="1" ht="15" customHeight="1" thickBot="1">
      <c r="A18" s="704"/>
      <c r="B18" s="705"/>
      <c r="C18" s="706">
        <v>3</v>
      </c>
      <c r="D18" s="706">
        <v>4</v>
      </c>
      <c r="E18" s="706">
        <v>5</v>
      </c>
      <c r="F18" s="706">
        <v>6</v>
      </c>
      <c r="G18" s="706">
        <v>7</v>
      </c>
      <c r="H18" s="706">
        <v>8</v>
      </c>
      <c r="I18" s="706">
        <v>9</v>
      </c>
      <c r="J18" s="706">
        <v>10</v>
      </c>
      <c r="K18" s="706">
        <v>11</v>
      </c>
      <c r="L18" s="706">
        <v>12</v>
      </c>
      <c r="M18" s="706">
        <v>13</v>
      </c>
      <c r="N18" s="706">
        <v>14</v>
      </c>
      <c r="O18" s="706">
        <v>15</v>
      </c>
      <c r="P18" s="706">
        <v>16</v>
      </c>
      <c r="Q18" s="706">
        <v>17</v>
      </c>
      <c r="R18" s="706">
        <v>18</v>
      </c>
      <c r="S18" s="706">
        <v>19</v>
      </c>
      <c r="T18" s="706">
        <v>20</v>
      </c>
      <c r="U18" s="706">
        <v>21</v>
      </c>
      <c r="V18" s="706">
        <v>22</v>
      </c>
      <c r="W18" s="706">
        <v>23</v>
      </c>
      <c r="X18" s="706">
        <v>24</v>
      </c>
      <c r="Y18" s="706">
        <v>25</v>
      </c>
      <c r="Z18" s="706">
        <v>26</v>
      </c>
      <c r="AA18" s="706">
        <v>27</v>
      </c>
      <c r="AB18" s="707"/>
    </row>
    <row r="19" spans="1:28" s="108" customFormat="1" ht="33.75" customHeight="1" thickBot="1" thickTop="1">
      <c r="A19" s="99"/>
      <c r="B19" s="100"/>
      <c r="C19" s="101" t="s">
        <v>46</v>
      </c>
      <c r="D19" s="101" t="s">
        <v>145</v>
      </c>
      <c r="E19" s="101" t="s">
        <v>144</v>
      </c>
      <c r="F19" s="102" t="s">
        <v>19</v>
      </c>
      <c r="G19" s="103" t="s">
        <v>47</v>
      </c>
      <c r="H19" s="104" t="s">
        <v>48</v>
      </c>
      <c r="I19" s="265" t="s">
        <v>49</v>
      </c>
      <c r="J19" s="102" t="s">
        <v>50</v>
      </c>
      <c r="K19" s="102" t="s">
        <v>51</v>
      </c>
      <c r="L19" s="103" t="s">
        <v>52</v>
      </c>
      <c r="M19" s="103" t="s">
        <v>53</v>
      </c>
      <c r="N19" s="105" t="s">
        <v>54</v>
      </c>
      <c r="O19" s="103" t="s">
        <v>55</v>
      </c>
      <c r="P19" s="294" t="s">
        <v>56</v>
      </c>
      <c r="Q19" s="297" t="s">
        <v>57</v>
      </c>
      <c r="R19" s="300" t="s">
        <v>58</v>
      </c>
      <c r="S19" s="301"/>
      <c r="T19" s="302"/>
      <c r="U19" s="311" t="s">
        <v>59</v>
      </c>
      <c r="V19" s="312"/>
      <c r="W19" s="313"/>
      <c r="X19" s="321" t="s">
        <v>60</v>
      </c>
      <c r="Y19" s="324" t="s">
        <v>61</v>
      </c>
      <c r="Z19" s="106" t="s">
        <v>62</v>
      </c>
      <c r="AA19" s="106" t="s">
        <v>63</v>
      </c>
      <c r="AB19" s="107"/>
    </row>
    <row r="20" spans="1:28" ht="16.5" customHeight="1" thickTop="1">
      <c r="A20" s="1"/>
      <c r="B20" s="2"/>
      <c r="C20" s="51"/>
      <c r="D20" s="88"/>
      <c r="E20" s="88"/>
      <c r="F20" s="52"/>
      <c r="G20" s="53"/>
      <c r="H20" s="53"/>
      <c r="I20" s="266"/>
      <c r="J20" s="53"/>
      <c r="K20" s="54"/>
      <c r="L20" s="54"/>
      <c r="M20" s="54"/>
      <c r="N20" s="52"/>
      <c r="O20" s="53"/>
      <c r="P20" s="295"/>
      <c r="Q20" s="298"/>
      <c r="R20" s="303"/>
      <c r="S20" s="304"/>
      <c r="T20" s="305"/>
      <c r="U20" s="314"/>
      <c r="V20" s="315"/>
      <c r="W20" s="316"/>
      <c r="X20" s="322"/>
      <c r="Y20" s="325"/>
      <c r="Z20" s="309"/>
      <c r="AA20" s="54"/>
      <c r="AB20" s="3"/>
    </row>
    <row r="21" spans="1:28" ht="16.5" customHeight="1">
      <c r="A21" s="1"/>
      <c r="B21" s="2"/>
      <c r="C21" s="51"/>
      <c r="D21" s="51"/>
      <c r="E21" s="51"/>
      <c r="F21" s="51"/>
      <c r="G21" s="89"/>
      <c r="H21" s="89"/>
      <c r="I21" s="267"/>
      <c r="J21" s="51"/>
      <c r="K21" s="90"/>
      <c r="L21" s="90"/>
      <c r="M21" s="90"/>
      <c r="N21" s="88"/>
      <c r="O21" s="51"/>
      <c r="P21" s="296"/>
      <c r="Q21" s="299"/>
      <c r="R21" s="306"/>
      <c r="S21" s="307"/>
      <c r="T21" s="308"/>
      <c r="U21" s="317"/>
      <c r="V21" s="318"/>
      <c r="W21" s="319"/>
      <c r="X21" s="323"/>
      <c r="Y21" s="326"/>
      <c r="Z21" s="310"/>
      <c r="AA21" s="90"/>
      <c r="AB21" s="3"/>
    </row>
    <row r="22" spans="1:28" ht="16.5" customHeight="1">
      <c r="A22" s="1"/>
      <c r="B22" s="2"/>
      <c r="C22" s="496">
        <v>7</v>
      </c>
      <c r="D22" s="496">
        <v>272516</v>
      </c>
      <c r="E22" s="496">
        <v>4586</v>
      </c>
      <c r="F22" s="497" t="s">
        <v>164</v>
      </c>
      <c r="G22" s="498">
        <v>132</v>
      </c>
      <c r="H22" s="499">
        <v>127.98</v>
      </c>
      <c r="I22" s="268">
        <f aca="true" t="shared" si="0" ref="I22:I41">IF(H22&gt;25,H22,25)*IF(G22=330,$G$15,$G$16)/100</f>
        <v>89.2302156</v>
      </c>
      <c r="J22" s="504">
        <v>41690.58194444444</v>
      </c>
      <c r="K22" s="504">
        <v>41690.60486111111</v>
      </c>
      <c r="L22" s="13">
        <f aca="true" t="shared" si="1" ref="L22:L41">IF(F22="","",(K22-J22)*24)</f>
        <v>0.5500000000465661</v>
      </c>
      <c r="M22" s="14">
        <f aca="true" t="shared" si="2" ref="M22:M41">IF(F22="","",ROUND((K22-J22)*24*60,0))</f>
        <v>33</v>
      </c>
      <c r="N22" s="505" t="s">
        <v>152</v>
      </c>
      <c r="O22" s="687" t="str">
        <f aca="true" t="shared" si="3" ref="O22:O41">IF(F22="","","--")</f>
        <v>--</v>
      </c>
      <c r="P22" s="688">
        <f aca="true" t="shared" si="4" ref="P22:P41">IF(N22="P",ROUND(M22/60,2)*I22*$L$16*0.01,"--")</f>
        <v>14.722985573999999</v>
      </c>
      <c r="Q22" s="689" t="str">
        <f aca="true" t="shared" si="5" ref="Q22:Q41">IF(N22="RP",ROUND(M22/60,2)*I22*$L$16*0.01*O22/100,"--")</f>
        <v>--</v>
      </c>
      <c r="R22" s="690" t="str">
        <f aca="true" t="shared" si="6" ref="R22:R41">IF(N22="F",I22*$L$16,"--")</f>
        <v>--</v>
      </c>
      <c r="S22" s="691" t="str">
        <f aca="true" t="shared" si="7" ref="S22:S41">IF(AND(M22&gt;10,N22="F"),I22*$L$16*IF(M22&gt;180,3,ROUND(M22/60,2)),"--")</f>
        <v>--</v>
      </c>
      <c r="T22" s="692" t="str">
        <f aca="true" t="shared" si="8" ref="T22:T41">IF(AND(M22&gt;180,N22="F"),(ROUND(M22/60,2)-3)*I22*$L$16*0.1,"--")</f>
        <v>--</v>
      </c>
      <c r="U22" s="693" t="str">
        <f aca="true" t="shared" si="9" ref="U22:U41">IF(N22="R",I22*$L$16*O22/100,"--")</f>
        <v>--</v>
      </c>
      <c r="V22" s="694" t="str">
        <f aca="true" t="shared" si="10" ref="V22:V41">IF(AND(M22&gt;10,N22="R"),I22*$L$16*O22/100*IF(M22&gt;180,3,ROUND(M22/60,2)),"--")</f>
        <v>--</v>
      </c>
      <c r="W22" s="695" t="str">
        <f aca="true" t="shared" si="11" ref="W22:W41">IF(AND(M22&gt;180,N22="R"),(ROUND(M22/60,2)-3)*O22/100*I22*$L$16*0.1,"--")</f>
        <v>--</v>
      </c>
      <c r="X22" s="696" t="str">
        <f aca="true" t="shared" si="12" ref="X22:X41">IF(N22="RF",ROUND(M22/60,2)*I22*$L$16*0.1,"--")</f>
        <v>--</v>
      </c>
      <c r="Y22" s="697" t="str">
        <f aca="true" t="shared" si="13" ref="Y22:Y41">IF(N22="RR",ROUND(M22/60,2)*O22/100*I22*$L$16*0.1,"--")</f>
        <v>--</v>
      </c>
      <c r="Z22" s="698" t="str">
        <f aca="true" t="shared" si="14" ref="Z22:Z41">IF(F22="","","SI")</f>
        <v>SI</v>
      </c>
      <c r="AA22" s="55">
        <f aca="true" t="shared" si="15" ref="AA22:AA41">IF(F22="","",SUM(P22:Y22)*IF(Z22="SI",1,2))</f>
        <v>14.722985573999999</v>
      </c>
      <c r="AB22" s="3"/>
    </row>
    <row r="23" spans="1:28" ht="16.5" customHeight="1">
      <c r="A23" s="1"/>
      <c r="B23" s="2"/>
      <c r="C23" s="496"/>
      <c r="D23" s="496"/>
      <c r="E23" s="496"/>
      <c r="F23" s="497"/>
      <c r="G23" s="498"/>
      <c r="H23" s="499"/>
      <c r="I23" s="268">
        <f t="shared" si="0"/>
        <v>17.4305</v>
      </c>
      <c r="J23" s="504"/>
      <c r="K23" s="504"/>
      <c r="L23" s="13">
        <f t="shared" si="1"/>
      </c>
      <c r="M23" s="14">
        <f t="shared" si="2"/>
      </c>
      <c r="N23" s="505"/>
      <c r="O23" s="687">
        <f t="shared" si="3"/>
      </c>
      <c r="P23" s="688" t="str">
        <f t="shared" si="4"/>
        <v>--</v>
      </c>
      <c r="Q23" s="689" t="str">
        <f t="shared" si="5"/>
        <v>--</v>
      </c>
      <c r="R23" s="690" t="str">
        <f t="shared" si="6"/>
        <v>--</v>
      </c>
      <c r="S23" s="691" t="str">
        <f t="shared" si="7"/>
        <v>--</v>
      </c>
      <c r="T23" s="692" t="str">
        <f t="shared" si="8"/>
        <v>--</v>
      </c>
      <c r="U23" s="693" t="str">
        <f t="shared" si="9"/>
        <v>--</v>
      </c>
      <c r="V23" s="694" t="str">
        <f t="shared" si="10"/>
        <v>--</v>
      </c>
      <c r="W23" s="695" t="str">
        <f t="shared" si="11"/>
        <v>--</v>
      </c>
      <c r="X23" s="696" t="str">
        <f t="shared" si="12"/>
        <v>--</v>
      </c>
      <c r="Y23" s="697" t="str">
        <f t="shared" si="13"/>
        <v>--</v>
      </c>
      <c r="Z23" s="698">
        <f t="shared" si="14"/>
      </c>
      <c r="AA23" s="55">
        <f t="shared" si="15"/>
      </c>
      <c r="AB23" s="3"/>
    </row>
    <row r="24" spans="1:28" ht="16.5" customHeight="1">
      <c r="A24" s="1"/>
      <c r="B24" s="2"/>
      <c r="C24" s="496"/>
      <c r="D24" s="496"/>
      <c r="E24" s="496"/>
      <c r="F24" s="497"/>
      <c r="G24" s="498"/>
      <c r="H24" s="499"/>
      <c r="I24" s="268">
        <f t="shared" si="0"/>
        <v>17.4305</v>
      </c>
      <c r="J24" s="504"/>
      <c r="K24" s="504"/>
      <c r="L24" s="13">
        <f t="shared" si="1"/>
      </c>
      <c r="M24" s="14">
        <f t="shared" si="2"/>
      </c>
      <c r="N24" s="505"/>
      <c r="O24" s="687">
        <f t="shared" si="3"/>
      </c>
      <c r="P24" s="688" t="str">
        <f t="shared" si="4"/>
        <v>--</v>
      </c>
      <c r="Q24" s="689" t="str">
        <f t="shared" si="5"/>
        <v>--</v>
      </c>
      <c r="R24" s="690" t="str">
        <f t="shared" si="6"/>
        <v>--</v>
      </c>
      <c r="S24" s="691" t="str">
        <f t="shared" si="7"/>
        <v>--</v>
      </c>
      <c r="T24" s="692" t="str">
        <f t="shared" si="8"/>
        <v>--</v>
      </c>
      <c r="U24" s="693" t="str">
        <f t="shared" si="9"/>
        <v>--</v>
      </c>
      <c r="V24" s="694" t="str">
        <f t="shared" si="10"/>
        <v>--</v>
      </c>
      <c r="W24" s="695" t="str">
        <f t="shared" si="11"/>
        <v>--</v>
      </c>
      <c r="X24" s="696" t="str">
        <f t="shared" si="12"/>
        <v>--</v>
      </c>
      <c r="Y24" s="697" t="str">
        <f t="shared" si="13"/>
        <v>--</v>
      </c>
      <c r="Z24" s="698">
        <f t="shared" si="14"/>
      </c>
      <c r="AA24" s="55">
        <f t="shared" si="15"/>
      </c>
      <c r="AB24" s="3"/>
    </row>
    <row r="25" spans="1:28" ht="16.5" customHeight="1">
      <c r="A25" s="1"/>
      <c r="B25" s="2"/>
      <c r="C25" s="496"/>
      <c r="D25" s="496"/>
      <c r="E25" s="496"/>
      <c r="F25" s="497"/>
      <c r="G25" s="498"/>
      <c r="H25" s="499"/>
      <c r="I25" s="268">
        <f t="shared" si="0"/>
        <v>17.4305</v>
      </c>
      <c r="J25" s="504"/>
      <c r="K25" s="504"/>
      <c r="L25" s="13">
        <f t="shared" si="1"/>
      </c>
      <c r="M25" s="14">
        <f t="shared" si="2"/>
      </c>
      <c r="N25" s="505"/>
      <c r="O25" s="687">
        <f t="shared" si="3"/>
      </c>
      <c r="P25" s="688" t="str">
        <f t="shared" si="4"/>
        <v>--</v>
      </c>
      <c r="Q25" s="689" t="str">
        <f t="shared" si="5"/>
        <v>--</v>
      </c>
      <c r="R25" s="690" t="str">
        <f t="shared" si="6"/>
        <v>--</v>
      </c>
      <c r="S25" s="691" t="str">
        <f t="shared" si="7"/>
        <v>--</v>
      </c>
      <c r="T25" s="692" t="str">
        <f t="shared" si="8"/>
        <v>--</v>
      </c>
      <c r="U25" s="693" t="str">
        <f t="shared" si="9"/>
        <v>--</v>
      </c>
      <c r="V25" s="694" t="str">
        <f t="shared" si="10"/>
        <v>--</v>
      </c>
      <c r="W25" s="695" t="str">
        <f t="shared" si="11"/>
        <v>--</v>
      </c>
      <c r="X25" s="696" t="str">
        <f t="shared" si="12"/>
        <v>--</v>
      </c>
      <c r="Y25" s="697" t="str">
        <f t="shared" si="13"/>
        <v>--</v>
      </c>
      <c r="Z25" s="698">
        <f t="shared" si="14"/>
      </c>
      <c r="AA25" s="55">
        <f t="shared" si="15"/>
      </c>
      <c r="AB25" s="3"/>
    </row>
    <row r="26" spans="1:28" ht="16.5" customHeight="1">
      <c r="A26" s="1"/>
      <c r="B26" s="2"/>
      <c r="C26" s="496"/>
      <c r="D26" s="496"/>
      <c r="E26" s="496"/>
      <c r="F26" s="497"/>
      <c r="G26" s="498"/>
      <c r="H26" s="499"/>
      <c r="I26" s="268">
        <f t="shared" si="0"/>
        <v>17.4305</v>
      </c>
      <c r="J26" s="504"/>
      <c r="K26" s="504"/>
      <c r="L26" s="13">
        <f t="shared" si="1"/>
      </c>
      <c r="M26" s="14">
        <f t="shared" si="2"/>
      </c>
      <c r="N26" s="505"/>
      <c r="O26" s="687">
        <f t="shared" si="3"/>
      </c>
      <c r="P26" s="688" t="str">
        <f t="shared" si="4"/>
        <v>--</v>
      </c>
      <c r="Q26" s="689" t="str">
        <f t="shared" si="5"/>
        <v>--</v>
      </c>
      <c r="R26" s="690" t="str">
        <f t="shared" si="6"/>
        <v>--</v>
      </c>
      <c r="S26" s="691" t="str">
        <f t="shared" si="7"/>
        <v>--</v>
      </c>
      <c r="T26" s="692" t="str">
        <f t="shared" si="8"/>
        <v>--</v>
      </c>
      <c r="U26" s="693" t="str">
        <f t="shared" si="9"/>
        <v>--</v>
      </c>
      <c r="V26" s="694" t="str">
        <f t="shared" si="10"/>
        <v>--</v>
      </c>
      <c r="W26" s="695" t="str">
        <f t="shared" si="11"/>
        <v>--</v>
      </c>
      <c r="X26" s="696" t="str">
        <f t="shared" si="12"/>
        <v>--</v>
      </c>
      <c r="Y26" s="697" t="str">
        <f t="shared" si="13"/>
        <v>--</v>
      </c>
      <c r="Z26" s="698">
        <f t="shared" si="14"/>
      </c>
      <c r="AA26" s="55">
        <f t="shared" si="15"/>
      </c>
      <c r="AB26" s="3"/>
    </row>
    <row r="27" spans="1:28" ht="16.5" customHeight="1">
      <c r="A27" s="1"/>
      <c r="B27" s="2"/>
      <c r="C27" s="496"/>
      <c r="D27" s="496"/>
      <c r="E27" s="496"/>
      <c r="F27" s="497"/>
      <c r="G27" s="498"/>
      <c r="H27" s="499"/>
      <c r="I27" s="268">
        <f t="shared" si="0"/>
        <v>17.4305</v>
      </c>
      <c r="J27" s="504"/>
      <c r="K27" s="504"/>
      <c r="L27" s="13">
        <f t="shared" si="1"/>
      </c>
      <c r="M27" s="14">
        <f t="shared" si="2"/>
      </c>
      <c r="N27" s="505"/>
      <c r="O27" s="687">
        <f t="shared" si="3"/>
      </c>
      <c r="P27" s="688" t="str">
        <f t="shared" si="4"/>
        <v>--</v>
      </c>
      <c r="Q27" s="689" t="str">
        <f t="shared" si="5"/>
        <v>--</v>
      </c>
      <c r="R27" s="690" t="str">
        <f t="shared" si="6"/>
        <v>--</v>
      </c>
      <c r="S27" s="691" t="str">
        <f t="shared" si="7"/>
        <v>--</v>
      </c>
      <c r="T27" s="692" t="str">
        <f t="shared" si="8"/>
        <v>--</v>
      </c>
      <c r="U27" s="693" t="str">
        <f t="shared" si="9"/>
        <v>--</v>
      </c>
      <c r="V27" s="694" t="str">
        <f t="shared" si="10"/>
        <v>--</v>
      </c>
      <c r="W27" s="695" t="str">
        <f t="shared" si="11"/>
        <v>--</v>
      </c>
      <c r="X27" s="696" t="str">
        <f t="shared" si="12"/>
        <v>--</v>
      </c>
      <c r="Y27" s="697" t="str">
        <f t="shared" si="13"/>
        <v>--</v>
      </c>
      <c r="Z27" s="698">
        <f t="shared" si="14"/>
      </c>
      <c r="AA27" s="55">
        <f t="shared" si="15"/>
      </c>
      <c r="AB27" s="3"/>
    </row>
    <row r="28" spans="1:28" ht="16.5" customHeight="1">
      <c r="A28" s="1"/>
      <c r="B28" s="2"/>
      <c r="C28" s="496"/>
      <c r="D28" s="496"/>
      <c r="E28" s="496"/>
      <c r="F28" s="497"/>
      <c r="G28" s="498"/>
      <c r="H28" s="499"/>
      <c r="I28" s="268">
        <f t="shared" si="0"/>
        <v>17.4305</v>
      </c>
      <c r="J28" s="504"/>
      <c r="K28" s="504"/>
      <c r="L28" s="13">
        <f t="shared" si="1"/>
      </c>
      <c r="M28" s="14">
        <f t="shared" si="2"/>
      </c>
      <c r="N28" s="505"/>
      <c r="O28" s="687">
        <f t="shared" si="3"/>
      </c>
      <c r="P28" s="688" t="str">
        <f t="shared" si="4"/>
        <v>--</v>
      </c>
      <c r="Q28" s="689" t="str">
        <f t="shared" si="5"/>
        <v>--</v>
      </c>
      <c r="R28" s="690" t="str">
        <f t="shared" si="6"/>
        <v>--</v>
      </c>
      <c r="S28" s="691" t="str">
        <f t="shared" si="7"/>
        <v>--</v>
      </c>
      <c r="T28" s="692" t="str">
        <f t="shared" si="8"/>
        <v>--</v>
      </c>
      <c r="U28" s="693" t="str">
        <f t="shared" si="9"/>
        <v>--</v>
      </c>
      <c r="V28" s="694" t="str">
        <f t="shared" si="10"/>
        <v>--</v>
      </c>
      <c r="W28" s="695" t="str">
        <f t="shared" si="11"/>
        <v>--</v>
      </c>
      <c r="X28" s="696" t="str">
        <f t="shared" si="12"/>
        <v>--</v>
      </c>
      <c r="Y28" s="697" t="str">
        <f t="shared" si="13"/>
        <v>--</v>
      </c>
      <c r="Z28" s="698">
        <f t="shared" si="14"/>
      </c>
      <c r="AA28" s="55">
        <f t="shared" si="15"/>
      </c>
      <c r="AB28" s="3"/>
    </row>
    <row r="29" spans="1:28" ht="16.5" customHeight="1">
      <c r="A29" s="1"/>
      <c r="B29" s="2"/>
      <c r="C29" s="496"/>
      <c r="D29" s="496"/>
      <c r="E29" s="496"/>
      <c r="F29" s="497"/>
      <c r="G29" s="498"/>
      <c r="H29" s="499"/>
      <c r="I29" s="268">
        <f t="shared" si="0"/>
        <v>17.4305</v>
      </c>
      <c r="J29" s="504"/>
      <c r="K29" s="504"/>
      <c r="L29" s="13">
        <f t="shared" si="1"/>
      </c>
      <c r="M29" s="14">
        <f t="shared" si="2"/>
      </c>
      <c r="N29" s="505"/>
      <c r="O29" s="687">
        <f t="shared" si="3"/>
      </c>
      <c r="P29" s="688" t="str">
        <f t="shared" si="4"/>
        <v>--</v>
      </c>
      <c r="Q29" s="689" t="str">
        <f t="shared" si="5"/>
        <v>--</v>
      </c>
      <c r="R29" s="690" t="str">
        <f t="shared" si="6"/>
        <v>--</v>
      </c>
      <c r="S29" s="691" t="str">
        <f t="shared" si="7"/>
        <v>--</v>
      </c>
      <c r="T29" s="692" t="str">
        <f t="shared" si="8"/>
        <v>--</v>
      </c>
      <c r="U29" s="693" t="str">
        <f t="shared" si="9"/>
        <v>--</v>
      </c>
      <c r="V29" s="694" t="str">
        <f t="shared" si="10"/>
        <v>--</v>
      </c>
      <c r="W29" s="695" t="str">
        <f t="shared" si="11"/>
        <v>--</v>
      </c>
      <c r="X29" s="696" t="str">
        <f t="shared" si="12"/>
        <v>--</v>
      </c>
      <c r="Y29" s="697" t="str">
        <f t="shared" si="13"/>
        <v>--</v>
      </c>
      <c r="Z29" s="698">
        <f t="shared" si="14"/>
      </c>
      <c r="AA29" s="55">
        <f t="shared" si="15"/>
      </c>
      <c r="AB29" s="3"/>
    </row>
    <row r="30" spans="1:28" ht="16.5" customHeight="1">
      <c r="A30" s="1"/>
      <c r="B30" s="2"/>
      <c r="C30" s="496"/>
      <c r="D30" s="496"/>
      <c r="E30" s="496"/>
      <c r="F30" s="497"/>
      <c r="G30" s="498"/>
      <c r="H30" s="499"/>
      <c r="I30" s="268">
        <f t="shared" si="0"/>
        <v>17.4305</v>
      </c>
      <c r="J30" s="504"/>
      <c r="K30" s="504"/>
      <c r="L30" s="13">
        <f t="shared" si="1"/>
      </c>
      <c r="M30" s="14">
        <f t="shared" si="2"/>
      </c>
      <c r="N30" s="505"/>
      <c r="O30" s="687">
        <f t="shared" si="3"/>
      </c>
      <c r="P30" s="688" t="str">
        <f t="shared" si="4"/>
        <v>--</v>
      </c>
      <c r="Q30" s="689" t="str">
        <f t="shared" si="5"/>
        <v>--</v>
      </c>
      <c r="R30" s="690" t="str">
        <f t="shared" si="6"/>
        <v>--</v>
      </c>
      <c r="S30" s="691" t="str">
        <f t="shared" si="7"/>
        <v>--</v>
      </c>
      <c r="T30" s="692" t="str">
        <f t="shared" si="8"/>
        <v>--</v>
      </c>
      <c r="U30" s="693" t="str">
        <f t="shared" si="9"/>
        <v>--</v>
      </c>
      <c r="V30" s="694" t="str">
        <f t="shared" si="10"/>
        <v>--</v>
      </c>
      <c r="W30" s="695" t="str">
        <f t="shared" si="11"/>
        <v>--</v>
      </c>
      <c r="X30" s="696" t="str">
        <f t="shared" si="12"/>
        <v>--</v>
      </c>
      <c r="Y30" s="697" t="str">
        <f t="shared" si="13"/>
        <v>--</v>
      </c>
      <c r="Z30" s="698">
        <f t="shared" si="14"/>
      </c>
      <c r="AA30" s="55">
        <f t="shared" si="15"/>
      </c>
      <c r="AB30" s="3"/>
    </row>
    <row r="31" spans="1:28" ht="16.5" customHeight="1">
      <c r="A31" s="1"/>
      <c r="B31" s="2"/>
      <c r="C31" s="496"/>
      <c r="D31" s="496"/>
      <c r="E31" s="496"/>
      <c r="F31" s="497"/>
      <c r="G31" s="498"/>
      <c r="H31" s="499"/>
      <c r="I31" s="268">
        <f t="shared" si="0"/>
        <v>17.4305</v>
      </c>
      <c r="J31" s="504"/>
      <c r="K31" s="504"/>
      <c r="L31" s="13">
        <f t="shared" si="1"/>
      </c>
      <c r="M31" s="14">
        <f t="shared" si="2"/>
      </c>
      <c r="N31" s="505"/>
      <c r="O31" s="687">
        <f t="shared" si="3"/>
      </c>
      <c r="P31" s="688" t="str">
        <f t="shared" si="4"/>
        <v>--</v>
      </c>
      <c r="Q31" s="689" t="str">
        <f t="shared" si="5"/>
        <v>--</v>
      </c>
      <c r="R31" s="690" t="str">
        <f t="shared" si="6"/>
        <v>--</v>
      </c>
      <c r="S31" s="691" t="str">
        <f t="shared" si="7"/>
        <v>--</v>
      </c>
      <c r="T31" s="692" t="str">
        <f t="shared" si="8"/>
        <v>--</v>
      </c>
      <c r="U31" s="693" t="str">
        <f t="shared" si="9"/>
        <v>--</v>
      </c>
      <c r="V31" s="694" t="str">
        <f t="shared" si="10"/>
        <v>--</v>
      </c>
      <c r="W31" s="695" t="str">
        <f t="shared" si="11"/>
        <v>--</v>
      </c>
      <c r="X31" s="696" t="str">
        <f t="shared" si="12"/>
        <v>--</v>
      </c>
      <c r="Y31" s="697" t="str">
        <f t="shared" si="13"/>
        <v>--</v>
      </c>
      <c r="Z31" s="698">
        <f t="shared" si="14"/>
      </c>
      <c r="AA31" s="55">
        <f t="shared" si="15"/>
      </c>
      <c r="AB31" s="3"/>
    </row>
    <row r="32" spans="1:28" ht="16.5" customHeight="1">
      <c r="A32" s="1"/>
      <c r="B32" s="2"/>
      <c r="C32" s="496"/>
      <c r="D32" s="496"/>
      <c r="E32" s="496"/>
      <c r="F32" s="497"/>
      <c r="G32" s="498"/>
      <c r="H32" s="499"/>
      <c r="I32" s="268">
        <f t="shared" si="0"/>
        <v>17.4305</v>
      </c>
      <c r="J32" s="504"/>
      <c r="K32" s="504"/>
      <c r="L32" s="13">
        <f t="shared" si="1"/>
      </c>
      <c r="M32" s="14">
        <f t="shared" si="2"/>
      </c>
      <c r="N32" s="505"/>
      <c r="O32" s="687">
        <f t="shared" si="3"/>
      </c>
      <c r="P32" s="688" t="str">
        <f t="shared" si="4"/>
        <v>--</v>
      </c>
      <c r="Q32" s="689" t="str">
        <f t="shared" si="5"/>
        <v>--</v>
      </c>
      <c r="R32" s="690" t="str">
        <f t="shared" si="6"/>
        <v>--</v>
      </c>
      <c r="S32" s="691" t="str">
        <f t="shared" si="7"/>
        <v>--</v>
      </c>
      <c r="T32" s="692" t="str">
        <f t="shared" si="8"/>
        <v>--</v>
      </c>
      <c r="U32" s="693" t="str">
        <f t="shared" si="9"/>
        <v>--</v>
      </c>
      <c r="V32" s="694" t="str">
        <f t="shared" si="10"/>
        <v>--</v>
      </c>
      <c r="W32" s="695" t="str">
        <f t="shared" si="11"/>
        <v>--</v>
      </c>
      <c r="X32" s="696" t="str">
        <f t="shared" si="12"/>
        <v>--</v>
      </c>
      <c r="Y32" s="697" t="str">
        <f t="shared" si="13"/>
        <v>--</v>
      </c>
      <c r="Z32" s="698">
        <f t="shared" si="14"/>
      </c>
      <c r="AA32" s="55">
        <f t="shared" si="15"/>
      </c>
      <c r="AB32" s="3"/>
    </row>
    <row r="33" spans="1:28" ht="16.5" customHeight="1">
      <c r="A33" s="1"/>
      <c r="B33" s="2"/>
      <c r="C33" s="496"/>
      <c r="D33" s="496"/>
      <c r="E33" s="496"/>
      <c r="F33" s="497"/>
      <c r="G33" s="498"/>
      <c r="H33" s="499"/>
      <c r="I33" s="268">
        <f t="shared" si="0"/>
        <v>17.4305</v>
      </c>
      <c r="J33" s="504"/>
      <c r="K33" s="504"/>
      <c r="L33" s="13">
        <f t="shared" si="1"/>
      </c>
      <c r="M33" s="14">
        <f t="shared" si="2"/>
      </c>
      <c r="N33" s="505"/>
      <c r="O33" s="687">
        <f t="shared" si="3"/>
      </c>
      <c r="P33" s="688" t="str">
        <f t="shared" si="4"/>
        <v>--</v>
      </c>
      <c r="Q33" s="689" t="str">
        <f t="shared" si="5"/>
        <v>--</v>
      </c>
      <c r="R33" s="690" t="str">
        <f t="shared" si="6"/>
        <v>--</v>
      </c>
      <c r="S33" s="691" t="str">
        <f t="shared" si="7"/>
        <v>--</v>
      </c>
      <c r="T33" s="692" t="str">
        <f t="shared" si="8"/>
        <v>--</v>
      </c>
      <c r="U33" s="693" t="str">
        <f t="shared" si="9"/>
        <v>--</v>
      </c>
      <c r="V33" s="694" t="str">
        <f t="shared" si="10"/>
        <v>--</v>
      </c>
      <c r="W33" s="695" t="str">
        <f t="shared" si="11"/>
        <v>--</v>
      </c>
      <c r="X33" s="696" t="str">
        <f t="shared" si="12"/>
        <v>--</v>
      </c>
      <c r="Y33" s="697" t="str">
        <f t="shared" si="13"/>
        <v>--</v>
      </c>
      <c r="Z33" s="698">
        <f t="shared" si="14"/>
      </c>
      <c r="AA33" s="55">
        <f t="shared" si="15"/>
      </c>
      <c r="AB33" s="3"/>
    </row>
    <row r="34" spans="1:28" ht="16.5" customHeight="1">
      <c r="A34" s="1"/>
      <c r="B34" s="2"/>
      <c r="C34" s="496"/>
      <c r="D34" s="496"/>
      <c r="E34" s="496"/>
      <c r="F34" s="497"/>
      <c r="G34" s="498"/>
      <c r="H34" s="499"/>
      <c r="I34" s="268">
        <f t="shared" si="0"/>
        <v>17.4305</v>
      </c>
      <c r="J34" s="504"/>
      <c r="K34" s="504"/>
      <c r="L34" s="13">
        <f t="shared" si="1"/>
      </c>
      <c r="M34" s="14">
        <f t="shared" si="2"/>
      </c>
      <c r="N34" s="505"/>
      <c r="O34" s="687">
        <f t="shared" si="3"/>
      </c>
      <c r="P34" s="688" t="str">
        <f t="shared" si="4"/>
        <v>--</v>
      </c>
      <c r="Q34" s="689" t="str">
        <f t="shared" si="5"/>
        <v>--</v>
      </c>
      <c r="R34" s="690" t="str">
        <f t="shared" si="6"/>
        <v>--</v>
      </c>
      <c r="S34" s="691" t="str">
        <f t="shared" si="7"/>
        <v>--</v>
      </c>
      <c r="T34" s="692" t="str">
        <f t="shared" si="8"/>
        <v>--</v>
      </c>
      <c r="U34" s="693" t="str">
        <f t="shared" si="9"/>
        <v>--</v>
      </c>
      <c r="V34" s="694" t="str">
        <f t="shared" si="10"/>
        <v>--</v>
      </c>
      <c r="W34" s="695" t="str">
        <f t="shared" si="11"/>
        <v>--</v>
      </c>
      <c r="X34" s="696" t="str">
        <f t="shared" si="12"/>
        <v>--</v>
      </c>
      <c r="Y34" s="697" t="str">
        <f t="shared" si="13"/>
        <v>--</v>
      </c>
      <c r="Z34" s="698">
        <f t="shared" si="14"/>
      </c>
      <c r="AA34" s="55">
        <f t="shared" si="15"/>
      </c>
      <c r="AB34" s="3"/>
    </row>
    <row r="35" spans="1:28" ht="16.5" customHeight="1">
      <c r="A35" s="1"/>
      <c r="B35" s="2"/>
      <c r="C35" s="496"/>
      <c r="D35" s="496"/>
      <c r="E35" s="496"/>
      <c r="F35" s="497"/>
      <c r="G35" s="498"/>
      <c r="H35" s="499"/>
      <c r="I35" s="268">
        <f t="shared" si="0"/>
        <v>17.4305</v>
      </c>
      <c r="J35" s="504"/>
      <c r="K35" s="504"/>
      <c r="L35" s="13">
        <f t="shared" si="1"/>
      </c>
      <c r="M35" s="14">
        <f t="shared" si="2"/>
      </c>
      <c r="N35" s="505"/>
      <c r="O35" s="687">
        <f t="shared" si="3"/>
      </c>
      <c r="P35" s="688" t="str">
        <f t="shared" si="4"/>
        <v>--</v>
      </c>
      <c r="Q35" s="689" t="str">
        <f t="shared" si="5"/>
        <v>--</v>
      </c>
      <c r="R35" s="690" t="str">
        <f t="shared" si="6"/>
        <v>--</v>
      </c>
      <c r="S35" s="691" t="str">
        <f t="shared" si="7"/>
        <v>--</v>
      </c>
      <c r="T35" s="692" t="str">
        <f t="shared" si="8"/>
        <v>--</v>
      </c>
      <c r="U35" s="693" t="str">
        <f t="shared" si="9"/>
        <v>--</v>
      </c>
      <c r="V35" s="694" t="str">
        <f t="shared" si="10"/>
        <v>--</v>
      </c>
      <c r="W35" s="695" t="str">
        <f t="shared" si="11"/>
        <v>--</v>
      </c>
      <c r="X35" s="696" t="str">
        <f t="shared" si="12"/>
        <v>--</v>
      </c>
      <c r="Y35" s="697" t="str">
        <f t="shared" si="13"/>
        <v>--</v>
      </c>
      <c r="Z35" s="698">
        <f t="shared" si="14"/>
      </c>
      <c r="AA35" s="55">
        <f t="shared" si="15"/>
      </c>
      <c r="AB35" s="3"/>
    </row>
    <row r="36" spans="1:28" ht="16.5" customHeight="1">
      <c r="A36" s="1"/>
      <c r="B36" s="2"/>
      <c r="C36" s="496"/>
      <c r="D36" s="496"/>
      <c r="E36" s="496"/>
      <c r="F36" s="497"/>
      <c r="G36" s="498"/>
      <c r="H36" s="499"/>
      <c r="I36" s="268">
        <f t="shared" si="0"/>
        <v>17.4305</v>
      </c>
      <c r="J36" s="504"/>
      <c r="K36" s="504"/>
      <c r="L36" s="13">
        <f t="shared" si="1"/>
      </c>
      <c r="M36" s="14">
        <f t="shared" si="2"/>
      </c>
      <c r="N36" s="505"/>
      <c r="O36" s="687">
        <f t="shared" si="3"/>
      </c>
      <c r="P36" s="688" t="str">
        <f t="shared" si="4"/>
        <v>--</v>
      </c>
      <c r="Q36" s="689" t="str">
        <f t="shared" si="5"/>
        <v>--</v>
      </c>
      <c r="R36" s="690" t="str">
        <f t="shared" si="6"/>
        <v>--</v>
      </c>
      <c r="S36" s="691" t="str">
        <f t="shared" si="7"/>
        <v>--</v>
      </c>
      <c r="T36" s="692" t="str">
        <f t="shared" si="8"/>
        <v>--</v>
      </c>
      <c r="U36" s="693" t="str">
        <f t="shared" si="9"/>
        <v>--</v>
      </c>
      <c r="V36" s="694" t="str">
        <f t="shared" si="10"/>
        <v>--</v>
      </c>
      <c r="W36" s="695" t="str">
        <f t="shared" si="11"/>
        <v>--</v>
      </c>
      <c r="X36" s="696" t="str">
        <f t="shared" si="12"/>
        <v>--</v>
      </c>
      <c r="Y36" s="697" t="str">
        <f t="shared" si="13"/>
        <v>--</v>
      </c>
      <c r="Z36" s="698">
        <f t="shared" si="14"/>
      </c>
      <c r="AA36" s="55">
        <f t="shared" si="15"/>
      </c>
      <c r="AB36" s="3"/>
    </row>
    <row r="37" spans="1:28" ht="16.5" customHeight="1">
      <c r="A37" s="1"/>
      <c r="B37" s="2"/>
      <c r="C37" s="496"/>
      <c r="D37" s="496"/>
      <c r="E37" s="496"/>
      <c r="F37" s="497"/>
      <c r="G37" s="498"/>
      <c r="H37" s="499"/>
      <c r="I37" s="268">
        <f t="shared" si="0"/>
        <v>17.4305</v>
      </c>
      <c r="J37" s="504"/>
      <c r="K37" s="504"/>
      <c r="L37" s="13">
        <f t="shared" si="1"/>
      </c>
      <c r="M37" s="14">
        <f t="shared" si="2"/>
      </c>
      <c r="N37" s="505"/>
      <c r="O37" s="687">
        <f t="shared" si="3"/>
      </c>
      <c r="P37" s="688" t="str">
        <f t="shared" si="4"/>
        <v>--</v>
      </c>
      <c r="Q37" s="689" t="str">
        <f t="shared" si="5"/>
        <v>--</v>
      </c>
      <c r="R37" s="690" t="str">
        <f t="shared" si="6"/>
        <v>--</v>
      </c>
      <c r="S37" s="691" t="str">
        <f t="shared" si="7"/>
        <v>--</v>
      </c>
      <c r="T37" s="692" t="str">
        <f t="shared" si="8"/>
        <v>--</v>
      </c>
      <c r="U37" s="693" t="str">
        <f t="shared" si="9"/>
        <v>--</v>
      </c>
      <c r="V37" s="694" t="str">
        <f t="shared" si="10"/>
        <v>--</v>
      </c>
      <c r="W37" s="695" t="str">
        <f t="shared" si="11"/>
        <v>--</v>
      </c>
      <c r="X37" s="696" t="str">
        <f t="shared" si="12"/>
        <v>--</v>
      </c>
      <c r="Y37" s="697" t="str">
        <f t="shared" si="13"/>
        <v>--</v>
      </c>
      <c r="Z37" s="698">
        <f t="shared" si="14"/>
      </c>
      <c r="AA37" s="55">
        <f t="shared" si="15"/>
      </c>
      <c r="AB37" s="3"/>
    </row>
    <row r="38" spans="2:28" ht="16.5" customHeight="1">
      <c r="B38" s="56"/>
      <c r="C38" s="496"/>
      <c r="D38" s="496"/>
      <c r="E38" s="496"/>
      <c r="F38" s="497"/>
      <c r="G38" s="498"/>
      <c r="H38" s="499"/>
      <c r="I38" s="268">
        <f t="shared" si="0"/>
        <v>17.4305</v>
      </c>
      <c r="J38" s="504"/>
      <c r="K38" s="504"/>
      <c r="L38" s="13">
        <f t="shared" si="1"/>
      </c>
      <c r="M38" s="14">
        <f t="shared" si="2"/>
      </c>
      <c r="N38" s="505"/>
      <c r="O38" s="687">
        <f t="shared" si="3"/>
      </c>
      <c r="P38" s="688" t="str">
        <f t="shared" si="4"/>
        <v>--</v>
      </c>
      <c r="Q38" s="689" t="str">
        <f t="shared" si="5"/>
        <v>--</v>
      </c>
      <c r="R38" s="690" t="str">
        <f t="shared" si="6"/>
        <v>--</v>
      </c>
      <c r="S38" s="691" t="str">
        <f t="shared" si="7"/>
        <v>--</v>
      </c>
      <c r="T38" s="692" t="str">
        <f t="shared" si="8"/>
        <v>--</v>
      </c>
      <c r="U38" s="693" t="str">
        <f t="shared" si="9"/>
        <v>--</v>
      </c>
      <c r="V38" s="694" t="str">
        <f t="shared" si="10"/>
        <v>--</v>
      </c>
      <c r="W38" s="695" t="str">
        <f t="shared" si="11"/>
        <v>--</v>
      </c>
      <c r="X38" s="696" t="str">
        <f t="shared" si="12"/>
        <v>--</v>
      </c>
      <c r="Y38" s="697" t="str">
        <f t="shared" si="13"/>
        <v>--</v>
      </c>
      <c r="Z38" s="698">
        <f t="shared" si="14"/>
      </c>
      <c r="AA38" s="55">
        <f t="shared" si="15"/>
      </c>
      <c r="AB38" s="3"/>
    </row>
    <row r="39" spans="2:28" ht="16.5" customHeight="1">
      <c r="B39" s="56"/>
      <c r="C39" s="496"/>
      <c r="D39" s="496"/>
      <c r="E39" s="496"/>
      <c r="F39" s="497"/>
      <c r="G39" s="498"/>
      <c r="H39" s="499"/>
      <c r="I39" s="268">
        <f t="shared" si="0"/>
        <v>17.4305</v>
      </c>
      <c r="J39" s="504"/>
      <c r="K39" s="504"/>
      <c r="L39" s="13">
        <f t="shared" si="1"/>
      </c>
      <c r="M39" s="14">
        <f t="shared" si="2"/>
      </c>
      <c r="N39" s="505"/>
      <c r="O39" s="687">
        <f t="shared" si="3"/>
      </c>
      <c r="P39" s="688" t="str">
        <f t="shared" si="4"/>
        <v>--</v>
      </c>
      <c r="Q39" s="689" t="str">
        <f t="shared" si="5"/>
        <v>--</v>
      </c>
      <c r="R39" s="690" t="str">
        <f t="shared" si="6"/>
        <v>--</v>
      </c>
      <c r="S39" s="691" t="str">
        <f t="shared" si="7"/>
        <v>--</v>
      </c>
      <c r="T39" s="692" t="str">
        <f t="shared" si="8"/>
        <v>--</v>
      </c>
      <c r="U39" s="693" t="str">
        <f t="shared" si="9"/>
        <v>--</v>
      </c>
      <c r="V39" s="694" t="str">
        <f t="shared" si="10"/>
        <v>--</v>
      </c>
      <c r="W39" s="695" t="str">
        <f t="shared" si="11"/>
        <v>--</v>
      </c>
      <c r="X39" s="696" t="str">
        <f t="shared" si="12"/>
        <v>--</v>
      </c>
      <c r="Y39" s="697" t="str">
        <f t="shared" si="13"/>
        <v>--</v>
      </c>
      <c r="Z39" s="698">
        <f t="shared" si="14"/>
      </c>
      <c r="AA39" s="55">
        <f t="shared" si="15"/>
      </c>
      <c r="AB39" s="3"/>
    </row>
    <row r="40" spans="2:28" ht="16.5" customHeight="1">
      <c r="B40" s="56"/>
      <c r="C40" s="496"/>
      <c r="D40" s="496"/>
      <c r="E40" s="496"/>
      <c r="F40" s="497"/>
      <c r="G40" s="498"/>
      <c r="H40" s="499"/>
      <c r="I40" s="268">
        <f t="shared" si="0"/>
        <v>17.4305</v>
      </c>
      <c r="J40" s="504"/>
      <c r="K40" s="504"/>
      <c r="L40" s="13">
        <f t="shared" si="1"/>
      </c>
      <c r="M40" s="14">
        <f t="shared" si="2"/>
      </c>
      <c r="N40" s="505"/>
      <c r="O40" s="687">
        <f t="shared" si="3"/>
      </c>
      <c r="P40" s="688" t="str">
        <f t="shared" si="4"/>
        <v>--</v>
      </c>
      <c r="Q40" s="689" t="str">
        <f t="shared" si="5"/>
        <v>--</v>
      </c>
      <c r="R40" s="690" t="str">
        <f t="shared" si="6"/>
        <v>--</v>
      </c>
      <c r="S40" s="691" t="str">
        <f t="shared" si="7"/>
        <v>--</v>
      </c>
      <c r="T40" s="692" t="str">
        <f t="shared" si="8"/>
        <v>--</v>
      </c>
      <c r="U40" s="693" t="str">
        <f t="shared" si="9"/>
        <v>--</v>
      </c>
      <c r="V40" s="694" t="str">
        <f t="shared" si="10"/>
        <v>--</v>
      </c>
      <c r="W40" s="695" t="str">
        <f t="shared" si="11"/>
        <v>--</v>
      </c>
      <c r="X40" s="696" t="str">
        <f t="shared" si="12"/>
        <v>--</v>
      </c>
      <c r="Y40" s="697" t="str">
        <f t="shared" si="13"/>
        <v>--</v>
      </c>
      <c r="Z40" s="698">
        <f t="shared" si="14"/>
      </c>
      <c r="AA40" s="55">
        <f t="shared" si="15"/>
      </c>
      <c r="AB40" s="3"/>
    </row>
    <row r="41" spans="2:28" ht="16.5" customHeight="1">
      <c r="B41" s="56"/>
      <c r="C41" s="496"/>
      <c r="D41" s="496"/>
      <c r="E41" s="496"/>
      <c r="F41" s="497"/>
      <c r="G41" s="498"/>
      <c r="H41" s="499"/>
      <c r="I41" s="268">
        <f t="shared" si="0"/>
        <v>17.4305</v>
      </c>
      <c r="J41" s="504"/>
      <c r="K41" s="504"/>
      <c r="L41" s="13">
        <f t="shared" si="1"/>
      </c>
      <c r="M41" s="14">
        <f t="shared" si="2"/>
      </c>
      <c r="N41" s="505"/>
      <c r="O41" s="687">
        <f t="shared" si="3"/>
      </c>
      <c r="P41" s="688" t="str">
        <f t="shared" si="4"/>
        <v>--</v>
      </c>
      <c r="Q41" s="689" t="str">
        <f t="shared" si="5"/>
        <v>--</v>
      </c>
      <c r="R41" s="690" t="str">
        <f t="shared" si="6"/>
        <v>--</v>
      </c>
      <c r="S41" s="691" t="str">
        <f t="shared" si="7"/>
        <v>--</v>
      </c>
      <c r="T41" s="692" t="str">
        <f t="shared" si="8"/>
        <v>--</v>
      </c>
      <c r="U41" s="693" t="str">
        <f t="shared" si="9"/>
        <v>--</v>
      </c>
      <c r="V41" s="694" t="str">
        <f t="shared" si="10"/>
        <v>--</v>
      </c>
      <c r="W41" s="695" t="str">
        <f t="shared" si="11"/>
        <v>--</v>
      </c>
      <c r="X41" s="696" t="str">
        <f t="shared" si="12"/>
        <v>--</v>
      </c>
      <c r="Y41" s="697" t="str">
        <f t="shared" si="13"/>
        <v>--</v>
      </c>
      <c r="Z41" s="698">
        <f t="shared" si="14"/>
      </c>
      <c r="AA41" s="55">
        <f t="shared" si="15"/>
      </c>
      <c r="AB41" s="3"/>
    </row>
    <row r="42" spans="1:28" ht="16.5" customHeight="1" thickBot="1">
      <c r="A42" s="1"/>
      <c r="B42" s="2"/>
      <c r="C42" s="500"/>
      <c r="D42" s="500"/>
      <c r="E42" s="500"/>
      <c r="F42" s="501"/>
      <c r="G42" s="502"/>
      <c r="H42" s="503"/>
      <c r="I42" s="269"/>
      <c r="J42" s="503"/>
      <c r="K42" s="503"/>
      <c r="L42" s="15"/>
      <c r="M42" s="15"/>
      <c r="N42" s="503"/>
      <c r="O42" s="506"/>
      <c r="P42" s="507"/>
      <c r="Q42" s="508"/>
      <c r="R42" s="509"/>
      <c r="S42" s="510"/>
      <c r="T42" s="511"/>
      <c r="U42" s="512"/>
      <c r="V42" s="513"/>
      <c r="W42" s="514"/>
      <c r="X42" s="515"/>
      <c r="Y42" s="516"/>
      <c r="Z42" s="517"/>
      <c r="AA42" s="57"/>
      <c r="AB42" s="3"/>
    </row>
    <row r="43" spans="1:28" ht="16.5" customHeight="1" thickBot="1" thickTop="1">
      <c r="A43" s="1"/>
      <c r="B43" s="2"/>
      <c r="C43" s="240" t="s">
        <v>64</v>
      </c>
      <c r="D43" s="720" t="s">
        <v>183</v>
      </c>
      <c r="E43" s="682"/>
      <c r="F43" s="241"/>
      <c r="G43" s="16"/>
      <c r="H43" s="17"/>
      <c r="I43" s="58"/>
      <c r="J43" s="58"/>
      <c r="K43" s="58"/>
      <c r="L43" s="58"/>
      <c r="M43" s="58"/>
      <c r="N43" s="58"/>
      <c r="O43" s="59"/>
      <c r="P43" s="327">
        <f aca="true" t="shared" si="16" ref="P43:Y43">ROUND(SUM(P20:P42),2)</f>
        <v>14.72</v>
      </c>
      <c r="Q43" s="328">
        <f t="shared" si="16"/>
        <v>0</v>
      </c>
      <c r="R43" s="329">
        <f t="shared" si="16"/>
        <v>0</v>
      </c>
      <c r="S43" s="329">
        <f t="shared" si="16"/>
        <v>0</v>
      </c>
      <c r="T43" s="330">
        <f t="shared" si="16"/>
        <v>0</v>
      </c>
      <c r="U43" s="331">
        <f t="shared" si="16"/>
        <v>0</v>
      </c>
      <c r="V43" s="331">
        <f t="shared" si="16"/>
        <v>0</v>
      </c>
      <c r="W43" s="332">
        <f t="shared" si="16"/>
        <v>0</v>
      </c>
      <c r="X43" s="333">
        <f t="shared" si="16"/>
        <v>0</v>
      </c>
      <c r="Y43" s="334">
        <f t="shared" si="16"/>
        <v>0</v>
      </c>
      <c r="Z43" s="60"/>
      <c r="AA43" s="686">
        <f>ROUND(SUM(AA20:AA42),2)</f>
        <v>14.72</v>
      </c>
      <c r="AB43" s="61"/>
    </row>
    <row r="44" spans="1:28" s="255" customFormat="1" ht="9.75" thickTop="1">
      <c r="A44" s="244"/>
      <c r="B44" s="245"/>
      <c r="C44" s="242"/>
      <c r="D44" s="242"/>
      <c r="E44" s="242"/>
      <c r="F44" s="243"/>
      <c r="G44" s="246"/>
      <c r="H44" s="247"/>
      <c r="I44" s="248"/>
      <c r="J44" s="248"/>
      <c r="K44" s="248"/>
      <c r="L44" s="248"/>
      <c r="M44" s="248"/>
      <c r="N44" s="248"/>
      <c r="O44" s="249"/>
      <c r="P44" s="250"/>
      <c r="Q44" s="250"/>
      <c r="R44" s="251"/>
      <c r="S44" s="251"/>
      <c r="T44" s="252"/>
      <c r="U44" s="252"/>
      <c r="V44" s="252"/>
      <c r="W44" s="252"/>
      <c r="X44" s="252"/>
      <c r="Y44" s="252"/>
      <c r="Z44" s="252"/>
      <c r="AA44" s="253"/>
      <c r="AB44" s="254"/>
    </row>
    <row r="45" spans="1:28" s="10" customFormat="1" ht="16.5" customHeight="1" thickBot="1">
      <c r="A45" s="8"/>
      <c r="B45" s="4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50"/>
    </row>
    <row r="46" spans="1:28" ht="13.5" thickTop="1">
      <c r="A46" s="1"/>
      <c r="B46" s="1"/>
      <c r="AB46" s="1"/>
    </row>
    <row r="91" spans="1:2" ht="12.75">
      <c r="A91" s="1"/>
      <c r="B91" s="1"/>
    </row>
  </sheetData>
  <sheetProtection/>
  <mergeCells count="1">
    <mergeCell ref="G16:H16"/>
  </mergeCells>
  <printOptions/>
  <pageMargins left="0.3937007874015748" right="0.44" top="0.7874015748031497" bottom="0.7874015748031497" header="0.5118110236220472" footer="0.5118110236220472"/>
  <pageSetup fitToHeight="1" fitToWidth="1" orientation="landscape" paperSize="9" scale="65" r:id="rId3"/>
  <headerFooter alignWithMargins="0">
    <oddFooter>&amp;L&amp;"Times New Roman,Normal"&amp;8&amp;Z&amp;F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zoomScale="70" zoomScaleNormal="70" zoomScalePageLayoutView="0" workbookViewId="0" topLeftCell="A1">
      <selection activeCell="I19" sqref="I19"/>
    </sheetView>
  </sheetViews>
  <sheetFormatPr defaultColWidth="11.421875" defaultRowHeight="12.75"/>
  <cols>
    <col min="1" max="2" width="4.140625" style="629" customWidth="1"/>
    <col min="3" max="3" width="5.57421875" style="629" customWidth="1"/>
    <col min="4" max="5" width="13.7109375" style="629" customWidth="1"/>
    <col min="6" max="6" width="27.8515625" style="629" customWidth="1"/>
    <col min="7" max="7" width="27.140625" style="629" customWidth="1"/>
    <col min="8" max="8" width="7.7109375" style="629" customWidth="1"/>
    <col min="9" max="9" width="12.7109375" style="629" customWidth="1"/>
    <col min="10" max="10" width="11.8515625" style="629" hidden="1" customWidth="1"/>
    <col min="11" max="12" width="15.7109375" style="629" customWidth="1"/>
    <col min="13" max="15" width="9.7109375" style="629" customWidth="1"/>
    <col min="16" max="16" width="5.8515625" style="629" customWidth="1"/>
    <col min="17" max="18" width="7.00390625" style="629" customWidth="1"/>
    <col min="19" max="19" width="11.7109375" style="629" hidden="1" customWidth="1"/>
    <col min="20" max="21" width="14.00390625" style="629" hidden="1" customWidth="1"/>
    <col min="22" max="22" width="14.28125" style="629" hidden="1" customWidth="1"/>
    <col min="23" max="27" width="14.140625" style="629" hidden="1" customWidth="1"/>
    <col min="28" max="28" width="9.00390625" style="629" customWidth="1"/>
    <col min="29" max="29" width="15.7109375" style="629" customWidth="1"/>
    <col min="30" max="30" width="4.140625" style="629" customWidth="1"/>
    <col min="31" max="16384" width="11.421875" style="629" customWidth="1"/>
  </cols>
  <sheetData>
    <row r="1" spans="1:30" s="535" customFormat="1" ht="26.25">
      <c r="A1" s="109"/>
      <c r="B1" s="109"/>
      <c r="C1" s="109"/>
      <c r="D1" s="109"/>
      <c r="E1" s="109"/>
      <c r="F1" s="109"/>
      <c r="G1" s="109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  <c r="AA1" s="533"/>
      <c r="AB1" s="533"/>
      <c r="AC1" s="533"/>
      <c r="AD1" s="534"/>
    </row>
    <row r="2" spans="1:30" s="535" customFormat="1" ht="26.25">
      <c r="A2" s="109"/>
      <c r="B2" s="110" t="str">
        <f>+'TOT-0214'!B2</f>
        <v>ANEXO II al Memorándum  D.T.E.E.  N°  223 /2016               .-</v>
      </c>
      <c r="C2" s="111"/>
      <c r="D2" s="111"/>
      <c r="E2" s="111"/>
      <c r="F2" s="111"/>
      <c r="G2" s="111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36"/>
      <c r="V2" s="536"/>
      <c r="W2" s="536"/>
      <c r="X2" s="536"/>
      <c r="Y2" s="536"/>
      <c r="Z2" s="536"/>
      <c r="AA2" s="536"/>
      <c r="AB2" s="536"/>
      <c r="AC2" s="536"/>
      <c r="AD2" s="536"/>
    </row>
    <row r="3" spans="1:30" s="538" customFormat="1" ht="12.75">
      <c r="A3" s="10"/>
      <c r="B3" s="10"/>
      <c r="C3" s="10"/>
      <c r="D3" s="10"/>
      <c r="E3" s="10"/>
      <c r="F3" s="10"/>
      <c r="G3" s="10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7"/>
      <c r="U3" s="537"/>
      <c r="V3" s="537"/>
      <c r="W3" s="537"/>
      <c r="X3" s="537"/>
      <c r="Y3" s="537"/>
      <c r="Z3" s="537"/>
      <c r="AA3" s="537"/>
      <c r="AB3" s="537"/>
      <c r="AC3" s="537"/>
      <c r="AD3" s="537"/>
    </row>
    <row r="4" spans="1:30" s="540" customFormat="1" ht="11.25">
      <c r="A4" s="685" t="s">
        <v>16</v>
      </c>
      <c r="B4" s="112"/>
      <c r="C4" s="684"/>
      <c r="D4" s="684"/>
      <c r="E4" s="684"/>
      <c r="F4" s="112"/>
      <c r="G4" s="112"/>
      <c r="H4" s="539"/>
      <c r="I4" s="539"/>
      <c r="J4" s="539"/>
      <c r="K4" s="539"/>
      <c r="L4" s="539"/>
      <c r="M4" s="539"/>
      <c r="N4" s="539"/>
      <c r="O4" s="539"/>
      <c r="P4" s="539"/>
      <c r="Q4" s="539"/>
      <c r="R4" s="539"/>
      <c r="S4" s="539"/>
      <c r="T4" s="539"/>
      <c r="U4" s="539"/>
      <c r="V4" s="539"/>
      <c r="W4" s="539"/>
      <c r="X4" s="539"/>
      <c r="Y4" s="539"/>
      <c r="Z4" s="539"/>
      <c r="AA4" s="539"/>
      <c r="AB4" s="539"/>
      <c r="AC4" s="539"/>
      <c r="AD4" s="539"/>
    </row>
    <row r="5" spans="1:30" s="540" customFormat="1" ht="11.25">
      <c r="A5" s="685" t="s">
        <v>146</v>
      </c>
      <c r="B5" s="112"/>
      <c r="C5" s="684"/>
      <c r="D5" s="684"/>
      <c r="E5" s="684"/>
      <c r="F5" s="112"/>
      <c r="G5" s="112"/>
      <c r="H5" s="539"/>
      <c r="I5" s="539"/>
      <c r="J5" s="539"/>
      <c r="K5" s="539"/>
      <c r="L5" s="539"/>
      <c r="M5" s="539"/>
      <c r="N5" s="539"/>
      <c r="O5" s="539"/>
      <c r="P5" s="539"/>
      <c r="Q5" s="539"/>
      <c r="R5" s="539"/>
      <c r="S5" s="539"/>
      <c r="T5" s="539"/>
      <c r="U5" s="539"/>
      <c r="V5" s="539"/>
      <c r="W5" s="539"/>
      <c r="X5" s="539"/>
      <c r="Y5" s="539"/>
      <c r="Z5" s="539"/>
      <c r="AA5" s="539"/>
      <c r="AB5" s="539"/>
      <c r="AC5" s="539"/>
      <c r="AD5" s="539"/>
    </row>
    <row r="6" spans="1:30" s="538" customFormat="1" ht="13.5" thickBot="1">
      <c r="A6" s="537"/>
      <c r="B6" s="537"/>
      <c r="C6" s="537"/>
      <c r="D6" s="537"/>
      <c r="E6" s="537"/>
      <c r="F6" s="537"/>
      <c r="G6" s="537"/>
      <c r="H6" s="537"/>
      <c r="I6" s="537"/>
      <c r="J6" s="537"/>
      <c r="K6" s="537"/>
      <c r="L6" s="537"/>
      <c r="M6" s="537"/>
      <c r="N6" s="537"/>
      <c r="O6" s="537"/>
      <c r="P6" s="537"/>
      <c r="Q6" s="537"/>
      <c r="R6" s="537"/>
      <c r="S6" s="537"/>
      <c r="T6" s="537"/>
      <c r="U6" s="537"/>
      <c r="V6" s="537"/>
      <c r="W6" s="537"/>
      <c r="X6" s="537"/>
      <c r="Y6" s="537"/>
      <c r="Z6" s="537"/>
      <c r="AA6" s="537"/>
      <c r="AB6" s="537"/>
      <c r="AC6" s="537"/>
      <c r="AD6" s="537"/>
    </row>
    <row r="7" spans="1:30" s="538" customFormat="1" ht="13.5" thickTop="1">
      <c r="A7" s="537"/>
      <c r="B7" s="541"/>
      <c r="C7" s="542"/>
      <c r="D7" s="542"/>
      <c r="E7" s="542"/>
      <c r="F7" s="542"/>
      <c r="G7" s="542"/>
      <c r="H7" s="542"/>
      <c r="I7" s="542"/>
      <c r="J7" s="542"/>
      <c r="K7" s="542"/>
      <c r="L7" s="542"/>
      <c r="M7" s="542"/>
      <c r="N7" s="542"/>
      <c r="O7" s="542"/>
      <c r="P7" s="542"/>
      <c r="Q7" s="542"/>
      <c r="R7" s="542"/>
      <c r="S7" s="542"/>
      <c r="T7" s="542"/>
      <c r="U7" s="542"/>
      <c r="V7" s="542"/>
      <c r="W7" s="542"/>
      <c r="X7" s="542"/>
      <c r="Y7" s="542"/>
      <c r="Z7" s="542"/>
      <c r="AA7" s="542"/>
      <c r="AB7" s="542"/>
      <c r="AC7" s="542"/>
      <c r="AD7" s="543"/>
    </row>
    <row r="8" spans="1:30" s="547" customFormat="1" ht="20.25">
      <c r="A8" s="544"/>
      <c r="B8" s="545"/>
      <c r="C8" s="190"/>
      <c r="D8" s="190"/>
      <c r="E8" s="190"/>
      <c r="F8" s="546" t="s">
        <v>40</v>
      </c>
      <c r="H8" s="190"/>
      <c r="I8" s="544"/>
      <c r="J8" s="544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548"/>
    </row>
    <row r="9" spans="1:30" s="538" customFormat="1" ht="12.75">
      <c r="A9" s="537"/>
      <c r="B9" s="549"/>
      <c r="C9" s="176"/>
      <c r="D9" s="176"/>
      <c r="E9" s="176"/>
      <c r="F9" s="176"/>
      <c r="G9" s="176"/>
      <c r="H9" s="176"/>
      <c r="I9" s="537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550"/>
    </row>
    <row r="10" spans="1:30" s="547" customFormat="1" ht="20.25">
      <c r="A10" s="544"/>
      <c r="B10" s="545"/>
      <c r="C10" s="190"/>
      <c r="D10" s="190"/>
      <c r="E10" s="190"/>
      <c r="F10" s="546" t="s">
        <v>65</v>
      </c>
      <c r="G10" s="190"/>
      <c r="H10" s="190"/>
      <c r="I10" s="544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548"/>
    </row>
    <row r="11" spans="1:30" s="538" customFormat="1" ht="12.75">
      <c r="A11" s="537"/>
      <c r="B11" s="549"/>
      <c r="C11" s="176"/>
      <c r="D11" s="176"/>
      <c r="E11" s="176"/>
      <c r="F11" s="551"/>
      <c r="G11" s="176"/>
      <c r="H11" s="176"/>
      <c r="I11" s="537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550"/>
    </row>
    <row r="12" spans="1:30" s="547" customFormat="1" ht="20.25">
      <c r="A12" s="544"/>
      <c r="B12" s="545"/>
      <c r="C12" s="190"/>
      <c r="D12" s="190"/>
      <c r="E12" s="190"/>
      <c r="F12" s="546" t="s">
        <v>66</v>
      </c>
      <c r="G12" s="552"/>
      <c r="H12" s="544"/>
      <c r="I12" s="544"/>
      <c r="J12" s="190"/>
      <c r="K12" s="190"/>
      <c r="L12" s="544"/>
      <c r="M12" s="544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548"/>
    </row>
    <row r="13" spans="1:30" s="538" customFormat="1" ht="12.75">
      <c r="A13" s="537"/>
      <c r="B13" s="549"/>
      <c r="C13" s="176"/>
      <c r="D13" s="176"/>
      <c r="E13" s="176"/>
      <c r="F13" s="553"/>
      <c r="G13" s="554"/>
      <c r="H13" s="537"/>
      <c r="I13" s="537"/>
      <c r="J13" s="176"/>
      <c r="K13" s="176"/>
      <c r="L13" s="537"/>
      <c r="M13" s="537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550"/>
    </row>
    <row r="14" spans="1:30" s="547" customFormat="1" ht="20.25">
      <c r="A14" s="544"/>
      <c r="B14" s="545"/>
      <c r="C14" s="190"/>
      <c r="D14" s="190"/>
      <c r="E14" s="190"/>
      <c r="F14" s="546" t="s">
        <v>67</v>
      </c>
      <c r="G14" s="191"/>
      <c r="H14" s="191"/>
      <c r="I14" s="192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548"/>
    </row>
    <row r="15" spans="1:30" s="538" customFormat="1" ht="12.75">
      <c r="A15" s="537"/>
      <c r="B15" s="549"/>
      <c r="C15" s="176"/>
      <c r="D15" s="176"/>
      <c r="E15" s="176"/>
      <c r="F15" s="555"/>
      <c r="G15" s="177"/>
      <c r="H15" s="177"/>
      <c r="I15" s="178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550"/>
    </row>
    <row r="16" spans="1:30" s="561" customFormat="1" ht="19.5">
      <c r="A16" s="556"/>
      <c r="B16" s="87" t="str">
        <f>+'TOT-0214'!B14</f>
        <v>Desde el 01 al 28 de febrero de 2014</v>
      </c>
      <c r="C16" s="557"/>
      <c r="D16" s="557"/>
      <c r="E16" s="557"/>
      <c r="F16" s="557"/>
      <c r="G16" s="557"/>
      <c r="H16" s="557"/>
      <c r="I16" s="558"/>
      <c r="J16" s="557"/>
      <c r="K16" s="559"/>
      <c r="L16" s="559"/>
      <c r="M16" s="557"/>
      <c r="N16" s="557"/>
      <c r="O16" s="557"/>
      <c r="P16" s="557"/>
      <c r="Q16" s="557"/>
      <c r="R16" s="557"/>
      <c r="S16" s="557"/>
      <c r="T16" s="557"/>
      <c r="U16" s="557"/>
      <c r="V16" s="557"/>
      <c r="W16" s="557"/>
      <c r="X16" s="557"/>
      <c r="Y16" s="557"/>
      <c r="Z16" s="557"/>
      <c r="AA16" s="557"/>
      <c r="AB16" s="557"/>
      <c r="AC16" s="557"/>
      <c r="AD16" s="560"/>
    </row>
    <row r="17" spans="1:30" s="538" customFormat="1" ht="14.25" thickBot="1">
      <c r="A17" s="537"/>
      <c r="B17" s="549"/>
      <c r="C17" s="176"/>
      <c r="D17" s="176"/>
      <c r="E17" s="176"/>
      <c r="F17" s="176"/>
      <c r="G17" s="176"/>
      <c r="H17" s="176"/>
      <c r="I17" s="37"/>
      <c r="J17" s="176"/>
      <c r="K17" s="562"/>
      <c r="L17" s="563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550"/>
    </row>
    <row r="18" spans="1:30" s="538" customFormat="1" ht="16.5" customHeight="1" thickBot="1" thickTop="1">
      <c r="A18" s="537"/>
      <c r="B18" s="549"/>
      <c r="C18" s="176"/>
      <c r="D18" s="176"/>
      <c r="E18" s="176"/>
      <c r="F18" s="197" t="s">
        <v>68</v>
      </c>
      <c r="G18" s="198"/>
      <c r="H18" s="564"/>
      <c r="I18" s="565">
        <v>0.66</v>
      </c>
      <c r="J18" s="537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550"/>
    </row>
    <row r="19" spans="1:30" s="538" customFormat="1" ht="16.5" customHeight="1" thickBot="1" thickTop="1">
      <c r="A19" s="537"/>
      <c r="B19" s="549"/>
      <c r="C19" s="176"/>
      <c r="D19" s="176"/>
      <c r="E19" s="176"/>
      <c r="F19" s="200" t="s">
        <v>69</v>
      </c>
      <c r="G19" s="201"/>
      <c r="H19" s="201"/>
      <c r="I19" s="202">
        <v>30</v>
      </c>
      <c r="J19" s="176"/>
      <c r="K19" s="236" t="str">
        <f>IF(I19=30," ",IF(I19=60,"Coeficiente duplicado por tasa de falla &gt;4 Sal. x año/100 km.","REVISAR COEFICIENTE"))</f>
        <v> </v>
      </c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566"/>
      <c r="X19" s="566"/>
      <c r="Y19" s="566"/>
      <c r="Z19" s="566"/>
      <c r="AA19" s="566"/>
      <c r="AB19" s="566"/>
      <c r="AC19" s="566"/>
      <c r="AD19" s="550"/>
    </row>
    <row r="20" spans="1:30" s="713" customFormat="1" ht="16.5" customHeight="1" thickBot="1" thickTop="1">
      <c r="A20" s="709"/>
      <c r="B20" s="710"/>
      <c r="C20" s="711">
        <v>3</v>
      </c>
      <c r="D20" s="711">
        <v>4</v>
      </c>
      <c r="E20" s="711">
        <v>5</v>
      </c>
      <c r="F20" s="711">
        <v>6</v>
      </c>
      <c r="G20" s="711">
        <v>7</v>
      </c>
      <c r="H20" s="711">
        <v>8</v>
      </c>
      <c r="I20" s="711">
        <v>9</v>
      </c>
      <c r="J20" s="711">
        <v>10</v>
      </c>
      <c r="K20" s="711">
        <v>11</v>
      </c>
      <c r="L20" s="711">
        <v>12</v>
      </c>
      <c r="M20" s="711">
        <v>13</v>
      </c>
      <c r="N20" s="711">
        <v>14</v>
      </c>
      <c r="O20" s="711">
        <v>15</v>
      </c>
      <c r="P20" s="711">
        <v>16</v>
      </c>
      <c r="Q20" s="711">
        <v>17</v>
      </c>
      <c r="R20" s="711">
        <v>18</v>
      </c>
      <c r="S20" s="711">
        <v>19</v>
      </c>
      <c r="T20" s="711">
        <v>20</v>
      </c>
      <c r="U20" s="711">
        <v>21</v>
      </c>
      <c r="V20" s="711">
        <v>22</v>
      </c>
      <c r="W20" s="711">
        <v>23</v>
      </c>
      <c r="X20" s="711">
        <v>24</v>
      </c>
      <c r="Y20" s="711">
        <v>25</v>
      </c>
      <c r="Z20" s="711">
        <v>26</v>
      </c>
      <c r="AA20" s="711">
        <v>27</v>
      </c>
      <c r="AB20" s="711">
        <v>28</v>
      </c>
      <c r="AC20" s="711">
        <v>29</v>
      </c>
      <c r="AD20" s="712"/>
    </row>
    <row r="21" spans="1:30" s="576" customFormat="1" ht="33.75" customHeight="1" thickBot="1" thickTop="1">
      <c r="A21" s="567"/>
      <c r="B21" s="568"/>
      <c r="C21" s="212" t="s">
        <v>46</v>
      </c>
      <c r="D21" s="101" t="s">
        <v>145</v>
      </c>
      <c r="E21" s="101" t="s">
        <v>144</v>
      </c>
      <c r="F21" s="211" t="s">
        <v>70</v>
      </c>
      <c r="G21" s="207" t="s">
        <v>14</v>
      </c>
      <c r="H21" s="208" t="s">
        <v>71</v>
      </c>
      <c r="I21" s="211" t="s">
        <v>47</v>
      </c>
      <c r="J21" s="265" t="s">
        <v>49</v>
      </c>
      <c r="K21" s="210" t="s">
        <v>72</v>
      </c>
      <c r="L21" s="210" t="s">
        <v>73</v>
      </c>
      <c r="M21" s="211" t="s">
        <v>74</v>
      </c>
      <c r="N21" s="211" t="s">
        <v>75</v>
      </c>
      <c r="O21" s="105" t="s">
        <v>54</v>
      </c>
      <c r="P21" s="212" t="s">
        <v>76</v>
      </c>
      <c r="Q21" s="211" t="s">
        <v>77</v>
      </c>
      <c r="R21" s="207" t="s">
        <v>78</v>
      </c>
      <c r="S21" s="335" t="s">
        <v>79</v>
      </c>
      <c r="T21" s="569" t="s">
        <v>56</v>
      </c>
      <c r="U21" s="570" t="s">
        <v>57</v>
      </c>
      <c r="V21" s="351" t="s">
        <v>80</v>
      </c>
      <c r="W21" s="571"/>
      <c r="X21" s="360" t="s">
        <v>80</v>
      </c>
      <c r="Y21" s="572"/>
      <c r="Z21" s="573" t="s">
        <v>60</v>
      </c>
      <c r="AA21" s="574" t="s">
        <v>61</v>
      </c>
      <c r="AB21" s="211" t="s">
        <v>62</v>
      </c>
      <c r="AC21" s="211" t="s">
        <v>63</v>
      </c>
      <c r="AD21" s="575"/>
    </row>
    <row r="22" spans="1:30" s="538" customFormat="1" ht="16.5" customHeight="1" thickTop="1">
      <c r="A22" s="537"/>
      <c r="B22" s="549"/>
      <c r="C22" s="577"/>
      <c r="D22" s="577"/>
      <c r="E22" s="577"/>
      <c r="F22" s="578"/>
      <c r="G22" s="579"/>
      <c r="H22" s="579"/>
      <c r="I22" s="579"/>
      <c r="J22" s="580"/>
      <c r="K22" s="578"/>
      <c r="L22" s="579"/>
      <c r="M22" s="578"/>
      <c r="N22" s="578"/>
      <c r="O22" s="579"/>
      <c r="P22" s="579"/>
      <c r="Q22" s="579"/>
      <c r="R22" s="579"/>
      <c r="S22" s="581"/>
      <c r="T22" s="582"/>
      <c r="U22" s="583"/>
      <c r="V22" s="584"/>
      <c r="W22" s="585"/>
      <c r="X22" s="586"/>
      <c r="Y22" s="587"/>
      <c r="Z22" s="588"/>
      <c r="AA22" s="589"/>
      <c r="AB22" s="579"/>
      <c r="AC22" s="590"/>
      <c r="AD22" s="550"/>
    </row>
    <row r="23" spans="1:30" s="538" customFormat="1" ht="16.5" customHeight="1">
      <c r="A23" s="537"/>
      <c r="B23" s="549"/>
      <c r="C23" s="577"/>
      <c r="D23" s="577"/>
      <c r="E23" s="577"/>
      <c r="F23" s="591"/>
      <c r="G23" s="591"/>
      <c r="H23" s="591"/>
      <c r="I23" s="591"/>
      <c r="J23" s="592"/>
      <c r="K23" s="593"/>
      <c r="L23" s="591"/>
      <c r="M23" s="593"/>
      <c r="N23" s="593"/>
      <c r="O23" s="591"/>
      <c r="P23" s="591"/>
      <c r="Q23" s="591"/>
      <c r="R23" s="591"/>
      <c r="S23" s="594"/>
      <c r="T23" s="595"/>
      <c r="U23" s="596"/>
      <c r="V23" s="597"/>
      <c r="W23" s="598"/>
      <c r="X23" s="599"/>
      <c r="Y23" s="600"/>
      <c r="Z23" s="601"/>
      <c r="AA23" s="602"/>
      <c r="AB23" s="591"/>
      <c r="AC23" s="603"/>
      <c r="AD23" s="550"/>
    </row>
    <row r="24" spans="1:30" s="538" customFormat="1" ht="16.5" customHeight="1">
      <c r="A24" s="537"/>
      <c r="B24" s="549"/>
      <c r="C24" s="632">
        <v>8</v>
      </c>
      <c r="D24" s="632">
        <v>272523</v>
      </c>
      <c r="E24" s="632">
        <v>3518</v>
      </c>
      <c r="F24" s="497" t="s">
        <v>159</v>
      </c>
      <c r="G24" s="496" t="s">
        <v>8</v>
      </c>
      <c r="H24" s="633">
        <v>15</v>
      </c>
      <c r="I24" s="679" t="s">
        <v>160</v>
      </c>
      <c r="J24" s="268">
        <f aca="true" t="shared" si="0" ref="J24:J39">H24*$I$18</f>
        <v>9.9</v>
      </c>
      <c r="K24" s="636">
        <v>41690.583333333336</v>
      </c>
      <c r="L24" s="636">
        <v>41690.60277777778</v>
      </c>
      <c r="M24" s="26">
        <f aca="true" t="shared" si="1" ref="M24:M39">IF(F24="","",(L24-K24)*24)</f>
        <v>0.46666666661622</v>
      </c>
      <c r="N24" s="27">
        <f aca="true" t="shared" si="2" ref="N24:N39">IF(F24="","",ROUND((L24-K24)*24*60,0))</f>
        <v>28</v>
      </c>
      <c r="O24" s="637" t="s">
        <v>152</v>
      </c>
      <c r="P24" s="25" t="str">
        <f aca="true" t="shared" si="3" ref="P24:P43">IF(F24="","",IF(OR(O24="P",O24="RP"),"--","NO"))</f>
        <v>--</v>
      </c>
      <c r="Q24" s="699" t="str">
        <f aca="true" t="shared" si="4" ref="Q24:Q43">IF(F24="","","--")</f>
        <v>--</v>
      </c>
      <c r="R24" s="25" t="s">
        <v>153</v>
      </c>
      <c r="S24" s="338">
        <f aca="true" t="shared" si="5" ref="S24:S39">$I$19*IF(OR(O24="P",O24="RP"),0.1,1)*IF(R24="SI",1,0.1)</f>
        <v>3</v>
      </c>
      <c r="T24" s="700">
        <f aca="true" t="shared" si="6" ref="T24:T39">IF(O24="P",J24*S24*ROUND(N24/60,2),"--")</f>
        <v>13.959000000000001</v>
      </c>
      <c r="U24" s="701" t="str">
        <f aca="true" t="shared" si="7" ref="U24:U39">IF(O24="RP",J24*S24*ROUND(N24/60,2)*Q24/100,"--")</f>
        <v>--</v>
      </c>
      <c r="V24" s="357" t="str">
        <f aca="true" t="shared" si="8" ref="V24:V39">IF(AND(O24="F",P24="NO"),J24*S24,"--")</f>
        <v>--</v>
      </c>
      <c r="W24" s="358" t="str">
        <f aca="true" t="shared" si="9" ref="W24:W39">IF(O24="F",J24*S24*ROUND(N24/60,2),"--")</f>
        <v>--</v>
      </c>
      <c r="X24" s="366" t="str">
        <f aca="true" t="shared" si="10" ref="X24:X39">IF(AND(O24="R",P24="NO"),J24*S24*Q24/100,"--")</f>
        <v>--</v>
      </c>
      <c r="Y24" s="367" t="str">
        <f aca="true" t="shared" si="11" ref="Y24:Y39">IF(O24="R",J24*S24*ROUND(N24/60,2)*Q24/100,"--")</f>
        <v>--</v>
      </c>
      <c r="Z24" s="372" t="str">
        <f aca="true" t="shared" si="12" ref="Z24:Z39">IF(O24="RF",J24*S24*ROUND(N24/60,2),"--")</f>
        <v>--</v>
      </c>
      <c r="AA24" s="378" t="str">
        <f aca="true" t="shared" si="13" ref="AA24:AA39">IF(O24="RR",J24*S24*ROUND(N24/60,2)*Q24/100,"--")</f>
        <v>--</v>
      </c>
      <c r="AB24" s="25" t="s">
        <v>153</v>
      </c>
      <c r="AC24" s="604">
        <f aca="true" t="shared" si="14" ref="AC24:AC39">IF(F24="","",SUM(T24:AA24)*IF(AB24="SI",1,2))</f>
        <v>13.959000000000001</v>
      </c>
      <c r="AD24" s="605"/>
    </row>
    <row r="25" spans="1:30" s="538" customFormat="1" ht="16.5" customHeight="1">
      <c r="A25" s="537"/>
      <c r="B25" s="549"/>
      <c r="C25" s="632"/>
      <c r="D25" s="632"/>
      <c r="E25" s="632"/>
      <c r="F25" s="497"/>
      <c r="G25" s="496"/>
      <c r="H25" s="633"/>
      <c r="I25" s="679"/>
      <c r="J25" s="268"/>
      <c r="K25" s="636"/>
      <c r="L25" s="636"/>
      <c r="M25" s="26"/>
      <c r="N25" s="27"/>
      <c r="O25" s="637"/>
      <c r="P25" s="25"/>
      <c r="Q25" s="699"/>
      <c r="R25" s="25"/>
      <c r="S25" s="338"/>
      <c r="T25" s="700"/>
      <c r="U25" s="701"/>
      <c r="V25" s="357"/>
      <c r="W25" s="358"/>
      <c r="X25" s="366"/>
      <c r="Y25" s="367"/>
      <c r="Z25" s="372"/>
      <c r="AA25" s="378"/>
      <c r="AB25" s="25"/>
      <c r="AC25" s="604"/>
      <c r="AD25" s="605"/>
    </row>
    <row r="26" spans="1:30" s="538" customFormat="1" ht="16.5" customHeight="1">
      <c r="A26" s="537"/>
      <c r="B26" s="549"/>
      <c r="C26" s="632"/>
      <c r="D26" s="632"/>
      <c r="E26" s="632"/>
      <c r="F26" s="497"/>
      <c r="G26" s="496"/>
      <c r="H26" s="633"/>
      <c r="I26" s="679"/>
      <c r="J26" s="268"/>
      <c r="K26" s="636"/>
      <c r="L26" s="636"/>
      <c r="M26" s="26"/>
      <c r="N26" s="27"/>
      <c r="O26" s="637"/>
      <c r="P26" s="25"/>
      <c r="Q26" s="699"/>
      <c r="R26" s="25"/>
      <c r="S26" s="338"/>
      <c r="T26" s="700"/>
      <c r="U26" s="701"/>
      <c r="V26" s="357"/>
      <c r="W26" s="358"/>
      <c r="X26" s="366"/>
      <c r="Y26" s="367"/>
      <c r="Z26" s="372"/>
      <c r="AA26" s="378"/>
      <c r="AB26" s="25"/>
      <c r="AC26" s="604"/>
      <c r="AD26" s="605"/>
    </row>
    <row r="27" spans="1:30" s="538" customFormat="1" ht="16.5" customHeight="1">
      <c r="A27" s="537"/>
      <c r="B27" s="549"/>
      <c r="C27" s="632"/>
      <c r="D27" s="632"/>
      <c r="E27" s="632"/>
      <c r="F27" s="497"/>
      <c r="G27" s="496"/>
      <c r="H27" s="633"/>
      <c r="I27" s="679"/>
      <c r="J27" s="268"/>
      <c r="K27" s="636"/>
      <c r="L27" s="636"/>
      <c r="M27" s="26"/>
      <c r="N27" s="27"/>
      <c r="O27" s="637"/>
      <c r="P27" s="25"/>
      <c r="Q27" s="699"/>
      <c r="R27" s="25"/>
      <c r="S27" s="338"/>
      <c r="T27" s="700"/>
      <c r="U27" s="701"/>
      <c r="V27" s="357"/>
      <c r="W27" s="358"/>
      <c r="X27" s="366"/>
      <c r="Y27" s="367"/>
      <c r="Z27" s="372"/>
      <c r="AA27" s="378"/>
      <c r="AB27" s="25"/>
      <c r="AC27" s="604"/>
      <c r="AD27" s="605"/>
    </row>
    <row r="28" spans="1:30" s="538" customFormat="1" ht="16.5" customHeight="1">
      <c r="A28" s="537"/>
      <c r="B28" s="549"/>
      <c r="C28" s="632"/>
      <c r="D28" s="632"/>
      <c r="E28" s="632"/>
      <c r="F28" s="497"/>
      <c r="G28" s="496"/>
      <c r="H28" s="633"/>
      <c r="I28" s="679"/>
      <c r="J28" s="268"/>
      <c r="K28" s="636"/>
      <c r="L28" s="636"/>
      <c r="M28" s="26"/>
      <c r="N28" s="27"/>
      <c r="O28" s="637"/>
      <c r="P28" s="25"/>
      <c r="Q28" s="699"/>
      <c r="R28" s="25"/>
      <c r="S28" s="338"/>
      <c r="T28" s="700"/>
      <c r="U28" s="701"/>
      <c r="V28" s="357"/>
      <c r="W28" s="358"/>
      <c r="X28" s="366"/>
      <c r="Y28" s="367"/>
      <c r="Z28" s="372"/>
      <c r="AA28" s="378"/>
      <c r="AB28" s="25"/>
      <c r="AC28" s="604"/>
      <c r="AD28" s="605"/>
    </row>
    <row r="29" spans="1:30" s="538" customFormat="1" ht="16.5" customHeight="1">
      <c r="A29" s="537"/>
      <c r="B29" s="549"/>
      <c r="C29" s="632"/>
      <c r="D29" s="632"/>
      <c r="E29" s="632"/>
      <c r="F29" s="497"/>
      <c r="G29" s="496"/>
      <c r="H29" s="633"/>
      <c r="I29" s="634"/>
      <c r="J29" s="268">
        <f t="shared" si="0"/>
        <v>0</v>
      </c>
      <c r="K29" s="636"/>
      <c r="L29" s="636"/>
      <c r="M29" s="26">
        <f t="shared" si="1"/>
      </c>
      <c r="N29" s="27">
        <f t="shared" si="2"/>
      </c>
      <c r="O29" s="637"/>
      <c r="P29" s="25">
        <f t="shared" si="3"/>
      </c>
      <c r="Q29" s="699">
        <f t="shared" si="4"/>
      </c>
      <c r="R29" s="25">
        <f aca="true" t="shared" si="15" ref="R29:R43">IF(F29="","","NO")</f>
      </c>
      <c r="S29" s="338">
        <f t="shared" si="5"/>
        <v>3</v>
      </c>
      <c r="T29" s="700" t="str">
        <f t="shared" si="6"/>
        <v>--</v>
      </c>
      <c r="U29" s="701" t="str">
        <f t="shared" si="7"/>
        <v>--</v>
      </c>
      <c r="V29" s="357" t="str">
        <f t="shared" si="8"/>
        <v>--</v>
      </c>
      <c r="W29" s="358" t="str">
        <f t="shared" si="9"/>
        <v>--</v>
      </c>
      <c r="X29" s="366" t="str">
        <f t="shared" si="10"/>
        <v>--</v>
      </c>
      <c r="Y29" s="367" t="str">
        <f t="shared" si="11"/>
        <v>--</v>
      </c>
      <c r="Z29" s="372" t="str">
        <f t="shared" si="12"/>
        <v>--</v>
      </c>
      <c r="AA29" s="378" t="str">
        <f t="shared" si="13"/>
        <v>--</v>
      </c>
      <c r="AB29" s="25">
        <f aca="true" t="shared" si="16" ref="AB29:AB39">IF(F29="","","SI")</f>
      </c>
      <c r="AC29" s="604">
        <f t="shared" si="14"/>
      </c>
      <c r="AD29" s="605"/>
    </row>
    <row r="30" spans="1:30" s="538" customFormat="1" ht="16.5" customHeight="1">
      <c r="A30" s="537"/>
      <c r="B30" s="549"/>
      <c r="C30" s="632"/>
      <c r="D30" s="632"/>
      <c r="E30" s="632"/>
      <c r="F30" s="497"/>
      <c r="G30" s="496"/>
      <c r="H30" s="633"/>
      <c r="I30" s="679"/>
      <c r="J30" s="268">
        <f t="shared" si="0"/>
        <v>0</v>
      </c>
      <c r="K30" s="636"/>
      <c r="L30" s="636"/>
      <c r="M30" s="26">
        <f t="shared" si="1"/>
      </c>
      <c r="N30" s="27">
        <f t="shared" si="2"/>
      </c>
      <c r="O30" s="637"/>
      <c r="P30" s="25">
        <f t="shared" si="3"/>
      </c>
      <c r="Q30" s="699">
        <f t="shared" si="4"/>
      </c>
      <c r="R30" s="25">
        <f t="shared" si="15"/>
      </c>
      <c r="S30" s="338">
        <f t="shared" si="5"/>
        <v>3</v>
      </c>
      <c r="T30" s="700" t="str">
        <f t="shared" si="6"/>
        <v>--</v>
      </c>
      <c r="U30" s="701" t="str">
        <f t="shared" si="7"/>
        <v>--</v>
      </c>
      <c r="V30" s="357" t="str">
        <f t="shared" si="8"/>
        <v>--</v>
      </c>
      <c r="W30" s="358" t="str">
        <f t="shared" si="9"/>
        <v>--</v>
      </c>
      <c r="X30" s="366" t="str">
        <f t="shared" si="10"/>
        <v>--</v>
      </c>
      <c r="Y30" s="367" t="str">
        <f t="shared" si="11"/>
        <v>--</v>
      </c>
      <c r="Z30" s="372" t="str">
        <f t="shared" si="12"/>
        <v>--</v>
      </c>
      <c r="AA30" s="378" t="str">
        <f t="shared" si="13"/>
        <v>--</v>
      </c>
      <c r="AB30" s="25">
        <f t="shared" si="16"/>
      </c>
      <c r="AC30" s="604">
        <f t="shared" si="14"/>
      </c>
      <c r="AD30" s="605"/>
    </row>
    <row r="31" spans="1:30" s="538" customFormat="1" ht="16.5" customHeight="1">
      <c r="A31" s="537"/>
      <c r="B31" s="549"/>
      <c r="C31" s="632"/>
      <c r="D31" s="632"/>
      <c r="E31" s="632"/>
      <c r="F31" s="497"/>
      <c r="G31" s="496"/>
      <c r="H31" s="633"/>
      <c r="I31" s="634"/>
      <c r="J31" s="268">
        <f t="shared" si="0"/>
        <v>0</v>
      </c>
      <c r="K31" s="636"/>
      <c r="L31" s="636"/>
      <c r="M31" s="26">
        <f t="shared" si="1"/>
      </c>
      <c r="N31" s="27">
        <f t="shared" si="2"/>
      </c>
      <c r="O31" s="637"/>
      <c r="P31" s="25">
        <f t="shared" si="3"/>
      </c>
      <c r="Q31" s="699">
        <f t="shared" si="4"/>
      </c>
      <c r="R31" s="25">
        <f t="shared" si="15"/>
      </c>
      <c r="S31" s="338">
        <f t="shared" si="5"/>
        <v>3</v>
      </c>
      <c r="T31" s="700" t="str">
        <f t="shared" si="6"/>
        <v>--</v>
      </c>
      <c r="U31" s="701" t="str">
        <f t="shared" si="7"/>
        <v>--</v>
      </c>
      <c r="V31" s="357" t="str">
        <f t="shared" si="8"/>
        <v>--</v>
      </c>
      <c r="W31" s="358" t="str">
        <f t="shared" si="9"/>
        <v>--</v>
      </c>
      <c r="X31" s="366" t="str">
        <f t="shared" si="10"/>
        <v>--</v>
      </c>
      <c r="Y31" s="367" t="str">
        <f t="shared" si="11"/>
        <v>--</v>
      </c>
      <c r="Z31" s="372" t="str">
        <f t="shared" si="12"/>
        <v>--</v>
      </c>
      <c r="AA31" s="378" t="str">
        <f t="shared" si="13"/>
        <v>--</v>
      </c>
      <c r="AB31" s="25">
        <f t="shared" si="16"/>
      </c>
      <c r="AC31" s="604">
        <f t="shared" si="14"/>
      </c>
      <c r="AD31" s="605"/>
    </row>
    <row r="32" spans="1:30" s="538" customFormat="1" ht="16.5" customHeight="1">
      <c r="A32" s="537"/>
      <c r="B32" s="549"/>
      <c r="C32" s="632"/>
      <c r="D32" s="632"/>
      <c r="E32" s="632"/>
      <c r="F32" s="497"/>
      <c r="G32" s="496"/>
      <c r="H32" s="633"/>
      <c r="I32" s="634"/>
      <c r="J32" s="268">
        <f t="shared" si="0"/>
        <v>0</v>
      </c>
      <c r="K32" s="636"/>
      <c r="L32" s="636"/>
      <c r="M32" s="26">
        <f t="shared" si="1"/>
      </c>
      <c r="N32" s="27">
        <f t="shared" si="2"/>
      </c>
      <c r="O32" s="637"/>
      <c r="P32" s="25">
        <f t="shared" si="3"/>
      </c>
      <c r="Q32" s="699">
        <f t="shared" si="4"/>
      </c>
      <c r="R32" s="25">
        <f t="shared" si="15"/>
      </c>
      <c r="S32" s="338">
        <f t="shared" si="5"/>
        <v>3</v>
      </c>
      <c r="T32" s="700" t="str">
        <f t="shared" si="6"/>
        <v>--</v>
      </c>
      <c r="U32" s="701" t="str">
        <f t="shared" si="7"/>
        <v>--</v>
      </c>
      <c r="V32" s="357" t="str">
        <f t="shared" si="8"/>
        <v>--</v>
      </c>
      <c r="W32" s="358" t="str">
        <f t="shared" si="9"/>
        <v>--</v>
      </c>
      <c r="X32" s="366" t="str">
        <f t="shared" si="10"/>
        <v>--</v>
      </c>
      <c r="Y32" s="367" t="str">
        <f t="shared" si="11"/>
        <v>--</v>
      </c>
      <c r="Z32" s="372" t="str">
        <f t="shared" si="12"/>
        <v>--</v>
      </c>
      <c r="AA32" s="378" t="str">
        <f t="shared" si="13"/>
        <v>--</v>
      </c>
      <c r="AB32" s="25">
        <f t="shared" si="16"/>
      </c>
      <c r="AC32" s="604">
        <f t="shared" si="14"/>
      </c>
      <c r="AD32" s="550"/>
    </row>
    <row r="33" spans="1:30" s="538" customFormat="1" ht="16.5" customHeight="1">
      <c r="A33" s="537"/>
      <c r="B33" s="549"/>
      <c r="C33" s="632"/>
      <c r="D33" s="632"/>
      <c r="E33" s="632"/>
      <c r="F33" s="497"/>
      <c r="G33" s="496"/>
      <c r="H33" s="633"/>
      <c r="I33" s="634"/>
      <c r="J33" s="268">
        <f t="shared" si="0"/>
        <v>0</v>
      </c>
      <c r="K33" s="636"/>
      <c r="L33" s="636"/>
      <c r="M33" s="26">
        <f t="shared" si="1"/>
      </c>
      <c r="N33" s="27">
        <f t="shared" si="2"/>
      </c>
      <c r="O33" s="637"/>
      <c r="P33" s="25">
        <f t="shared" si="3"/>
      </c>
      <c r="Q33" s="699">
        <f t="shared" si="4"/>
      </c>
      <c r="R33" s="25">
        <f t="shared" si="15"/>
      </c>
      <c r="S33" s="338">
        <f t="shared" si="5"/>
        <v>3</v>
      </c>
      <c r="T33" s="700" t="str">
        <f t="shared" si="6"/>
        <v>--</v>
      </c>
      <c r="U33" s="701" t="str">
        <f t="shared" si="7"/>
        <v>--</v>
      </c>
      <c r="V33" s="357" t="str">
        <f t="shared" si="8"/>
        <v>--</v>
      </c>
      <c r="W33" s="358" t="str">
        <f t="shared" si="9"/>
        <v>--</v>
      </c>
      <c r="X33" s="366" t="str">
        <f t="shared" si="10"/>
        <v>--</v>
      </c>
      <c r="Y33" s="367" t="str">
        <f t="shared" si="11"/>
        <v>--</v>
      </c>
      <c r="Z33" s="372" t="str">
        <f t="shared" si="12"/>
        <v>--</v>
      </c>
      <c r="AA33" s="378" t="str">
        <f t="shared" si="13"/>
        <v>--</v>
      </c>
      <c r="AB33" s="25">
        <f t="shared" si="16"/>
      </c>
      <c r="AC33" s="604">
        <f t="shared" si="14"/>
      </c>
      <c r="AD33" s="550"/>
    </row>
    <row r="34" spans="1:30" s="538" customFormat="1" ht="16.5" customHeight="1">
      <c r="A34" s="537"/>
      <c r="B34" s="549"/>
      <c r="C34" s="632"/>
      <c r="D34" s="632"/>
      <c r="E34" s="632"/>
      <c r="F34" s="497"/>
      <c r="G34" s="496"/>
      <c r="H34" s="633"/>
      <c r="I34" s="634"/>
      <c r="J34" s="268">
        <f t="shared" si="0"/>
        <v>0</v>
      </c>
      <c r="K34" s="636"/>
      <c r="L34" s="636"/>
      <c r="M34" s="26">
        <f t="shared" si="1"/>
      </c>
      <c r="N34" s="27">
        <f t="shared" si="2"/>
      </c>
      <c r="O34" s="637"/>
      <c r="P34" s="25">
        <f t="shared" si="3"/>
      </c>
      <c r="Q34" s="699">
        <f t="shared" si="4"/>
      </c>
      <c r="R34" s="25">
        <f t="shared" si="15"/>
      </c>
      <c r="S34" s="338">
        <f t="shared" si="5"/>
        <v>3</v>
      </c>
      <c r="T34" s="700" t="str">
        <f t="shared" si="6"/>
        <v>--</v>
      </c>
      <c r="U34" s="701" t="str">
        <f t="shared" si="7"/>
        <v>--</v>
      </c>
      <c r="V34" s="357" t="str">
        <f t="shared" si="8"/>
        <v>--</v>
      </c>
      <c r="W34" s="358" t="str">
        <f t="shared" si="9"/>
        <v>--</v>
      </c>
      <c r="X34" s="366" t="str">
        <f t="shared" si="10"/>
        <v>--</v>
      </c>
      <c r="Y34" s="367" t="str">
        <f t="shared" si="11"/>
        <v>--</v>
      </c>
      <c r="Z34" s="372" t="str">
        <f t="shared" si="12"/>
        <v>--</v>
      </c>
      <c r="AA34" s="378" t="str">
        <f t="shared" si="13"/>
        <v>--</v>
      </c>
      <c r="AB34" s="25">
        <f t="shared" si="16"/>
      </c>
      <c r="AC34" s="604">
        <f t="shared" si="14"/>
      </c>
      <c r="AD34" s="550"/>
    </row>
    <row r="35" spans="1:30" s="538" customFormat="1" ht="16.5" customHeight="1">
      <c r="A35" s="537"/>
      <c r="B35" s="549"/>
      <c r="C35" s="632"/>
      <c r="D35" s="632"/>
      <c r="E35" s="632"/>
      <c r="F35" s="497"/>
      <c r="G35" s="496"/>
      <c r="H35" s="633"/>
      <c r="I35" s="634"/>
      <c r="J35" s="268">
        <f t="shared" si="0"/>
        <v>0</v>
      </c>
      <c r="K35" s="636"/>
      <c r="L35" s="636"/>
      <c r="M35" s="26">
        <f t="shared" si="1"/>
      </c>
      <c r="N35" s="27">
        <f t="shared" si="2"/>
      </c>
      <c r="O35" s="637"/>
      <c r="P35" s="25">
        <f t="shared" si="3"/>
      </c>
      <c r="Q35" s="699">
        <f t="shared" si="4"/>
      </c>
      <c r="R35" s="25">
        <f t="shared" si="15"/>
      </c>
      <c r="S35" s="338">
        <f t="shared" si="5"/>
        <v>3</v>
      </c>
      <c r="T35" s="700" t="str">
        <f t="shared" si="6"/>
        <v>--</v>
      </c>
      <c r="U35" s="701" t="str">
        <f t="shared" si="7"/>
        <v>--</v>
      </c>
      <c r="V35" s="357" t="str">
        <f t="shared" si="8"/>
        <v>--</v>
      </c>
      <c r="W35" s="358" t="str">
        <f t="shared" si="9"/>
        <v>--</v>
      </c>
      <c r="X35" s="366" t="str">
        <f t="shared" si="10"/>
        <v>--</v>
      </c>
      <c r="Y35" s="367" t="str">
        <f t="shared" si="11"/>
        <v>--</v>
      </c>
      <c r="Z35" s="372" t="str">
        <f t="shared" si="12"/>
        <v>--</v>
      </c>
      <c r="AA35" s="378" t="str">
        <f t="shared" si="13"/>
        <v>--</v>
      </c>
      <c r="AB35" s="25">
        <f t="shared" si="16"/>
      </c>
      <c r="AC35" s="604">
        <f t="shared" si="14"/>
      </c>
      <c r="AD35" s="550"/>
    </row>
    <row r="36" spans="1:30" s="538" customFormat="1" ht="16.5" customHeight="1">
      <c r="A36" s="537"/>
      <c r="B36" s="549"/>
      <c r="C36" s="632"/>
      <c r="D36" s="632"/>
      <c r="E36" s="632"/>
      <c r="F36" s="497"/>
      <c r="G36" s="496"/>
      <c r="H36" s="633"/>
      <c r="I36" s="634"/>
      <c r="J36" s="268">
        <f t="shared" si="0"/>
        <v>0</v>
      </c>
      <c r="K36" s="636"/>
      <c r="L36" s="636"/>
      <c r="M36" s="26">
        <f t="shared" si="1"/>
      </c>
      <c r="N36" s="27">
        <f t="shared" si="2"/>
      </c>
      <c r="O36" s="637"/>
      <c r="P36" s="25">
        <f t="shared" si="3"/>
      </c>
      <c r="Q36" s="699">
        <f t="shared" si="4"/>
      </c>
      <c r="R36" s="25">
        <f t="shared" si="15"/>
      </c>
      <c r="S36" s="338">
        <f t="shared" si="5"/>
        <v>3</v>
      </c>
      <c r="T36" s="700" t="str">
        <f t="shared" si="6"/>
        <v>--</v>
      </c>
      <c r="U36" s="701" t="str">
        <f t="shared" si="7"/>
        <v>--</v>
      </c>
      <c r="V36" s="357" t="str">
        <f t="shared" si="8"/>
        <v>--</v>
      </c>
      <c r="W36" s="358" t="str">
        <f t="shared" si="9"/>
        <v>--</v>
      </c>
      <c r="X36" s="366" t="str">
        <f t="shared" si="10"/>
        <v>--</v>
      </c>
      <c r="Y36" s="367" t="str">
        <f t="shared" si="11"/>
        <v>--</v>
      </c>
      <c r="Z36" s="372" t="str">
        <f t="shared" si="12"/>
        <v>--</v>
      </c>
      <c r="AA36" s="378" t="str">
        <f t="shared" si="13"/>
        <v>--</v>
      </c>
      <c r="AB36" s="25">
        <f t="shared" si="16"/>
      </c>
      <c r="AC36" s="604">
        <f t="shared" si="14"/>
      </c>
      <c r="AD36" s="550"/>
    </row>
    <row r="37" spans="1:30" s="538" customFormat="1" ht="16.5" customHeight="1">
      <c r="A37" s="537"/>
      <c r="B37" s="549"/>
      <c r="C37" s="632"/>
      <c r="D37" s="632"/>
      <c r="E37" s="632"/>
      <c r="F37" s="497"/>
      <c r="G37" s="496"/>
      <c r="H37" s="633"/>
      <c r="I37" s="634"/>
      <c r="J37" s="268">
        <f t="shared" si="0"/>
        <v>0</v>
      </c>
      <c r="K37" s="636"/>
      <c r="L37" s="636"/>
      <c r="M37" s="26">
        <f t="shared" si="1"/>
      </c>
      <c r="N37" s="27">
        <f t="shared" si="2"/>
      </c>
      <c r="O37" s="637"/>
      <c r="P37" s="25">
        <f t="shared" si="3"/>
      </c>
      <c r="Q37" s="699">
        <f t="shared" si="4"/>
      </c>
      <c r="R37" s="25">
        <f t="shared" si="15"/>
      </c>
      <c r="S37" s="338">
        <f t="shared" si="5"/>
        <v>3</v>
      </c>
      <c r="T37" s="700" t="str">
        <f t="shared" si="6"/>
        <v>--</v>
      </c>
      <c r="U37" s="701" t="str">
        <f t="shared" si="7"/>
        <v>--</v>
      </c>
      <c r="V37" s="357" t="str">
        <f t="shared" si="8"/>
        <v>--</v>
      </c>
      <c r="W37" s="358" t="str">
        <f t="shared" si="9"/>
        <v>--</v>
      </c>
      <c r="X37" s="366" t="str">
        <f t="shared" si="10"/>
        <v>--</v>
      </c>
      <c r="Y37" s="367" t="str">
        <f t="shared" si="11"/>
        <v>--</v>
      </c>
      <c r="Z37" s="372" t="str">
        <f t="shared" si="12"/>
        <v>--</v>
      </c>
      <c r="AA37" s="378" t="str">
        <f t="shared" si="13"/>
        <v>--</v>
      </c>
      <c r="AB37" s="25">
        <f t="shared" si="16"/>
      </c>
      <c r="AC37" s="604">
        <f t="shared" si="14"/>
      </c>
      <c r="AD37" s="550"/>
    </row>
    <row r="38" spans="1:30" s="538" customFormat="1" ht="16.5" customHeight="1">
      <c r="A38" s="537"/>
      <c r="B38" s="549"/>
      <c r="C38" s="632"/>
      <c r="D38" s="632"/>
      <c r="E38" s="632"/>
      <c r="F38" s="497"/>
      <c r="G38" s="496"/>
      <c r="H38" s="633"/>
      <c r="I38" s="634"/>
      <c r="J38" s="268">
        <f t="shared" si="0"/>
        <v>0</v>
      </c>
      <c r="K38" s="636"/>
      <c r="L38" s="636"/>
      <c r="M38" s="26">
        <f t="shared" si="1"/>
      </c>
      <c r="N38" s="27">
        <f t="shared" si="2"/>
      </c>
      <c r="O38" s="637"/>
      <c r="P38" s="25">
        <f t="shared" si="3"/>
      </c>
      <c r="Q38" s="699">
        <f t="shared" si="4"/>
      </c>
      <c r="R38" s="25">
        <f t="shared" si="15"/>
      </c>
      <c r="S38" s="338">
        <f t="shared" si="5"/>
        <v>3</v>
      </c>
      <c r="T38" s="700" t="str">
        <f t="shared" si="6"/>
        <v>--</v>
      </c>
      <c r="U38" s="701" t="str">
        <f t="shared" si="7"/>
        <v>--</v>
      </c>
      <c r="V38" s="357" t="str">
        <f t="shared" si="8"/>
        <v>--</v>
      </c>
      <c r="W38" s="358" t="str">
        <f t="shared" si="9"/>
        <v>--</v>
      </c>
      <c r="X38" s="366" t="str">
        <f t="shared" si="10"/>
        <v>--</v>
      </c>
      <c r="Y38" s="367" t="str">
        <f t="shared" si="11"/>
        <v>--</v>
      </c>
      <c r="Z38" s="372" t="str">
        <f t="shared" si="12"/>
        <v>--</v>
      </c>
      <c r="AA38" s="378" t="str">
        <f t="shared" si="13"/>
        <v>--</v>
      </c>
      <c r="AB38" s="25">
        <f t="shared" si="16"/>
      </c>
      <c r="AC38" s="604">
        <f t="shared" si="14"/>
      </c>
      <c r="AD38" s="550"/>
    </row>
    <row r="39" spans="1:30" s="538" customFormat="1" ht="16.5" customHeight="1">
      <c r="A39" s="537"/>
      <c r="B39" s="549"/>
      <c r="C39" s="632"/>
      <c r="D39" s="632"/>
      <c r="E39" s="632"/>
      <c r="F39" s="497"/>
      <c r="G39" s="496"/>
      <c r="H39" s="633"/>
      <c r="I39" s="634"/>
      <c r="J39" s="268">
        <f t="shared" si="0"/>
        <v>0</v>
      </c>
      <c r="K39" s="636"/>
      <c r="L39" s="636"/>
      <c r="M39" s="26">
        <f t="shared" si="1"/>
      </c>
      <c r="N39" s="27">
        <f t="shared" si="2"/>
      </c>
      <c r="O39" s="637"/>
      <c r="P39" s="25">
        <f t="shared" si="3"/>
      </c>
      <c r="Q39" s="699">
        <f t="shared" si="4"/>
      </c>
      <c r="R39" s="25">
        <f t="shared" si="15"/>
      </c>
      <c r="S39" s="338">
        <f t="shared" si="5"/>
        <v>3</v>
      </c>
      <c r="T39" s="700" t="str">
        <f t="shared" si="6"/>
        <v>--</v>
      </c>
      <c r="U39" s="701" t="str">
        <f t="shared" si="7"/>
        <v>--</v>
      </c>
      <c r="V39" s="357" t="str">
        <f t="shared" si="8"/>
        <v>--</v>
      </c>
      <c r="W39" s="358" t="str">
        <f t="shared" si="9"/>
        <v>--</v>
      </c>
      <c r="X39" s="366" t="str">
        <f t="shared" si="10"/>
        <v>--</v>
      </c>
      <c r="Y39" s="367" t="str">
        <f t="shared" si="11"/>
        <v>--</v>
      </c>
      <c r="Z39" s="372" t="str">
        <f t="shared" si="12"/>
        <v>--</v>
      </c>
      <c r="AA39" s="378" t="str">
        <f t="shared" si="13"/>
        <v>--</v>
      </c>
      <c r="AB39" s="25">
        <f t="shared" si="16"/>
      </c>
      <c r="AC39" s="604">
        <f t="shared" si="14"/>
      </c>
      <c r="AD39" s="550"/>
    </row>
    <row r="40" spans="1:30" s="538" customFormat="1" ht="16.5" customHeight="1">
      <c r="A40" s="537"/>
      <c r="B40" s="549"/>
      <c r="C40" s="632"/>
      <c r="D40" s="632"/>
      <c r="E40" s="632"/>
      <c r="F40" s="497"/>
      <c r="G40" s="496"/>
      <c r="H40" s="633"/>
      <c r="I40" s="634"/>
      <c r="J40" s="268">
        <f>H40*$I$18</f>
        <v>0</v>
      </c>
      <c r="K40" s="636"/>
      <c r="L40" s="636"/>
      <c r="M40" s="26">
        <f>IF(F40="","",(L40-K40)*24)</f>
      </c>
      <c r="N40" s="27">
        <f>IF(F40="","",ROUND((L40-K40)*24*60,0))</f>
      </c>
      <c r="O40" s="637"/>
      <c r="P40" s="25">
        <f t="shared" si="3"/>
      </c>
      <c r="Q40" s="699">
        <f t="shared" si="4"/>
      </c>
      <c r="R40" s="25">
        <f t="shared" si="15"/>
      </c>
      <c r="S40" s="338">
        <f>$I$19*IF(OR(O40="P",O40="RP"),0.1,1)*IF(R40="SI",1,0.1)</f>
        <v>3</v>
      </c>
      <c r="T40" s="700" t="str">
        <f>IF(O40="P",J40*S40*ROUND(N40/60,2),"--")</f>
        <v>--</v>
      </c>
      <c r="U40" s="701" t="str">
        <f>IF(O40="RP",J40*S40*ROUND(N40/60,2)*Q40/100,"--")</f>
        <v>--</v>
      </c>
      <c r="V40" s="357" t="str">
        <f>IF(AND(O40="F",P40="NO"),J40*S40,"--")</f>
        <v>--</v>
      </c>
      <c r="W40" s="358" t="str">
        <f>IF(O40="F",J40*S40*ROUND(N40/60,2),"--")</f>
        <v>--</v>
      </c>
      <c r="X40" s="366" t="str">
        <f>IF(AND(O40="R",P40="NO"),J40*S40*Q40/100,"--")</f>
        <v>--</v>
      </c>
      <c r="Y40" s="367" t="str">
        <f>IF(O40="R",J40*S40*ROUND(N40/60,2)*Q40/100,"--")</f>
        <v>--</v>
      </c>
      <c r="Z40" s="372" t="str">
        <f>IF(O40="RF",J40*S40*ROUND(N40/60,2),"--")</f>
        <v>--</v>
      </c>
      <c r="AA40" s="378" t="str">
        <f>IF(O40="RR",J40*S40*ROUND(N40/60,2)*Q40/100,"--")</f>
        <v>--</v>
      </c>
      <c r="AB40" s="25">
        <f>IF(F40="","","SI")</f>
      </c>
      <c r="AC40" s="604">
        <f>IF(F40="","",SUM(T40:AA40)*IF(AB40="SI",1,2))</f>
      </c>
      <c r="AD40" s="550"/>
    </row>
    <row r="41" spans="1:30" s="538" customFormat="1" ht="16.5" customHeight="1">
      <c r="A41" s="537"/>
      <c r="B41" s="549"/>
      <c r="C41" s="632"/>
      <c r="D41" s="632"/>
      <c r="E41" s="632"/>
      <c r="F41" s="497"/>
      <c r="G41" s="496"/>
      <c r="H41" s="633"/>
      <c r="I41" s="634"/>
      <c r="J41" s="268">
        <f>H41*$I$18</f>
        <v>0</v>
      </c>
      <c r="K41" s="636"/>
      <c r="L41" s="636"/>
      <c r="M41" s="26">
        <f>IF(F41="","",(L41-K41)*24)</f>
      </c>
      <c r="N41" s="27">
        <f>IF(F41="","",ROUND((L41-K41)*24*60,0))</f>
      </c>
      <c r="O41" s="637"/>
      <c r="P41" s="25">
        <f t="shared" si="3"/>
      </c>
      <c r="Q41" s="699">
        <f t="shared" si="4"/>
      </c>
      <c r="R41" s="25">
        <f t="shared" si="15"/>
      </c>
      <c r="S41" s="338">
        <f>$I$19*IF(OR(O41="P",O41="RP"),0.1,1)*IF(R41="SI",1,0.1)</f>
        <v>3</v>
      </c>
      <c r="T41" s="700" t="str">
        <f>IF(O41="P",J41*S41*ROUND(N41/60,2),"--")</f>
        <v>--</v>
      </c>
      <c r="U41" s="701" t="str">
        <f>IF(O41="RP",J41*S41*ROUND(N41/60,2)*Q41/100,"--")</f>
        <v>--</v>
      </c>
      <c r="V41" s="357" t="str">
        <f>IF(AND(O41="F",P41="NO"),J41*S41,"--")</f>
        <v>--</v>
      </c>
      <c r="W41" s="358" t="str">
        <f>IF(O41="F",J41*S41*ROUND(N41/60,2),"--")</f>
        <v>--</v>
      </c>
      <c r="X41" s="366" t="str">
        <f>IF(AND(O41="R",P41="NO"),J41*S41*Q41/100,"--")</f>
        <v>--</v>
      </c>
      <c r="Y41" s="367" t="str">
        <f>IF(O41="R",J41*S41*ROUND(N41/60,2)*Q41/100,"--")</f>
        <v>--</v>
      </c>
      <c r="Z41" s="372" t="str">
        <f>IF(O41="RF",J41*S41*ROUND(N41/60,2),"--")</f>
        <v>--</v>
      </c>
      <c r="AA41" s="378" t="str">
        <f>IF(O41="RR",J41*S41*ROUND(N41/60,2)*Q41/100,"--")</f>
        <v>--</v>
      </c>
      <c r="AB41" s="25">
        <f>IF(F41="","","SI")</f>
      </c>
      <c r="AC41" s="604">
        <f>IF(F41="","",SUM(T41:AA41)*IF(AB41="SI",1,2))</f>
      </c>
      <c r="AD41" s="550"/>
    </row>
    <row r="42" spans="1:30" s="538" customFormat="1" ht="16.5" customHeight="1">
      <c r="A42" s="537"/>
      <c r="B42" s="549"/>
      <c r="C42" s="632"/>
      <c r="D42" s="632"/>
      <c r="E42" s="632"/>
      <c r="F42" s="497"/>
      <c r="G42" s="496"/>
      <c r="H42" s="633"/>
      <c r="I42" s="634"/>
      <c r="J42" s="268">
        <f>H42*$I$18</f>
        <v>0</v>
      </c>
      <c r="K42" s="636"/>
      <c r="L42" s="636"/>
      <c r="M42" s="26">
        <f>IF(F42="","",(L42-K42)*24)</f>
      </c>
      <c r="N42" s="27">
        <f>IF(F42="","",ROUND((L42-K42)*24*60,0))</f>
      </c>
      <c r="O42" s="637"/>
      <c r="P42" s="25">
        <f t="shared" si="3"/>
      </c>
      <c r="Q42" s="699">
        <f t="shared" si="4"/>
      </c>
      <c r="R42" s="25">
        <f t="shared" si="15"/>
      </c>
      <c r="S42" s="338">
        <f>$I$19*IF(OR(O42="P",O42="RP"),0.1,1)*IF(R42="SI",1,0.1)</f>
        <v>3</v>
      </c>
      <c r="T42" s="700" t="str">
        <f>IF(O42="P",J42*S42*ROUND(N42/60,2),"--")</f>
        <v>--</v>
      </c>
      <c r="U42" s="701" t="str">
        <f>IF(O42="RP",J42*S42*ROUND(N42/60,2)*Q42/100,"--")</f>
        <v>--</v>
      </c>
      <c r="V42" s="357" t="str">
        <f>IF(AND(O42="F",P42="NO"),J42*S42,"--")</f>
        <v>--</v>
      </c>
      <c r="W42" s="358" t="str">
        <f>IF(O42="F",J42*S42*ROUND(N42/60,2),"--")</f>
        <v>--</v>
      </c>
      <c r="X42" s="366" t="str">
        <f>IF(AND(O42="R",P42="NO"),J42*S42*Q42/100,"--")</f>
        <v>--</v>
      </c>
      <c r="Y42" s="367" t="str">
        <f>IF(O42="R",J42*S42*ROUND(N42/60,2)*Q42/100,"--")</f>
        <v>--</v>
      </c>
      <c r="Z42" s="372" t="str">
        <f>IF(O42="RF",J42*S42*ROUND(N42/60,2),"--")</f>
        <v>--</v>
      </c>
      <c r="AA42" s="378" t="str">
        <f>IF(O42="RR",J42*S42*ROUND(N42/60,2)*Q42/100,"--")</f>
        <v>--</v>
      </c>
      <c r="AB42" s="25">
        <f>IF(F42="","","SI")</f>
      </c>
      <c r="AC42" s="604">
        <f>IF(F42="","",SUM(T42:AA42)*IF(AB42="SI",1,2))</f>
      </c>
      <c r="AD42" s="550"/>
    </row>
    <row r="43" spans="1:30" s="538" customFormat="1" ht="16.5" customHeight="1">
      <c r="A43" s="537"/>
      <c r="B43" s="549"/>
      <c r="C43" s="632"/>
      <c r="D43" s="632"/>
      <c r="E43" s="632"/>
      <c r="F43" s="497"/>
      <c r="G43" s="496"/>
      <c r="H43" s="633"/>
      <c r="I43" s="634"/>
      <c r="J43" s="268">
        <f>H43*$I$18</f>
        <v>0</v>
      </c>
      <c r="K43" s="636"/>
      <c r="L43" s="636"/>
      <c r="M43" s="26">
        <f>IF(F43="","",(L43-K43)*24)</f>
      </c>
      <c r="N43" s="27">
        <f>IF(F43="","",ROUND((L43-K43)*24*60,0))</f>
      </c>
      <c r="O43" s="637"/>
      <c r="P43" s="25">
        <f t="shared" si="3"/>
      </c>
      <c r="Q43" s="699">
        <f t="shared" si="4"/>
      </c>
      <c r="R43" s="25">
        <f t="shared" si="15"/>
      </c>
      <c r="S43" s="338">
        <f>$I$19*IF(OR(O43="P",O43="RP"),0.1,1)*IF(R43="SI",1,0.1)</f>
        <v>3</v>
      </c>
      <c r="T43" s="700" t="str">
        <f>IF(O43="P",J43*S43*ROUND(N43/60,2),"--")</f>
        <v>--</v>
      </c>
      <c r="U43" s="701" t="str">
        <f>IF(O43="RP",J43*S43*ROUND(N43/60,2)*Q43/100,"--")</f>
        <v>--</v>
      </c>
      <c r="V43" s="357" t="str">
        <f>IF(AND(O43="F",P43="NO"),J43*S43,"--")</f>
        <v>--</v>
      </c>
      <c r="W43" s="358" t="str">
        <f>IF(O43="F",J43*S43*ROUND(N43/60,2),"--")</f>
        <v>--</v>
      </c>
      <c r="X43" s="366" t="str">
        <f>IF(AND(O43="R",P43="NO"),J43*S43*Q43/100,"--")</f>
        <v>--</v>
      </c>
      <c r="Y43" s="367" t="str">
        <f>IF(O43="R",J43*S43*ROUND(N43/60,2)*Q43/100,"--")</f>
        <v>--</v>
      </c>
      <c r="Z43" s="372" t="str">
        <f>IF(O43="RF",J43*S43*ROUND(N43/60,2),"--")</f>
        <v>--</v>
      </c>
      <c r="AA43" s="378" t="str">
        <f>IF(O43="RR",J43*S43*ROUND(N43/60,2)*Q43/100,"--")</f>
        <v>--</v>
      </c>
      <c r="AB43" s="25">
        <f>IF(F43="","","SI")</f>
      </c>
      <c r="AC43" s="604">
        <f>IF(F43="","",SUM(T43:AA43)*IF(AB43="SI",1,2))</f>
      </c>
      <c r="AD43" s="550"/>
    </row>
    <row r="44" spans="1:30" s="538" customFormat="1" ht="16.5" customHeight="1" thickBot="1">
      <c r="A44" s="537"/>
      <c r="B44" s="549"/>
      <c r="C44" s="635"/>
      <c r="D44" s="635"/>
      <c r="E44" s="635"/>
      <c r="F44" s="635"/>
      <c r="G44" s="635"/>
      <c r="H44" s="635"/>
      <c r="I44" s="635"/>
      <c r="J44" s="607"/>
      <c r="K44" s="635"/>
      <c r="L44" s="635"/>
      <c r="M44" s="606"/>
      <c r="N44" s="606"/>
      <c r="O44" s="635"/>
      <c r="P44" s="635"/>
      <c r="Q44" s="635"/>
      <c r="R44" s="635"/>
      <c r="S44" s="638"/>
      <c r="T44" s="639"/>
      <c r="U44" s="640"/>
      <c r="V44" s="641"/>
      <c r="W44" s="642"/>
      <c r="X44" s="643"/>
      <c r="Y44" s="644"/>
      <c r="Z44" s="645"/>
      <c r="AA44" s="646"/>
      <c r="AB44" s="635"/>
      <c r="AC44" s="608"/>
      <c r="AD44" s="550"/>
    </row>
    <row r="45" spans="1:30" s="538" customFormat="1" ht="16.5" customHeight="1" thickBot="1" thickTop="1">
      <c r="A45" s="537"/>
      <c r="B45" s="549"/>
      <c r="C45" s="609" t="s">
        <v>64</v>
      </c>
      <c r="D45" s="721"/>
      <c r="E45" s="246"/>
      <c r="F45" s="241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610">
        <f aca="true" t="shared" si="17" ref="T45:AA45">SUM(T22:T44)</f>
        <v>13.959000000000001</v>
      </c>
      <c r="U45" s="611">
        <f t="shared" si="17"/>
        <v>0</v>
      </c>
      <c r="V45" s="612">
        <f t="shared" si="17"/>
        <v>0</v>
      </c>
      <c r="W45" s="612">
        <f t="shared" si="17"/>
        <v>0</v>
      </c>
      <c r="X45" s="613">
        <f t="shared" si="17"/>
        <v>0</v>
      </c>
      <c r="Y45" s="613">
        <f t="shared" si="17"/>
        <v>0</v>
      </c>
      <c r="Z45" s="614">
        <f t="shared" si="17"/>
        <v>0</v>
      </c>
      <c r="AA45" s="615">
        <f t="shared" si="17"/>
        <v>0</v>
      </c>
      <c r="AB45" s="616"/>
      <c r="AC45" s="617">
        <f>ROUND(SUM(AC22:AC44),2)</f>
        <v>13.96</v>
      </c>
      <c r="AD45" s="550"/>
    </row>
    <row r="46" spans="1:30" s="625" customFormat="1" ht="9.75" thickTop="1">
      <c r="A46" s="618"/>
      <c r="B46" s="619"/>
      <c r="C46" s="620"/>
      <c r="D46" s="620"/>
      <c r="E46" s="620"/>
      <c r="F46" s="243"/>
      <c r="G46" s="621"/>
      <c r="H46" s="621"/>
      <c r="I46" s="621"/>
      <c r="J46" s="621"/>
      <c r="K46" s="621"/>
      <c r="L46" s="621"/>
      <c r="M46" s="621"/>
      <c r="N46" s="621"/>
      <c r="O46" s="621"/>
      <c r="P46" s="621"/>
      <c r="Q46" s="621"/>
      <c r="R46" s="621"/>
      <c r="S46" s="621"/>
      <c r="T46" s="622"/>
      <c r="U46" s="622"/>
      <c r="V46" s="622"/>
      <c r="W46" s="622"/>
      <c r="X46" s="622"/>
      <c r="Y46" s="622"/>
      <c r="Z46" s="622"/>
      <c r="AA46" s="622"/>
      <c r="AB46" s="621"/>
      <c r="AC46" s="623"/>
      <c r="AD46" s="624"/>
    </row>
    <row r="47" spans="1:30" s="538" customFormat="1" ht="16.5" customHeight="1" thickBot="1">
      <c r="A47" s="537"/>
      <c r="B47" s="626"/>
      <c r="C47" s="627"/>
      <c r="D47" s="627"/>
      <c r="E47" s="627"/>
      <c r="F47" s="627"/>
      <c r="G47" s="627"/>
      <c r="H47" s="627"/>
      <c r="I47" s="627"/>
      <c r="J47" s="627"/>
      <c r="K47" s="627"/>
      <c r="L47" s="627"/>
      <c r="M47" s="627"/>
      <c r="N47" s="627"/>
      <c r="O47" s="627"/>
      <c r="P47" s="627"/>
      <c r="Q47" s="627"/>
      <c r="R47" s="627"/>
      <c r="S47" s="627"/>
      <c r="T47" s="627"/>
      <c r="U47" s="627"/>
      <c r="V47" s="627"/>
      <c r="W47" s="627"/>
      <c r="X47" s="627"/>
      <c r="Y47" s="627"/>
      <c r="Z47" s="627"/>
      <c r="AA47" s="627"/>
      <c r="AB47" s="627"/>
      <c r="AC47" s="627"/>
      <c r="AD47" s="628"/>
    </row>
    <row r="48" spans="2:30" ht="16.5" customHeight="1" thickTop="1">
      <c r="B48" s="630"/>
      <c r="C48" s="630"/>
      <c r="D48" s="630"/>
      <c r="E48" s="630"/>
      <c r="F48" s="630"/>
      <c r="G48" s="630"/>
      <c r="H48" s="630"/>
      <c r="I48" s="630"/>
      <c r="J48" s="630"/>
      <c r="K48" s="630"/>
      <c r="L48" s="630"/>
      <c r="M48" s="630"/>
      <c r="N48" s="630"/>
      <c r="O48" s="630"/>
      <c r="P48" s="630"/>
      <c r="Q48" s="630"/>
      <c r="R48" s="630"/>
      <c r="S48" s="630"/>
      <c r="T48" s="630"/>
      <c r="U48" s="630"/>
      <c r="V48" s="630"/>
      <c r="W48" s="630"/>
      <c r="X48" s="630"/>
      <c r="Y48" s="630"/>
      <c r="Z48" s="630"/>
      <c r="AA48" s="630"/>
      <c r="AB48" s="630"/>
      <c r="AC48" s="630"/>
      <c r="AD48" s="631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3" r:id="rId3"/>
  <headerFooter alignWithMargins="0">
    <oddFooter>&amp;L&amp;"Times New Roman,Normal"&amp;8&amp;Z&amp;F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zoomScale="70" zoomScaleNormal="70" zoomScalePageLayoutView="0" workbookViewId="0" topLeftCell="A1">
      <selection activeCell="I17" sqref="I17"/>
    </sheetView>
  </sheetViews>
  <sheetFormatPr defaultColWidth="11.421875" defaultRowHeight="12.75"/>
  <cols>
    <col min="1" max="2" width="4.00390625" style="0" customWidth="1"/>
    <col min="3" max="3" width="4.140625" style="0" customWidth="1"/>
    <col min="4" max="5" width="13.8515625" style="0" customWidth="1"/>
    <col min="6" max="7" width="25.7109375" style="0" customWidth="1"/>
    <col min="8" max="8" width="7.7109375" style="0" customWidth="1"/>
    <col min="9" max="9" width="12.7109375" style="0" customWidth="1"/>
    <col min="10" max="10" width="10.00390625" style="0" hidden="1" customWidth="1"/>
    <col min="11" max="12" width="15.7109375" style="0" customWidth="1"/>
    <col min="13" max="15" width="9.7109375" style="0" customWidth="1"/>
    <col min="16" max="16" width="5.8515625" style="0" customWidth="1"/>
    <col min="17" max="18" width="7.00390625" style="0" customWidth="1"/>
    <col min="19" max="19" width="11.7109375" style="0" hidden="1" customWidth="1"/>
    <col min="20" max="21" width="14.00390625" style="0" hidden="1" customWidth="1"/>
    <col min="22" max="22" width="14.28125" style="0" hidden="1" customWidth="1"/>
    <col min="23" max="27" width="14.140625" style="0" hidden="1" customWidth="1"/>
    <col min="28" max="28" width="9.00390625" style="0" customWidth="1"/>
    <col min="29" max="29" width="15.7109375" style="0" customWidth="1"/>
    <col min="30" max="30" width="4.00390625" style="0" customWidth="1"/>
  </cols>
  <sheetData>
    <row r="1" spans="5:30" s="109" customFormat="1" ht="26.25"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493"/>
    </row>
    <row r="2" spans="2:30" s="109" customFormat="1" ht="26.25">
      <c r="B2" s="110" t="str">
        <f>+'TOT-0214'!B2</f>
        <v>ANEXO II al Memorándum  D.T.E.E.  N°  223 /2016               .-</v>
      </c>
      <c r="C2" s="111"/>
      <c r="D2" s="111"/>
      <c r="E2" s="169"/>
      <c r="F2" s="169"/>
      <c r="G2" s="110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</row>
    <row r="3" spans="5:30" s="10" customFormat="1" ht="12.75"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</row>
    <row r="4" spans="1:30" s="112" customFormat="1" ht="11.25">
      <c r="A4" s="685" t="s">
        <v>16</v>
      </c>
      <c r="C4" s="684"/>
      <c r="D4" s="684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</row>
    <row r="5" spans="1:30" s="112" customFormat="1" ht="11.25">
      <c r="A5" s="685" t="s">
        <v>146</v>
      </c>
      <c r="C5" s="684"/>
      <c r="D5" s="684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</row>
    <row r="6" spans="1:30" s="10" customFormat="1" ht="13.5" thickBot="1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</row>
    <row r="7" spans="1:30" s="10" customFormat="1" ht="13.5" thickTop="1">
      <c r="A7" s="167"/>
      <c r="B7" s="170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2"/>
    </row>
    <row r="8" spans="1:30" s="114" customFormat="1" ht="20.25">
      <c r="A8" s="187"/>
      <c r="B8" s="188"/>
      <c r="C8" s="175"/>
      <c r="D8" s="175"/>
      <c r="E8" s="175"/>
      <c r="F8" s="21" t="s">
        <v>40</v>
      </c>
      <c r="H8" s="175"/>
      <c r="I8" s="187"/>
      <c r="J8" s="187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89"/>
    </row>
    <row r="9" spans="1:30" s="114" customFormat="1" ht="7.5" customHeight="1">
      <c r="A9" s="187"/>
      <c r="B9" s="188"/>
      <c r="C9" s="175"/>
      <c r="D9" s="175"/>
      <c r="E9" s="175"/>
      <c r="F9" s="21"/>
      <c r="H9" s="175"/>
      <c r="I9" s="187"/>
      <c r="J9" s="187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89"/>
    </row>
    <row r="10" spans="1:30" s="10" customFormat="1" ht="7.5" customHeight="1">
      <c r="A10" s="167"/>
      <c r="B10" s="173"/>
      <c r="C10" s="30"/>
      <c r="D10" s="30"/>
      <c r="E10" s="30"/>
      <c r="F10" s="30"/>
      <c r="G10" s="30"/>
      <c r="H10" s="30"/>
      <c r="I10" s="167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8"/>
    </row>
    <row r="11" spans="1:30" s="114" customFormat="1" ht="20.25">
      <c r="A11" s="187"/>
      <c r="B11" s="188"/>
      <c r="C11" s="175"/>
      <c r="D11" s="175"/>
      <c r="E11" s="175"/>
      <c r="F11" s="216" t="s">
        <v>81</v>
      </c>
      <c r="G11" s="175"/>
      <c r="H11" s="175"/>
      <c r="I11" s="187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89"/>
    </row>
    <row r="12" spans="1:30" s="114" customFormat="1" ht="8.25" customHeight="1">
      <c r="A12" s="187"/>
      <c r="B12" s="188"/>
      <c r="C12" s="175"/>
      <c r="D12" s="175"/>
      <c r="E12" s="175"/>
      <c r="F12" s="216"/>
      <c r="G12" s="175"/>
      <c r="H12" s="175"/>
      <c r="I12" s="187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89"/>
    </row>
    <row r="13" spans="1:30" s="10" customFormat="1" ht="8.25" customHeight="1">
      <c r="A13" s="167"/>
      <c r="B13" s="173"/>
      <c r="C13" s="30"/>
      <c r="D13" s="30"/>
      <c r="E13" s="30"/>
      <c r="F13" s="123"/>
      <c r="G13" s="177"/>
      <c r="H13" s="177"/>
      <c r="I13" s="178"/>
      <c r="J13" s="176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8"/>
    </row>
    <row r="14" spans="1:30" s="121" customFormat="1" ht="19.5">
      <c r="A14" s="193"/>
      <c r="B14" s="87" t="str">
        <f>+'TOT-0214'!B14</f>
        <v>Desde el 01 al 28 de febrero de 2014</v>
      </c>
      <c r="C14" s="194"/>
      <c r="D14" s="194"/>
      <c r="E14" s="194"/>
      <c r="F14" s="194"/>
      <c r="G14" s="194"/>
      <c r="H14" s="194"/>
      <c r="I14" s="195"/>
      <c r="J14" s="194"/>
      <c r="K14" s="118"/>
      <c r="L14" s="118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6"/>
    </row>
    <row r="15" spans="1:30" s="95" customFormat="1" ht="8.25" customHeight="1">
      <c r="A15" s="91"/>
      <c r="B15" s="92"/>
      <c r="C15" s="91"/>
      <c r="D15" s="91"/>
      <c r="E15" s="91"/>
      <c r="F15" s="674"/>
      <c r="G15" s="675"/>
      <c r="H15" s="676"/>
      <c r="I15" s="91"/>
      <c r="K15" s="97"/>
      <c r="L15" s="98"/>
      <c r="M15" s="236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4"/>
    </row>
    <row r="16" spans="1:30" s="10" customFormat="1" ht="8.25" customHeight="1" thickBot="1">
      <c r="A16" s="167"/>
      <c r="B16" s="173"/>
      <c r="C16" s="30"/>
      <c r="D16" s="30"/>
      <c r="E16" s="30"/>
      <c r="F16" s="30"/>
      <c r="G16" s="30"/>
      <c r="H16" s="30"/>
      <c r="I16" s="74"/>
      <c r="J16" s="30"/>
      <c r="K16" s="184"/>
      <c r="L16" s="185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8"/>
    </row>
    <row r="17" spans="1:30" s="10" customFormat="1" ht="16.5" customHeight="1" thickBot="1" thickTop="1">
      <c r="A17" s="167"/>
      <c r="B17" s="173"/>
      <c r="C17" s="30"/>
      <c r="D17" s="30"/>
      <c r="E17" s="30"/>
      <c r="F17" s="197" t="s">
        <v>68</v>
      </c>
      <c r="G17" s="198"/>
      <c r="H17" s="199"/>
      <c r="I17" s="565">
        <v>0.243</v>
      </c>
      <c r="J17" s="167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8"/>
    </row>
    <row r="18" spans="1:30" s="10" customFormat="1" ht="16.5" customHeight="1" thickBot="1" thickTop="1">
      <c r="A18" s="167"/>
      <c r="B18" s="173"/>
      <c r="C18" s="30"/>
      <c r="D18" s="30"/>
      <c r="E18" s="30"/>
      <c r="F18" s="200" t="s">
        <v>69</v>
      </c>
      <c r="G18" s="201"/>
      <c r="H18" s="201"/>
      <c r="I18" s="202">
        <f>30*'TOT-0214'!B13</f>
        <v>30</v>
      </c>
      <c r="J18" s="30"/>
      <c r="K18" s="236" t="str">
        <f>IF(I18=30," ",IF(I18=60,"Coeficiente duplicado por tasa de falla &gt;4 Sal. x año/100 km.","REVISAR COEFICIENTE"))</f>
        <v> </v>
      </c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179"/>
      <c r="X18" s="179"/>
      <c r="Y18" s="179"/>
      <c r="Z18" s="179"/>
      <c r="AA18" s="179"/>
      <c r="AB18" s="179"/>
      <c r="AC18" s="179"/>
      <c r="AD18" s="38"/>
    </row>
    <row r="19" spans="1:30" s="95" customFormat="1" ht="8.25" customHeight="1" thickTop="1">
      <c r="A19" s="91"/>
      <c r="B19" s="92"/>
      <c r="C19" s="91"/>
      <c r="D19" s="91"/>
      <c r="E19" s="91"/>
      <c r="F19" s="674"/>
      <c r="G19" s="675"/>
      <c r="H19" s="676"/>
      <c r="I19" s="91"/>
      <c r="K19" s="97"/>
      <c r="L19" s="98"/>
      <c r="M19" s="236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4"/>
    </row>
    <row r="20" spans="1:30" s="708" customFormat="1" ht="15" customHeight="1" thickBot="1">
      <c r="A20" s="714"/>
      <c r="B20" s="715"/>
      <c r="C20" s="716">
        <v>3</v>
      </c>
      <c r="D20" s="716">
        <v>4</v>
      </c>
      <c r="E20" s="716">
        <v>5</v>
      </c>
      <c r="F20" s="716">
        <v>6</v>
      </c>
      <c r="G20" s="716">
        <v>7</v>
      </c>
      <c r="H20" s="716">
        <v>8</v>
      </c>
      <c r="I20" s="716">
        <v>9</v>
      </c>
      <c r="J20" s="716">
        <v>10</v>
      </c>
      <c r="K20" s="716">
        <v>11</v>
      </c>
      <c r="L20" s="716">
        <v>12</v>
      </c>
      <c r="M20" s="716">
        <v>13</v>
      </c>
      <c r="N20" s="716">
        <v>14</v>
      </c>
      <c r="O20" s="716">
        <v>15</v>
      </c>
      <c r="P20" s="716">
        <v>16</v>
      </c>
      <c r="Q20" s="716">
        <v>17</v>
      </c>
      <c r="R20" s="716">
        <v>18</v>
      </c>
      <c r="S20" s="716">
        <v>19</v>
      </c>
      <c r="T20" s="716">
        <v>20</v>
      </c>
      <c r="U20" s="716">
        <v>21</v>
      </c>
      <c r="V20" s="716">
        <v>22</v>
      </c>
      <c r="W20" s="716">
        <v>23</v>
      </c>
      <c r="X20" s="716">
        <v>24</v>
      </c>
      <c r="Y20" s="716">
        <v>25</v>
      </c>
      <c r="Z20" s="716">
        <v>26</v>
      </c>
      <c r="AA20" s="716">
        <v>27</v>
      </c>
      <c r="AB20" s="716">
        <v>28</v>
      </c>
      <c r="AC20" s="716">
        <v>29</v>
      </c>
      <c r="AD20" s="717"/>
    </row>
    <row r="21" spans="1:30" s="108" customFormat="1" ht="33.75" customHeight="1" thickBot="1" thickTop="1">
      <c r="A21" s="203"/>
      <c r="B21" s="204"/>
      <c r="C21" s="206" t="s">
        <v>46</v>
      </c>
      <c r="D21" s="101" t="s">
        <v>145</v>
      </c>
      <c r="E21" s="101" t="s">
        <v>144</v>
      </c>
      <c r="F21" s="211" t="s">
        <v>70</v>
      </c>
      <c r="G21" s="207" t="s">
        <v>14</v>
      </c>
      <c r="H21" s="208" t="s">
        <v>71</v>
      </c>
      <c r="I21" s="209" t="s">
        <v>47</v>
      </c>
      <c r="J21" s="265" t="s">
        <v>49</v>
      </c>
      <c r="K21" s="210" t="s">
        <v>72</v>
      </c>
      <c r="L21" s="210" t="s">
        <v>73</v>
      </c>
      <c r="M21" s="211" t="s">
        <v>74</v>
      </c>
      <c r="N21" s="211" t="s">
        <v>75</v>
      </c>
      <c r="O21" s="105" t="s">
        <v>54</v>
      </c>
      <c r="P21" s="212" t="s">
        <v>76</v>
      </c>
      <c r="Q21" s="211" t="s">
        <v>77</v>
      </c>
      <c r="R21" s="207" t="s">
        <v>78</v>
      </c>
      <c r="S21" s="335" t="s">
        <v>79</v>
      </c>
      <c r="T21" s="321" t="s">
        <v>56</v>
      </c>
      <c r="U21" s="345" t="s">
        <v>57</v>
      </c>
      <c r="V21" s="351" t="s">
        <v>80</v>
      </c>
      <c r="W21" s="352"/>
      <c r="X21" s="360" t="s">
        <v>80</v>
      </c>
      <c r="Y21" s="361"/>
      <c r="Z21" s="369" t="s">
        <v>60</v>
      </c>
      <c r="AA21" s="375" t="s">
        <v>61</v>
      </c>
      <c r="AB21" s="209" t="s">
        <v>62</v>
      </c>
      <c r="AC21" s="209" t="s">
        <v>63</v>
      </c>
      <c r="AD21" s="205"/>
    </row>
    <row r="22" spans="1:30" s="10" customFormat="1" ht="16.5" customHeight="1" thickTop="1">
      <c r="A22" s="167"/>
      <c r="B22" s="173"/>
      <c r="C22" s="18"/>
      <c r="D22" s="18"/>
      <c r="E22" s="18"/>
      <c r="F22" s="23"/>
      <c r="G22" s="23"/>
      <c r="H22" s="23"/>
      <c r="I22" s="23"/>
      <c r="J22" s="270"/>
      <c r="K22" s="24"/>
      <c r="L22" s="23"/>
      <c r="M22" s="24"/>
      <c r="N22" s="24"/>
      <c r="O22" s="23"/>
      <c r="P22" s="23"/>
      <c r="Q22" s="23"/>
      <c r="R22" s="23"/>
      <c r="S22" s="336"/>
      <c r="T22" s="340"/>
      <c r="U22" s="346"/>
      <c r="V22" s="353"/>
      <c r="W22" s="354"/>
      <c r="X22" s="362"/>
      <c r="Y22" s="363"/>
      <c r="Z22" s="370"/>
      <c r="AA22" s="376"/>
      <c r="AB22" s="23"/>
      <c r="AC22" s="62"/>
      <c r="AD22" s="38"/>
    </row>
    <row r="23" spans="1:30" s="10" customFormat="1" ht="16.5" customHeight="1">
      <c r="A23" s="167"/>
      <c r="B23" s="173"/>
      <c r="C23" s="18"/>
      <c r="D23" s="18"/>
      <c r="E23" s="18"/>
      <c r="F23" s="19"/>
      <c r="G23" s="19"/>
      <c r="H23" s="19"/>
      <c r="I23" s="19"/>
      <c r="J23" s="271"/>
      <c r="K23" s="20"/>
      <c r="L23" s="19"/>
      <c r="M23" s="20"/>
      <c r="N23" s="20"/>
      <c r="O23" s="19"/>
      <c r="P23" s="19"/>
      <c r="Q23" s="19"/>
      <c r="R23" s="19"/>
      <c r="S23" s="337"/>
      <c r="T23" s="341"/>
      <c r="U23" s="347"/>
      <c r="V23" s="355"/>
      <c r="W23" s="356"/>
      <c r="X23" s="364"/>
      <c r="Y23" s="365"/>
      <c r="Z23" s="371"/>
      <c r="AA23" s="377"/>
      <c r="AB23" s="19"/>
      <c r="AC23" s="214"/>
      <c r="AD23" s="38"/>
    </row>
    <row r="24" spans="1:30" s="10" customFormat="1" ht="16.5" customHeight="1">
      <c r="A24" s="167"/>
      <c r="B24" s="173"/>
      <c r="C24" s="632">
        <v>9</v>
      </c>
      <c r="D24" s="632">
        <v>272300</v>
      </c>
      <c r="E24" s="632">
        <v>4970</v>
      </c>
      <c r="F24" s="497" t="s">
        <v>170</v>
      </c>
      <c r="G24" s="496" t="s">
        <v>8</v>
      </c>
      <c r="H24" s="633">
        <v>15</v>
      </c>
      <c r="I24" s="679" t="s">
        <v>160</v>
      </c>
      <c r="J24" s="268">
        <f aca="true" t="shared" si="0" ref="J24:J43">H24*$I$17</f>
        <v>3.645</v>
      </c>
      <c r="K24" s="636">
        <v>41686.20347222222</v>
      </c>
      <c r="L24" s="636">
        <v>41686.25902777778</v>
      </c>
      <c r="M24" s="26">
        <f aca="true" t="shared" si="1" ref="M24:M43">IF(F24="","",(L24-K24)*24)</f>
        <v>1.3333333333139308</v>
      </c>
      <c r="N24" s="27">
        <f aca="true" t="shared" si="2" ref="N24:N43">IF(F24="","",ROUND((L24-K24)*24*60,0))</f>
        <v>80</v>
      </c>
      <c r="O24" s="637" t="s">
        <v>158</v>
      </c>
      <c r="P24" s="25" t="str">
        <f>IF(F24="","",IF(OR(O24="P",O24="RP"),"--","NO"))</f>
        <v>NO</v>
      </c>
      <c r="Q24" s="699" t="str">
        <f aca="true" t="shared" si="3" ref="Q24:Q43">IF(F24="","","--")</f>
        <v>--</v>
      </c>
      <c r="R24" s="25" t="s">
        <v>153</v>
      </c>
      <c r="S24" s="338">
        <f aca="true" t="shared" si="4" ref="S24:S43">$I$18*IF(OR(O24="P",O24="RP"),0.1,1)*IF(R24="SI",1,0.1)</f>
        <v>30</v>
      </c>
      <c r="T24" s="342" t="str">
        <f aca="true" t="shared" si="5" ref="T24:T43">IF(O24="P",J24*S24*ROUND(N24/60,2),"--")</f>
        <v>--</v>
      </c>
      <c r="U24" s="348" t="str">
        <f aca="true" t="shared" si="6" ref="U24:U43">IF(O24="RP",J24*S24*ROUND(N24/60,2)*Q24/100,"--")</f>
        <v>--</v>
      </c>
      <c r="V24" s="357">
        <f aca="true" t="shared" si="7" ref="V24:V43">IF(AND(O24="F",P24="NO"),J24*S24,"--")</f>
        <v>109.35</v>
      </c>
      <c r="W24" s="358">
        <f aca="true" t="shared" si="8" ref="W24:W43">IF(O24="F",J24*S24*ROUND(N24/60,2),"--")</f>
        <v>145.4355</v>
      </c>
      <c r="X24" s="366" t="str">
        <f aca="true" t="shared" si="9" ref="X24:X43">IF(AND(O24="R",P24="NO"),J24*S24*Q24/100,"--")</f>
        <v>--</v>
      </c>
      <c r="Y24" s="367" t="str">
        <f aca="true" t="shared" si="10" ref="Y24:Y43">IF(O24="R",J24*S24*ROUND(N24/60,2)*Q24/100,"--")</f>
        <v>--</v>
      </c>
      <c r="Z24" s="372" t="str">
        <f aca="true" t="shared" si="11" ref="Z24:Z43">IF(O24="RF",J24*S24*ROUND(N24/60,2),"--")</f>
        <v>--</v>
      </c>
      <c r="AA24" s="378" t="str">
        <f aca="true" t="shared" si="12" ref="AA24:AA43">IF(O24="RR",J24*S24*ROUND(N24/60,2)*Q24/100,"--")</f>
        <v>--</v>
      </c>
      <c r="AB24" s="25" t="str">
        <f aca="true" t="shared" si="13" ref="AB24:AB43">IF(F24="","","SI")</f>
        <v>SI</v>
      </c>
      <c r="AC24" s="63">
        <f aca="true" t="shared" si="14" ref="AC24:AC43">IF(F24="","",SUM(T24:AA24)*IF(AB24="SI",1,2))</f>
        <v>254.78549999999998</v>
      </c>
      <c r="AD24" s="405"/>
    </row>
    <row r="25" spans="1:30" s="10" customFormat="1" ht="16.5" customHeight="1">
      <c r="A25" s="167"/>
      <c r="B25" s="173"/>
      <c r="C25" s="632">
        <v>10</v>
      </c>
      <c r="D25" s="632">
        <v>272533</v>
      </c>
      <c r="E25" s="632">
        <v>1802</v>
      </c>
      <c r="F25" s="497" t="s">
        <v>9</v>
      </c>
      <c r="G25" s="496" t="s">
        <v>8</v>
      </c>
      <c r="H25" s="633">
        <v>15</v>
      </c>
      <c r="I25" s="718" t="s">
        <v>166</v>
      </c>
      <c r="J25" s="268">
        <f t="shared" si="0"/>
        <v>3.645</v>
      </c>
      <c r="K25" s="636">
        <v>41691.82430555556</v>
      </c>
      <c r="L25" s="636">
        <v>41691.833333333336</v>
      </c>
      <c r="M25" s="26">
        <f t="shared" si="1"/>
        <v>0.2166666666744277</v>
      </c>
      <c r="N25" s="27">
        <f t="shared" si="2"/>
        <v>13</v>
      </c>
      <c r="O25" s="637" t="s">
        <v>158</v>
      </c>
      <c r="P25" s="25" t="str">
        <f aca="true" t="shared" si="15" ref="P25:P43">IF(F25="","",IF(OR(O25="P",O25="RP"),"--","NO"))</f>
        <v>NO</v>
      </c>
      <c r="Q25" s="699" t="str">
        <f t="shared" si="3"/>
        <v>--</v>
      </c>
      <c r="R25" s="25" t="str">
        <f aca="true" t="shared" si="16" ref="R25:R43">IF(F25="","","NO")</f>
        <v>NO</v>
      </c>
      <c r="S25" s="338">
        <f t="shared" si="4"/>
        <v>3</v>
      </c>
      <c r="T25" s="342" t="str">
        <f t="shared" si="5"/>
        <v>--</v>
      </c>
      <c r="U25" s="348" t="str">
        <f t="shared" si="6"/>
        <v>--</v>
      </c>
      <c r="V25" s="357">
        <f t="shared" si="7"/>
        <v>10.935</v>
      </c>
      <c r="W25" s="358">
        <f t="shared" si="8"/>
        <v>2.4057</v>
      </c>
      <c r="X25" s="366" t="str">
        <f t="shared" si="9"/>
        <v>--</v>
      </c>
      <c r="Y25" s="367" t="str">
        <f t="shared" si="10"/>
        <v>--</v>
      </c>
      <c r="Z25" s="372" t="str">
        <f t="shared" si="11"/>
        <v>--</v>
      </c>
      <c r="AA25" s="378" t="str">
        <f t="shared" si="12"/>
        <v>--</v>
      </c>
      <c r="AB25" s="25" t="str">
        <f t="shared" si="13"/>
        <v>SI</v>
      </c>
      <c r="AC25" s="63">
        <f t="shared" si="14"/>
        <v>13.3407</v>
      </c>
      <c r="AD25" s="405"/>
    </row>
    <row r="26" spans="1:30" s="10" customFormat="1" ht="16.5" customHeight="1">
      <c r="A26" s="167"/>
      <c r="B26" s="173"/>
      <c r="C26" s="632"/>
      <c r="D26" s="632"/>
      <c r="E26" s="632"/>
      <c r="F26" s="497"/>
      <c r="G26" s="496"/>
      <c r="H26" s="633"/>
      <c r="I26" s="634"/>
      <c r="J26" s="268">
        <f t="shared" si="0"/>
        <v>0</v>
      </c>
      <c r="K26" s="636"/>
      <c r="L26" s="636"/>
      <c r="M26" s="26">
        <f t="shared" si="1"/>
      </c>
      <c r="N26" s="27">
        <f t="shared" si="2"/>
      </c>
      <c r="O26" s="637"/>
      <c r="P26" s="25">
        <f t="shared" si="15"/>
      </c>
      <c r="Q26" s="699">
        <f t="shared" si="3"/>
      </c>
      <c r="R26" s="25">
        <f t="shared" si="16"/>
      </c>
      <c r="S26" s="338">
        <f t="shared" si="4"/>
        <v>3</v>
      </c>
      <c r="T26" s="342" t="str">
        <f t="shared" si="5"/>
        <v>--</v>
      </c>
      <c r="U26" s="348" t="str">
        <f t="shared" si="6"/>
        <v>--</v>
      </c>
      <c r="V26" s="357" t="str">
        <f t="shared" si="7"/>
        <v>--</v>
      </c>
      <c r="W26" s="358" t="str">
        <f t="shared" si="8"/>
        <v>--</v>
      </c>
      <c r="X26" s="366" t="str">
        <f t="shared" si="9"/>
        <v>--</v>
      </c>
      <c r="Y26" s="367" t="str">
        <f t="shared" si="10"/>
        <v>--</v>
      </c>
      <c r="Z26" s="372" t="str">
        <f t="shared" si="11"/>
        <v>--</v>
      </c>
      <c r="AA26" s="378" t="str">
        <f t="shared" si="12"/>
        <v>--</v>
      </c>
      <c r="AB26" s="25">
        <f t="shared" si="13"/>
      </c>
      <c r="AC26" s="63">
        <f t="shared" si="14"/>
      </c>
      <c r="AD26" s="405"/>
    </row>
    <row r="27" spans="1:30" s="10" customFormat="1" ht="16.5" customHeight="1">
      <c r="A27" s="167"/>
      <c r="B27" s="173"/>
      <c r="C27" s="632"/>
      <c r="D27" s="632"/>
      <c r="E27" s="632"/>
      <c r="F27" s="497"/>
      <c r="G27" s="496"/>
      <c r="H27" s="633"/>
      <c r="I27" s="634"/>
      <c r="J27" s="268">
        <f t="shared" si="0"/>
        <v>0</v>
      </c>
      <c r="K27" s="636"/>
      <c r="L27" s="636"/>
      <c r="M27" s="26">
        <f t="shared" si="1"/>
      </c>
      <c r="N27" s="27">
        <f t="shared" si="2"/>
      </c>
      <c r="O27" s="637"/>
      <c r="P27" s="25">
        <f t="shared" si="15"/>
      </c>
      <c r="Q27" s="699">
        <f t="shared" si="3"/>
      </c>
      <c r="R27" s="25">
        <f t="shared" si="16"/>
      </c>
      <c r="S27" s="338">
        <f t="shared" si="4"/>
        <v>3</v>
      </c>
      <c r="T27" s="342" t="str">
        <f t="shared" si="5"/>
        <v>--</v>
      </c>
      <c r="U27" s="348" t="str">
        <f t="shared" si="6"/>
        <v>--</v>
      </c>
      <c r="V27" s="357" t="str">
        <f t="shared" si="7"/>
        <v>--</v>
      </c>
      <c r="W27" s="358" t="str">
        <f t="shared" si="8"/>
        <v>--</v>
      </c>
      <c r="X27" s="366" t="str">
        <f t="shared" si="9"/>
        <v>--</v>
      </c>
      <c r="Y27" s="367" t="str">
        <f t="shared" si="10"/>
        <v>--</v>
      </c>
      <c r="Z27" s="372" t="str">
        <f t="shared" si="11"/>
        <v>--</v>
      </c>
      <c r="AA27" s="378" t="str">
        <f t="shared" si="12"/>
        <v>--</v>
      </c>
      <c r="AB27" s="25">
        <f t="shared" si="13"/>
      </c>
      <c r="AC27" s="63">
        <f t="shared" si="14"/>
      </c>
      <c r="AD27" s="405"/>
    </row>
    <row r="28" spans="1:30" s="10" customFormat="1" ht="16.5" customHeight="1">
      <c r="A28" s="167"/>
      <c r="B28" s="173"/>
      <c r="C28" s="632"/>
      <c r="D28" s="632"/>
      <c r="E28" s="632"/>
      <c r="F28" s="497"/>
      <c r="G28" s="496"/>
      <c r="H28" s="633"/>
      <c r="I28" s="634"/>
      <c r="J28" s="268">
        <f t="shared" si="0"/>
        <v>0</v>
      </c>
      <c r="K28" s="636"/>
      <c r="L28" s="636"/>
      <c r="M28" s="26">
        <f t="shared" si="1"/>
      </c>
      <c r="N28" s="27">
        <f t="shared" si="2"/>
      </c>
      <c r="O28" s="637"/>
      <c r="P28" s="25">
        <f t="shared" si="15"/>
      </c>
      <c r="Q28" s="699">
        <f t="shared" si="3"/>
      </c>
      <c r="R28" s="25">
        <f t="shared" si="16"/>
      </c>
      <c r="S28" s="338">
        <f t="shared" si="4"/>
        <v>3</v>
      </c>
      <c r="T28" s="342" t="str">
        <f t="shared" si="5"/>
        <v>--</v>
      </c>
      <c r="U28" s="348" t="str">
        <f t="shared" si="6"/>
        <v>--</v>
      </c>
      <c r="V28" s="357" t="str">
        <f t="shared" si="7"/>
        <v>--</v>
      </c>
      <c r="W28" s="358" t="str">
        <f t="shared" si="8"/>
        <v>--</v>
      </c>
      <c r="X28" s="366" t="str">
        <f t="shared" si="9"/>
        <v>--</v>
      </c>
      <c r="Y28" s="367" t="str">
        <f t="shared" si="10"/>
        <v>--</v>
      </c>
      <c r="Z28" s="372" t="str">
        <f t="shared" si="11"/>
        <v>--</v>
      </c>
      <c r="AA28" s="378" t="str">
        <f t="shared" si="12"/>
        <v>--</v>
      </c>
      <c r="AB28" s="25">
        <f t="shared" si="13"/>
      </c>
      <c r="AC28" s="63">
        <f t="shared" si="14"/>
      </c>
      <c r="AD28" s="405"/>
    </row>
    <row r="29" spans="1:30" s="10" customFormat="1" ht="16.5" customHeight="1">
      <c r="A29" s="167"/>
      <c r="B29" s="173"/>
      <c r="C29" s="632"/>
      <c r="D29" s="632"/>
      <c r="E29" s="632"/>
      <c r="F29" s="497"/>
      <c r="G29" s="496"/>
      <c r="H29" s="633"/>
      <c r="I29" s="634"/>
      <c r="J29" s="268">
        <f t="shared" si="0"/>
        <v>0</v>
      </c>
      <c r="K29" s="636"/>
      <c r="L29" s="636"/>
      <c r="M29" s="26">
        <f t="shared" si="1"/>
      </c>
      <c r="N29" s="27">
        <f t="shared" si="2"/>
      </c>
      <c r="O29" s="637"/>
      <c r="P29" s="25">
        <f t="shared" si="15"/>
      </c>
      <c r="Q29" s="699">
        <f t="shared" si="3"/>
      </c>
      <c r="R29" s="25">
        <f t="shared" si="16"/>
      </c>
      <c r="S29" s="338">
        <f t="shared" si="4"/>
        <v>3</v>
      </c>
      <c r="T29" s="342" t="str">
        <f t="shared" si="5"/>
        <v>--</v>
      </c>
      <c r="U29" s="348" t="str">
        <f t="shared" si="6"/>
        <v>--</v>
      </c>
      <c r="V29" s="357" t="str">
        <f t="shared" si="7"/>
        <v>--</v>
      </c>
      <c r="W29" s="358" t="str">
        <f t="shared" si="8"/>
        <v>--</v>
      </c>
      <c r="X29" s="366" t="str">
        <f t="shared" si="9"/>
        <v>--</v>
      </c>
      <c r="Y29" s="367" t="str">
        <f t="shared" si="10"/>
        <v>--</v>
      </c>
      <c r="Z29" s="372" t="str">
        <f t="shared" si="11"/>
        <v>--</v>
      </c>
      <c r="AA29" s="378" t="str">
        <f t="shared" si="12"/>
        <v>--</v>
      </c>
      <c r="AB29" s="25">
        <f t="shared" si="13"/>
      </c>
      <c r="AC29" s="63">
        <f t="shared" si="14"/>
      </c>
      <c r="AD29" s="405"/>
    </row>
    <row r="30" spans="1:30" s="10" customFormat="1" ht="16.5" customHeight="1">
      <c r="A30" s="167"/>
      <c r="B30" s="173"/>
      <c r="C30" s="632"/>
      <c r="D30" s="632"/>
      <c r="E30" s="632"/>
      <c r="F30" s="497"/>
      <c r="G30" s="496"/>
      <c r="H30" s="633"/>
      <c r="I30" s="634"/>
      <c r="J30" s="268">
        <f t="shared" si="0"/>
        <v>0</v>
      </c>
      <c r="K30" s="636"/>
      <c r="L30" s="636"/>
      <c r="M30" s="26">
        <f t="shared" si="1"/>
      </c>
      <c r="N30" s="27">
        <f t="shared" si="2"/>
      </c>
      <c r="O30" s="637"/>
      <c r="P30" s="25">
        <f t="shared" si="15"/>
      </c>
      <c r="Q30" s="699">
        <f t="shared" si="3"/>
      </c>
      <c r="R30" s="25">
        <f t="shared" si="16"/>
      </c>
      <c r="S30" s="338">
        <f t="shared" si="4"/>
        <v>3</v>
      </c>
      <c r="T30" s="342" t="str">
        <f t="shared" si="5"/>
        <v>--</v>
      </c>
      <c r="U30" s="348" t="str">
        <f t="shared" si="6"/>
        <v>--</v>
      </c>
      <c r="V30" s="357" t="str">
        <f t="shared" si="7"/>
        <v>--</v>
      </c>
      <c r="W30" s="358" t="str">
        <f t="shared" si="8"/>
        <v>--</v>
      </c>
      <c r="X30" s="366" t="str">
        <f t="shared" si="9"/>
        <v>--</v>
      </c>
      <c r="Y30" s="367" t="str">
        <f t="shared" si="10"/>
        <v>--</v>
      </c>
      <c r="Z30" s="372" t="str">
        <f t="shared" si="11"/>
        <v>--</v>
      </c>
      <c r="AA30" s="378" t="str">
        <f t="shared" si="12"/>
        <v>--</v>
      </c>
      <c r="AB30" s="25">
        <f t="shared" si="13"/>
      </c>
      <c r="AC30" s="63">
        <f t="shared" si="14"/>
      </c>
      <c r="AD30" s="38"/>
    </row>
    <row r="31" spans="1:30" s="10" customFormat="1" ht="16.5" customHeight="1">
      <c r="A31" s="167"/>
      <c r="B31" s="173"/>
      <c r="C31" s="632"/>
      <c r="D31" s="632"/>
      <c r="E31" s="632"/>
      <c r="F31" s="497"/>
      <c r="G31" s="496"/>
      <c r="H31" s="633"/>
      <c r="I31" s="634"/>
      <c r="J31" s="268">
        <f t="shared" si="0"/>
        <v>0</v>
      </c>
      <c r="K31" s="636"/>
      <c r="L31" s="636"/>
      <c r="M31" s="26">
        <f t="shared" si="1"/>
      </c>
      <c r="N31" s="27">
        <f t="shared" si="2"/>
      </c>
      <c r="O31" s="637"/>
      <c r="P31" s="25">
        <f t="shared" si="15"/>
      </c>
      <c r="Q31" s="699">
        <f t="shared" si="3"/>
      </c>
      <c r="R31" s="25">
        <f t="shared" si="16"/>
      </c>
      <c r="S31" s="338">
        <f t="shared" si="4"/>
        <v>3</v>
      </c>
      <c r="T31" s="342" t="str">
        <f t="shared" si="5"/>
        <v>--</v>
      </c>
      <c r="U31" s="348" t="str">
        <f t="shared" si="6"/>
        <v>--</v>
      </c>
      <c r="V31" s="357" t="str">
        <f t="shared" si="7"/>
        <v>--</v>
      </c>
      <c r="W31" s="358" t="str">
        <f t="shared" si="8"/>
        <v>--</v>
      </c>
      <c r="X31" s="366" t="str">
        <f t="shared" si="9"/>
        <v>--</v>
      </c>
      <c r="Y31" s="367" t="str">
        <f t="shared" si="10"/>
        <v>--</v>
      </c>
      <c r="Z31" s="372" t="str">
        <f t="shared" si="11"/>
        <v>--</v>
      </c>
      <c r="AA31" s="378" t="str">
        <f t="shared" si="12"/>
        <v>--</v>
      </c>
      <c r="AB31" s="25">
        <f t="shared" si="13"/>
      </c>
      <c r="AC31" s="63">
        <f t="shared" si="14"/>
      </c>
      <c r="AD31" s="38"/>
    </row>
    <row r="32" spans="1:30" s="10" customFormat="1" ht="16.5" customHeight="1">
      <c r="A32" s="167"/>
      <c r="B32" s="173"/>
      <c r="C32" s="632"/>
      <c r="D32" s="632"/>
      <c r="E32" s="632"/>
      <c r="F32" s="497"/>
      <c r="G32" s="496"/>
      <c r="H32" s="633"/>
      <c r="I32" s="634"/>
      <c r="J32" s="268">
        <f t="shared" si="0"/>
        <v>0</v>
      </c>
      <c r="K32" s="636"/>
      <c r="L32" s="636"/>
      <c r="M32" s="26">
        <f t="shared" si="1"/>
      </c>
      <c r="N32" s="27">
        <f t="shared" si="2"/>
      </c>
      <c r="O32" s="637"/>
      <c r="P32" s="25">
        <f t="shared" si="15"/>
      </c>
      <c r="Q32" s="699">
        <f t="shared" si="3"/>
      </c>
      <c r="R32" s="25">
        <f t="shared" si="16"/>
      </c>
      <c r="S32" s="338">
        <f t="shared" si="4"/>
        <v>3</v>
      </c>
      <c r="T32" s="342" t="str">
        <f t="shared" si="5"/>
        <v>--</v>
      </c>
      <c r="U32" s="348" t="str">
        <f t="shared" si="6"/>
        <v>--</v>
      </c>
      <c r="V32" s="357" t="str">
        <f t="shared" si="7"/>
        <v>--</v>
      </c>
      <c r="W32" s="358" t="str">
        <f t="shared" si="8"/>
        <v>--</v>
      </c>
      <c r="X32" s="366" t="str">
        <f t="shared" si="9"/>
        <v>--</v>
      </c>
      <c r="Y32" s="367" t="str">
        <f t="shared" si="10"/>
        <v>--</v>
      </c>
      <c r="Z32" s="372" t="str">
        <f t="shared" si="11"/>
        <v>--</v>
      </c>
      <c r="AA32" s="378" t="str">
        <f t="shared" si="12"/>
        <v>--</v>
      </c>
      <c r="AB32" s="25">
        <f t="shared" si="13"/>
      </c>
      <c r="AC32" s="63">
        <f t="shared" si="14"/>
      </c>
      <c r="AD32" s="38"/>
    </row>
    <row r="33" spans="1:30" s="10" customFormat="1" ht="16.5" customHeight="1">
      <c r="A33" s="167"/>
      <c r="B33" s="173"/>
      <c r="C33" s="632"/>
      <c r="D33" s="632"/>
      <c r="E33" s="632"/>
      <c r="F33" s="497"/>
      <c r="G33" s="496"/>
      <c r="H33" s="633"/>
      <c r="I33" s="634"/>
      <c r="J33" s="268">
        <f t="shared" si="0"/>
        <v>0</v>
      </c>
      <c r="K33" s="636"/>
      <c r="L33" s="636"/>
      <c r="M33" s="26">
        <f t="shared" si="1"/>
      </c>
      <c r="N33" s="27">
        <f t="shared" si="2"/>
      </c>
      <c r="O33" s="637"/>
      <c r="P33" s="25">
        <f t="shared" si="15"/>
      </c>
      <c r="Q33" s="699">
        <f t="shared" si="3"/>
      </c>
      <c r="R33" s="25">
        <f t="shared" si="16"/>
      </c>
      <c r="S33" s="338">
        <f t="shared" si="4"/>
        <v>3</v>
      </c>
      <c r="T33" s="342" t="str">
        <f t="shared" si="5"/>
        <v>--</v>
      </c>
      <c r="U33" s="348" t="str">
        <f t="shared" si="6"/>
        <v>--</v>
      </c>
      <c r="V33" s="357" t="str">
        <f t="shared" si="7"/>
        <v>--</v>
      </c>
      <c r="W33" s="358" t="str">
        <f t="shared" si="8"/>
        <v>--</v>
      </c>
      <c r="X33" s="366" t="str">
        <f t="shared" si="9"/>
        <v>--</v>
      </c>
      <c r="Y33" s="367" t="str">
        <f t="shared" si="10"/>
        <v>--</v>
      </c>
      <c r="Z33" s="372" t="str">
        <f t="shared" si="11"/>
        <v>--</v>
      </c>
      <c r="AA33" s="378" t="str">
        <f t="shared" si="12"/>
        <v>--</v>
      </c>
      <c r="AB33" s="25">
        <f t="shared" si="13"/>
      </c>
      <c r="AC33" s="63">
        <f t="shared" si="14"/>
      </c>
      <c r="AD33" s="38"/>
    </row>
    <row r="34" spans="1:30" s="10" customFormat="1" ht="16.5" customHeight="1">
      <c r="A34" s="167"/>
      <c r="B34" s="173"/>
      <c r="C34" s="632"/>
      <c r="D34" s="632"/>
      <c r="E34" s="632"/>
      <c r="F34" s="497"/>
      <c r="G34" s="496"/>
      <c r="H34" s="633"/>
      <c r="I34" s="634"/>
      <c r="J34" s="268">
        <f t="shared" si="0"/>
        <v>0</v>
      </c>
      <c r="K34" s="636"/>
      <c r="L34" s="636"/>
      <c r="M34" s="26">
        <f t="shared" si="1"/>
      </c>
      <c r="N34" s="27">
        <f t="shared" si="2"/>
      </c>
      <c r="O34" s="637"/>
      <c r="P34" s="25">
        <f t="shared" si="15"/>
      </c>
      <c r="Q34" s="699">
        <f t="shared" si="3"/>
      </c>
      <c r="R34" s="25">
        <f t="shared" si="16"/>
      </c>
      <c r="S34" s="338">
        <f t="shared" si="4"/>
        <v>3</v>
      </c>
      <c r="T34" s="342" t="str">
        <f t="shared" si="5"/>
        <v>--</v>
      </c>
      <c r="U34" s="348" t="str">
        <f t="shared" si="6"/>
        <v>--</v>
      </c>
      <c r="V34" s="357" t="str">
        <f t="shared" si="7"/>
        <v>--</v>
      </c>
      <c r="W34" s="358" t="str">
        <f t="shared" si="8"/>
        <v>--</v>
      </c>
      <c r="X34" s="366" t="str">
        <f t="shared" si="9"/>
        <v>--</v>
      </c>
      <c r="Y34" s="367" t="str">
        <f t="shared" si="10"/>
        <v>--</v>
      </c>
      <c r="Z34" s="372" t="str">
        <f t="shared" si="11"/>
        <v>--</v>
      </c>
      <c r="AA34" s="378" t="str">
        <f t="shared" si="12"/>
        <v>--</v>
      </c>
      <c r="AB34" s="25">
        <f t="shared" si="13"/>
      </c>
      <c r="AC34" s="63">
        <f t="shared" si="14"/>
      </c>
      <c r="AD34" s="38"/>
    </row>
    <row r="35" spans="1:30" s="10" customFormat="1" ht="16.5" customHeight="1">
      <c r="A35" s="167"/>
      <c r="B35" s="173"/>
      <c r="C35" s="632"/>
      <c r="D35" s="632"/>
      <c r="E35" s="632"/>
      <c r="F35" s="497"/>
      <c r="G35" s="496"/>
      <c r="H35" s="633"/>
      <c r="I35" s="634"/>
      <c r="J35" s="268">
        <f t="shared" si="0"/>
        <v>0</v>
      </c>
      <c r="K35" s="636"/>
      <c r="L35" s="636"/>
      <c r="M35" s="26">
        <f t="shared" si="1"/>
      </c>
      <c r="N35" s="27">
        <f t="shared" si="2"/>
      </c>
      <c r="O35" s="637"/>
      <c r="P35" s="25">
        <f t="shared" si="15"/>
      </c>
      <c r="Q35" s="699">
        <f t="shared" si="3"/>
      </c>
      <c r="R35" s="25">
        <f t="shared" si="16"/>
      </c>
      <c r="S35" s="338">
        <f t="shared" si="4"/>
        <v>3</v>
      </c>
      <c r="T35" s="342" t="str">
        <f t="shared" si="5"/>
        <v>--</v>
      </c>
      <c r="U35" s="348" t="str">
        <f t="shared" si="6"/>
        <v>--</v>
      </c>
      <c r="V35" s="357" t="str">
        <f t="shared" si="7"/>
        <v>--</v>
      </c>
      <c r="W35" s="358" t="str">
        <f t="shared" si="8"/>
        <v>--</v>
      </c>
      <c r="X35" s="366" t="str">
        <f t="shared" si="9"/>
        <v>--</v>
      </c>
      <c r="Y35" s="367" t="str">
        <f t="shared" si="10"/>
        <v>--</v>
      </c>
      <c r="Z35" s="372" t="str">
        <f t="shared" si="11"/>
        <v>--</v>
      </c>
      <c r="AA35" s="378" t="str">
        <f t="shared" si="12"/>
        <v>--</v>
      </c>
      <c r="AB35" s="25">
        <f t="shared" si="13"/>
      </c>
      <c r="AC35" s="63">
        <f t="shared" si="14"/>
      </c>
      <c r="AD35" s="38"/>
    </row>
    <row r="36" spans="1:30" s="10" customFormat="1" ht="16.5" customHeight="1">
      <c r="A36" s="167"/>
      <c r="B36" s="173"/>
      <c r="C36" s="632"/>
      <c r="D36" s="632"/>
      <c r="E36" s="632"/>
      <c r="F36" s="497"/>
      <c r="G36" s="496"/>
      <c r="H36" s="633"/>
      <c r="I36" s="634"/>
      <c r="J36" s="268">
        <f t="shared" si="0"/>
        <v>0</v>
      </c>
      <c r="K36" s="636"/>
      <c r="L36" s="636"/>
      <c r="M36" s="26">
        <f t="shared" si="1"/>
      </c>
      <c r="N36" s="27">
        <f t="shared" si="2"/>
      </c>
      <c r="O36" s="637"/>
      <c r="P36" s="25">
        <f t="shared" si="15"/>
      </c>
      <c r="Q36" s="699">
        <f t="shared" si="3"/>
      </c>
      <c r="R36" s="25">
        <f t="shared" si="16"/>
      </c>
      <c r="S36" s="338">
        <f t="shared" si="4"/>
        <v>3</v>
      </c>
      <c r="T36" s="342" t="str">
        <f t="shared" si="5"/>
        <v>--</v>
      </c>
      <c r="U36" s="348" t="str">
        <f t="shared" si="6"/>
        <v>--</v>
      </c>
      <c r="V36" s="357" t="str">
        <f t="shared" si="7"/>
        <v>--</v>
      </c>
      <c r="W36" s="358" t="str">
        <f t="shared" si="8"/>
        <v>--</v>
      </c>
      <c r="X36" s="366" t="str">
        <f t="shared" si="9"/>
        <v>--</v>
      </c>
      <c r="Y36" s="367" t="str">
        <f t="shared" si="10"/>
        <v>--</v>
      </c>
      <c r="Z36" s="372" t="str">
        <f t="shared" si="11"/>
        <v>--</v>
      </c>
      <c r="AA36" s="378" t="str">
        <f t="shared" si="12"/>
        <v>--</v>
      </c>
      <c r="AB36" s="25">
        <f t="shared" si="13"/>
      </c>
      <c r="AC36" s="63">
        <f t="shared" si="14"/>
      </c>
      <c r="AD36" s="38"/>
    </row>
    <row r="37" spans="1:30" s="10" customFormat="1" ht="16.5" customHeight="1">
      <c r="A37" s="167"/>
      <c r="B37" s="173"/>
      <c r="C37" s="632"/>
      <c r="D37" s="632"/>
      <c r="E37" s="632"/>
      <c r="F37" s="497"/>
      <c r="G37" s="496"/>
      <c r="H37" s="633"/>
      <c r="I37" s="634"/>
      <c r="J37" s="268">
        <f t="shared" si="0"/>
        <v>0</v>
      </c>
      <c r="K37" s="636"/>
      <c r="L37" s="636"/>
      <c r="M37" s="26">
        <f t="shared" si="1"/>
      </c>
      <c r="N37" s="27">
        <f t="shared" si="2"/>
      </c>
      <c r="O37" s="637"/>
      <c r="P37" s="25">
        <f t="shared" si="15"/>
      </c>
      <c r="Q37" s="699">
        <f t="shared" si="3"/>
      </c>
      <c r="R37" s="25">
        <f t="shared" si="16"/>
      </c>
      <c r="S37" s="338">
        <f t="shared" si="4"/>
        <v>3</v>
      </c>
      <c r="T37" s="342" t="str">
        <f t="shared" si="5"/>
        <v>--</v>
      </c>
      <c r="U37" s="348" t="str">
        <f t="shared" si="6"/>
        <v>--</v>
      </c>
      <c r="V37" s="357" t="str">
        <f t="shared" si="7"/>
        <v>--</v>
      </c>
      <c r="W37" s="358" t="str">
        <f t="shared" si="8"/>
        <v>--</v>
      </c>
      <c r="X37" s="366" t="str">
        <f t="shared" si="9"/>
        <v>--</v>
      </c>
      <c r="Y37" s="367" t="str">
        <f t="shared" si="10"/>
        <v>--</v>
      </c>
      <c r="Z37" s="372" t="str">
        <f t="shared" si="11"/>
        <v>--</v>
      </c>
      <c r="AA37" s="378" t="str">
        <f t="shared" si="12"/>
        <v>--</v>
      </c>
      <c r="AB37" s="25">
        <f t="shared" si="13"/>
      </c>
      <c r="AC37" s="63">
        <f t="shared" si="14"/>
      </c>
      <c r="AD37" s="38"/>
    </row>
    <row r="38" spans="1:30" s="10" customFormat="1" ht="16.5" customHeight="1">
      <c r="A38" s="167"/>
      <c r="B38" s="173"/>
      <c r="C38" s="632"/>
      <c r="D38" s="632"/>
      <c r="E38" s="632"/>
      <c r="F38" s="497"/>
      <c r="G38" s="496"/>
      <c r="H38" s="633"/>
      <c r="I38" s="634"/>
      <c r="J38" s="268">
        <f t="shared" si="0"/>
        <v>0</v>
      </c>
      <c r="K38" s="636"/>
      <c r="L38" s="636"/>
      <c r="M38" s="26">
        <f t="shared" si="1"/>
      </c>
      <c r="N38" s="27">
        <f t="shared" si="2"/>
      </c>
      <c r="O38" s="637"/>
      <c r="P38" s="25">
        <f t="shared" si="15"/>
      </c>
      <c r="Q38" s="699">
        <f t="shared" si="3"/>
      </c>
      <c r="R38" s="25">
        <f t="shared" si="16"/>
      </c>
      <c r="S38" s="338">
        <f t="shared" si="4"/>
        <v>3</v>
      </c>
      <c r="T38" s="342" t="str">
        <f t="shared" si="5"/>
        <v>--</v>
      </c>
      <c r="U38" s="348" t="str">
        <f t="shared" si="6"/>
        <v>--</v>
      </c>
      <c r="V38" s="357" t="str">
        <f t="shared" si="7"/>
        <v>--</v>
      </c>
      <c r="W38" s="358" t="str">
        <f t="shared" si="8"/>
        <v>--</v>
      </c>
      <c r="X38" s="366" t="str">
        <f t="shared" si="9"/>
        <v>--</v>
      </c>
      <c r="Y38" s="367" t="str">
        <f t="shared" si="10"/>
        <v>--</v>
      </c>
      <c r="Z38" s="372" t="str">
        <f t="shared" si="11"/>
        <v>--</v>
      </c>
      <c r="AA38" s="378" t="str">
        <f t="shared" si="12"/>
        <v>--</v>
      </c>
      <c r="AB38" s="25">
        <f t="shared" si="13"/>
      </c>
      <c r="AC38" s="63">
        <f t="shared" si="14"/>
      </c>
      <c r="AD38" s="38"/>
    </row>
    <row r="39" spans="1:30" s="10" customFormat="1" ht="16.5" customHeight="1">
      <c r="A39" s="167"/>
      <c r="B39" s="173"/>
      <c r="C39" s="632"/>
      <c r="D39" s="632"/>
      <c r="E39" s="632"/>
      <c r="F39" s="497"/>
      <c r="G39" s="496"/>
      <c r="H39" s="633"/>
      <c r="I39" s="634"/>
      <c r="J39" s="268">
        <f t="shared" si="0"/>
        <v>0</v>
      </c>
      <c r="K39" s="636"/>
      <c r="L39" s="636"/>
      <c r="M39" s="26">
        <f t="shared" si="1"/>
      </c>
      <c r="N39" s="27">
        <f t="shared" si="2"/>
      </c>
      <c r="O39" s="637"/>
      <c r="P39" s="25">
        <f t="shared" si="15"/>
      </c>
      <c r="Q39" s="699">
        <f t="shared" si="3"/>
      </c>
      <c r="R39" s="25">
        <f t="shared" si="16"/>
      </c>
      <c r="S39" s="338">
        <f t="shared" si="4"/>
        <v>3</v>
      </c>
      <c r="T39" s="342" t="str">
        <f t="shared" si="5"/>
        <v>--</v>
      </c>
      <c r="U39" s="348" t="str">
        <f t="shared" si="6"/>
        <v>--</v>
      </c>
      <c r="V39" s="357" t="str">
        <f t="shared" si="7"/>
        <v>--</v>
      </c>
      <c r="W39" s="358" t="str">
        <f t="shared" si="8"/>
        <v>--</v>
      </c>
      <c r="X39" s="366" t="str">
        <f t="shared" si="9"/>
        <v>--</v>
      </c>
      <c r="Y39" s="367" t="str">
        <f t="shared" si="10"/>
        <v>--</v>
      </c>
      <c r="Z39" s="372" t="str">
        <f t="shared" si="11"/>
        <v>--</v>
      </c>
      <c r="AA39" s="378" t="str">
        <f t="shared" si="12"/>
        <v>--</v>
      </c>
      <c r="AB39" s="25">
        <f t="shared" si="13"/>
      </c>
      <c r="AC39" s="63">
        <f t="shared" si="14"/>
      </c>
      <c r="AD39" s="38"/>
    </row>
    <row r="40" spans="1:30" s="10" customFormat="1" ht="16.5" customHeight="1">
      <c r="A40" s="167"/>
      <c r="B40" s="173"/>
      <c r="C40" s="632"/>
      <c r="D40" s="632"/>
      <c r="E40" s="632"/>
      <c r="F40" s="497"/>
      <c r="G40" s="496"/>
      <c r="H40" s="633"/>
      <c r="I40" s="634"/>
      <c r="J40" s="268">
        <f t="shared" si="0"/>
        <v>0</v>
      </c>
      <c r="K40" s="636"/>
      <c r="L40" s="636"/>
      <c r="M40" s="26">
        <f t="shared" si="1"/>
      </c>
      <c r="N40" s="27">
        <f t="shared" si="2"/>
      </c>
      <c r="O40" s="637"/>
      <c r="P40" s="25">
        <f t="shared" si="15"/>
      </c>
      <c r="Q40" s="699">
        <f t="shared" si="3"/>
      </c>
      <c r="R40" s="25">
        <f t="shared" si="16"/>
      </c>
      <c r="S40" s="338">
        <f t="shared" si="4"/>
        <v>3</v>
      </c>
      <c r="T40" s="342" t="str">
        <f t="shared" si="5"/>
        <v>--</v>
      </c>
      <c r="U40" s="348" t="str">
        <f t="shared" si="6"/>
        <v>--</v>
      </c>
      <c r="V40" s="357" t="str">
        <f t="shared" si="7"/>
        <v>--</v>
      </c>
      <c r="W40" s="358" t="str">
        <f t="shared" si="8"/>
        <v>--</v>
      </c>
      <c r="X40" s="366" t="str">
        <f t="shared" si="9"/>
        <v>--</v>
      </c>
      <c r="Y40" s="367" t="str">
        <f t="shared" si="10"/>
        <v>--</v>
      </c>
      <c r="Z40" s="372" t="str">
        <f t="shared" si="11"/>
        <v>--</v>
      </c>
      <c r="AA40" s="378" t="str">
        <f t="shared" si="12"/>
        <v>--</v>
      </c>
      <c r="AB40" s="25">
        <f t="shared" si="13"/>
      </c>
      <c r="AC40" s="63">
        <f t="shared" si="14"/>
      </c>
      <c r="AD40" s="38"/>
    </row>
    <row r="41" spans="1:30" s="10" customFormat="1" ht="16.5" customHeight="1">
      <c r="A41" s="167"/>
      <c r="B41" s="173"/>
      <c r="C41" s="632"/>
      <c r="D41" s="632"/>
      <c r="E41" s="632"/>
      <c r="F41" s="497"/>
      <c r="G41" s="496"/>
      <c r="H41" s="633"/>
      <c r="I41" s="634"/>
      <c r="J41" s="268">
        <f t="shared" si="0"/>
        <v>0</v>
      </c>
      <c r="K41" s="636"/>
      <c r="L41" s="636"/>
      <c r="M41" s="26">
        <f t="shared" si="1"/>
      </c>
      <c r="N41" s="27">
        <f t="shared" si="2"/>
      </c>
      <c r="O41" s="637"/>
      <c r="P41" s="25">
        <f t="shared" si="15"/>
      </c>
      <c r="Q41" s="699">
        <f t="shared" si="3"/>
      </c>
      <c r="R41" s="25">
        <f t="shared" si="16"/>
      </c>
      <c r="S41" s="338">
        <f t="shared" si="4"/>
        <v>3</v>
      </c>
      <c r="T41" s="342" t="str">
        <f t="shared" si="5"/>
        <v>--</v>
      </c>
      <c r="U41" s="348" t="str">
        <f t="shared" si="6"/>
        <v>--</v>
      </c>
      <c r="V41" s="357" t="str">
        <f t="shared" si="7"/>
        <v>--</v>
      </c>
      <c r="W41" s="358" t="str">
        <f t="shared" si="8"/>
        <v>--</v>
      </c>
      <c r="X41" s="366" t="str">
        <f t="shared" si="9"/>
        <v>--</v>
      </c>
      <c r="Y41" s="367" t="str">
        <f t="shared" si="10"/>
        <v>--</v>
      </c>
      <c r="Z41" s="372" t="str">
        <f t="shared" si="11"/>
        <v>--</v>
      </c>
      <c r="AA41" s="378" t="str">
        <f t="shared" si="12"/>
        <v>--</v>
      </c>
      <c r="AB41" s="25">
        <f t="shared" si="13"/>
      </c>
      <c r="AC41" s="63">
        <f t="shared" si="14"/>
      </c>
      <c r="AD41" s="38"/>
    </row>
    <row r="42" spans="1:30" s="10" customFormat="1" ht="16.5" customHeight="1">
      <c r="A42" s="167"/>
      <c r="B42" s="173"/>
      <c r="C42" s="632"/>
      <c r="D42" s="632"/>
      <c r="E42" s="632"/>
      <c r="F42" s="497"/>
      <c r="G42" s="496"/>
      <c r="H42" s="633"/>
      <c r="I42" s="634"/>
      <c r="J42" s="268">
        <f t="shared" si="0"/>
        <v>0</v>
      </c>
      <c r="K42" s="636"/>
      <c r="L42" s="636"/>
      <c r="M42" s="26">
        <f t="shared" si="1"/>
      </c>
      <c r="N42" s="27">
        <f t="shared" si="2"/>
      </c>
      <c r="O42" s="637"/>
      <c r="P42" s="25">
        <f t="shared" si="15"/>
      </c>
      <c r="Q42" s="699">
        <f t="shared" si="3"/>
      </c>
      <c r="R42" s="25">
        <f t="shared" si="16"/>
      </c>
      <c r="S42" s="338">
        <f t="shared" si="4"/>
        <v>3</v>
      </c>
      <c r="T42" s="342" t="str">
        <f t="shared" si="5"/>
        <v>--</v>
      </c>
      <c r="U42" s="348" t="str">
        <f t="shared" si="6"/>
        <v>--</v>
      </c>
      <c r="V42" s="357" t="str">
        <f t="shared" si="7"/>
        <v>--</v>
      </c>
      <c r="W42" s="358" t="str">
        <f t="shared" si="8"/>
        <v>--</v>
      </c>
      <c r="X42" s="366" t="str">
        <f t="shared" si="9"/>
        <v>--</v>
      </c>
      <c r="Y42" s="367" t="str">
        <f t="shared" si="10"/>
        <v>--</v>
      </c>
      <c r="Z42" s="372" t="str">
        <f t="shared" si="11"/>
        <v>--</v>
      </c>
      <c r="AA42" s="378" t="str">
        <f t="shared" si="12"/>
        <v>--</v>
      </c>
      <c r="AB42" s="25">
        <f t="shared" si="13"/>
      </c>
      <c r="AC42" s="63">
        <f t="shared" si="14"/>
      </c>
      <c r="AD42" s="38"/>
    </row>
    <row r="43" spans="1:30" s="10" customFormat="1" ht="16.5" customHeight="1">
      <c r="A43" s="167"/>
      <c r="B43" s="173"/>
      <c r="C43" s="632"/>
      <c r="D43" s="632"/>
      <c r="E43" s="632"/>
      <c r="F43" s="497"/>
      <c r="G43" s="496"/>
      <c r="H43" s="633"/>
      <c r="I43" s="634"/>
      <c r="J43" s="268">
        <f t="shared" si="0"/>
        <v>0</v>
      </c>
      <c r="K43" s="636"/>
      <c r="L43" s="636"/>
      <c r="M43" s="26">
        <f t="shared" si="1"/>
      </c>
      <c r="N43" s="27">
        <f t="shared" si="2"/>
      </c>
      <c r="O43" s="637"/>
      <c r="P43" s="25">
        <f t="shared" si="15"/>
      </c>
      <c r="Q43" s="699">
        <f t="shared" si="3"/>
      </c>
      <c r="R43" s="25">
        <f t="shared" si="16"/>
      </c>
      <c r="S43" s="338">
        <f t="shared" si="4"/>
        <v>3</v>
      </c>
      <c r="T43" s="342" t="str">
        <f t="shared" si="5"/>
        <v>--</v>
      </c>
      <c r="U43" s="348" t="str">
        <f t="shared" si="6"/>
        <v>--</v>
      </c>
      <c r="V43" s="357" t="str">
        <f t="shared" si="7"/>
        <v>--</v>
      </c>
      <c r="W43" s="358" t="str">
        <f t="shared" si="8"/>
        <v>--</v>
      </c>
      <c r="X43" s="366" t="str">
        <f t="shared" si="9"/>
        <v>--</v>
      </c>
      <c r="Y43" s="367" t="str">
        <f t="shared" si="10"/>
        <v>--</v>
      </c>
      <c r="Z43" s="372" t="str">
        <f t="shared" si="11"/>
        <v>--</v>
      </c>
      <c r="AA43" s="378" t="str">
        <f t="shared" si="12"/>
        <v>--</v>
      </c>
      <c r="AB43" s="25">
        <f t="shared" si="13"/>
      </c>
      <c r="AC43" s="63">
        <f t="shared" si="14"/>
      </c>
      <c r="AD43" s="38"/>
    </row>
    <row r="44" spans="1:30" s="10" customFormat="1" ht="16.5" customHeight="1" thickBot="1">
      <c r="A44" s="167"/>
      <c r="B44" s="173"/>
      <c r="C44" s="635"/>
      <c r="D44" s="635"/>
      <c r="E44" s="635"/>
      <c r="F44" s="635"/>
      <c r="G44" s="635"/>
      <c r="H44" s="635"/>
      <c r="I44" s="635"/>
      <c r="J44" s="272"/>
      <c r="K44" s="635"/>
      <c r="L44" s="635"/>
      <c r="M44" s="29"/>
      <c r="N44" s="29"/>
      <c r="O44" s="635"/>
      <c r="P44" s="635"/>
      <c r="Q44" s="635"/>
      <c r="R44" s="635"/>
      <c r="S44" s="339"/>
      <c r="T44" s="343"/>
      <c r="U44" s="349"/>
      <c r="V44" s="381"/>
      <c r="W44" s="382"/>
      <c r="X44" s="383"/>
      <c r="Y44" s="384"/>
      <c r="Z44" s="373"/>
      <c r="AA44" s="379"/>
      <c r="AB44" s="29"/>
      <c r="AC44" s="215"/>
      <c r="AD44" s="38"/>
    </row>
    <row r="45" spans="1:30" s="10" customFormat="1" ht="16.5" customHeight="1" thickBot="1" thickTop="1">
      <c r="A45" s="167"/>
      <c r="B45" s="173"/>
      <c r="C45" s="240" t="s">
        <v>64</v>
      </c>
      <c r="D45" s="720"/>
      <c r="E45" s="682"/>
      <c r="F45" s="241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44">
        <f aca="true" t="shared" si="17" ref="T45:AA45">SUM(T22:T44)</f>
        <v>0</v>
      </c>
      <c r="U45" s="350">
        <f t="shared" si="17"/>
        <v>0</v>
      </c>
      <c r="V45" s="359">
        <f t="shared" si="17"/>
        <v>120.285</v>
      </c>
      <c r="W45" s="359">
        <f t="shared" si="17"/>
        <v>147.8412</v>
      </c>
      <c r="X45" s="368">
        <f t="shared" si="17"/>
        <v>0</v>
      </c>
      <c r="Y45" s="368">
        <f t="shared" si="17"/>
        <v>0</v>
      </c>
      <c r="Z45" s="374">
        <f t="shared" si="17"/>
        <v>0</v>
      </c>
      <c r="AA45" s="380">
        <f t="shared" si="17"/>
        <v>0</v>
      </c>
      <c r="AB45" s="31"/>
      <c r="AC45" s="256">
        <f>ROUND(SUM(AC22:AC44),2)</f>
        <v>268.13</v>
      </c>
      <c r="AD45" s="38"/>
    </row>
    <row r="46" spans="1:30" s="258" customFormat="1" ht="9.75" thickTop="1">
      <c r="A46" s="259"/>
      <c r="B46" s="260"/>
      <c r="C46" s="242"/>
      <c r="D46" s="242"/>
      <c r="E46" s="242"/>
      <c r="F46" s="243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2"/>
      <c r="U46" s="262"/>
      <c r="V46" s="262"/>
      <c r="W46" s="262"/>
      <c r="X46" s="262"/>
      <c r="Y46" s="262"/>
      <c r="Z46" s="262"/>
      <c r="AA46" s="262"/>
      <c r="AB46" s="261"/>
      <c r="AC46" s="263"/>
      <c r="AD46" s="264"/>
    </row>
    <row r="47" spans="1:30" s="10" customFormat="1" ht="16.5" customHeight="1" thickBot="1">
      <c r="A47" s="167"/>
      <c r="B47" s="180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2"/>
    </row>
    <row r="48" spans="2:30" ht="16.5" customHeight="1" thickTop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4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/>
  <printOptions/>
  <pageMargins left="0.3937007874015748" right="0.51" top="0.7874015748031497" bottom="0.7874015748031497" header="0.5118110236220472" footer="0.5118110236220472"/>
  <pageSetup fitToHeight="1" fitToWidth="1" horizontalDpi="300" verticalDpi="300" orientation="landscape" paperSize="9" scale="63" r:id="rId3"/>
  <headerFooter alignWithMargins="0">
    <oddFooter>&amp;L&amp;"Times New Roman,Normal"&amp;8&amp;Z&amp;F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zoomScale="70" zoomScaleNormal="70" zoomScalePageLayoutView="0" workbookViewId="0" topLeftCell="A1">
      <selection activeCell="I17" sqref="I17"/>
    </sheetView>
  </sheetViews>
  <sheetFormatPr defaultColWidth="11.421875" defaultRowHeight="12.75"/>
  <cols>
    <col min="1" max="2" width="4.00390625" style="0" customWidth="1"/>
    <col min="3" max="3" width="4.140625" style="0" customWidth="1"/>
    <col min="4" max="5" width="13.8515625" style="0" customWidth="1"/>
    <col min="6" max="7" width="25.7109375" style="0" customWidth="1"/>
    <col min="8" max="8" width="7.7109375" style="0" customWidth="1"/>
    <col min="9" max="9" width="12.7109375" style="0" customWidth="1"/>
    <col min="10" max="10" width="11.8515625" style="0" hidden="1" customWidth="1"/>
    <col min="11" max="12" width="15.7109375" style="0" customWidth="1"/>
    <col min="13" max="15" width="9.7109375" style="0" customWidth="1"/>
    <col min="16" max="16" width="5.8515625" style="0" customWidth="1"/>
    <col min="17" max="18" width="7.00390625" style="0" customWidth="1"/>
    <col min="19" max="19" width="11.7109375" style="0" hidden="1" customWidth="1"/>
    <col min="20" max="21" width="14.00390625" style="0" hidden="1" customWidth="1"/>
    <col min="22" max="22" width="14.28125" style="0" hidden="1" customWidth="1"/>
    <col min="23" max="27" width="14.140625" style="0" hidden="1" customWidth="1"/>
    <col min="28" max="28" width="9.00390625" style="0" customWidth="1"/>
    <col min="29" max="29" width="15.7109375" style="0" customWidth="1"/>
    <col min="30" max="30" width="4.00390625" style="0" customWidth="1"/>
  </cols>
  <sheetData>
    <row r="1" spans="5:30" s="109" customFormat="1" ht="26.25"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493"/>
    </row>
    <row r="2" spans="2:30" s="109" customFormat="1" ht="26.25">
      <c r="B2" s="110" t="str">
        <f>+'TOT-0214'!B2</f>
        <v>ANEXO II al Memorándum  D.T.E.E.  N°  223 /2016               .-</v>
      </c>
      <c r="C2" s="111"/>
      <c r="D2" s="111"/>
      <c r="E2" s="169"/>
      <c r="F2" s="169"/>
      <c r="G2" s="110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</row>
    <row r="3" spans="5:30" s="10" customFormat="1" ht="12.75"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</row>
    <row r="4" spans="1:30" s="112" customFormat="1" ht="11.25">
      <c r="A4" s="685" t="s">
        <v>16</v>
      </c>
      <c r="C4" s="684"/>
      <c r="D4" s="684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</row>
    <row r="5" spans="1:30" s="112" customFormat="1" ht="11.25">
      <c r="A5" s="685" t="s">
        <v>146</v>
      </c>
      <c r="C5" s="684"/>
      <c r="D5" s="684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</row>
    <row r="6" spans="1:30" s="10" customFormat="1" ht="13.5" thickBot="1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</row>
    <row r="7" spans="1:30" s="10" customFormat="1" ht="13.5" thickTop="1">
      <c r="A7" s="167"/>
      <c r="B7" s="170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2"/>
    </row>
    <row r="8" spans="1:30" s="114" customFormat="1" ht="20.25">
      <c r="A8" s="187"/>
      <c r="B8" s="188"/>
      <c r="C8" s="175"/>
      <c r="D8" s="175"/>
      <c r="E8" s="175"/>
      <c r="F8" s="21" t="s">
        <v>40</v>
      </c>
      <c r="H8" s="175"/>
      <c r="I8" s="187"/>
      <c r="J8" s="187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89"/>
    </row>
    <row r="9" spans="1:30" s="114" customFormat="1" ht="7.5" customHeight="1">
      <c r="A9" s="187"/>
      <c r="B9" s="188"/>
      <c r="C9" s="175"/>
      <c r="D9" s="175"/>
      <c r="E9" s="175"/>
      <c r="F9" s="21"/>
      <c r="H9" s="175"/>
      <c r="I9" s="187"/>
      <c r="J9" s="187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89"/>
    </row>
    <row r="10" spans="1:30" s="10" customFormat="1" ht="7.5" customHeight="1">
      <c r="A10" s="167"/>
      <c r="B10" s="173"/>
      <c r="C10" s="30"/>
      <c r="D10" s="30"/>
      <c r="E10" s="30"/>
      <c r="F10" s="30"/>
      <c r="G10" s="30"/>
      <c r="H10" s="30"/>
      <c r="I10" s="167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8"/>
    </row>
    <row r="11" spans="1:30" s="114" customFormat="1" ht="20.25">
      <c r="A11" s="187"/>
      <c r="B11" s="188"/>
      <c r="C11" s="175"/>
      <c r="D11" s="175"/>
      <c r="E11" s="175"/>
      <c r="F11" s="216" t="s">
        <v>178</v>
      </c>
      <c r="G11" s="175"/>
      <c r="H11" s="175"/>
      <c r="I11" s="187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89"/>
    </row>
    <row r="12" spans="1:30" s="114" customFormat="1" ht="8.25" customHeight="1">
      <c r="A12" s="187"/>
      <c r="B12" s="188"/>
      <c r="C12" s="175"/>
      <c r="D12" s="175"/>
      <c r="E12" s="175"/>
      <c r="F12" s="216"/>
      <c r="G12" s="175"/>
      <c r="H12" s="175"/>
      <c r="I12" s="187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89"/>
    </row>
    <row r="13" spans="1:30" s="10" customFormat="1" ht="8.25" customHeight="1">
      <c r="A13" s="167"/>
      <c r="B13" s="173"/>
      <c r="C13" s="30"/>
      <c r="D13" s="30"/>
      <c r="E13" s="30"/>
      <c r="F13" s="123"/>
      <c r="G13" s="177"/>
      <c r="H13" s="177"/>
      <c r="I13" s="178"/>
      <c r="J13" s="176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8"/>
    </row>
    <row r="14" spans="1:30" s="121" customFormat="1" ht="19.5">
      <c r="A14" s="193"/>
      <c r="B14" s="87" t="str">
        <f>+'TOT-0214'!B14</f>
        <v>Desde el 01 al 28 de febrero de 2014</v>
      </c>
      <c r="C14" s="194"/>
      <c r="D14" s="194"/>
      <c r="E14" s="194"/>
      <c r="F14" s="194"/>
      <c r="G14" s="194"/>
      <c r="H14" s="194"/>
      <c r="I14" s="195"/>
      <c r="J14" s="194"/>
      <c r="K14" s="118"/>
      <c r="L14" s="118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6"/>
    </row>
    <row r="15" spans="1:30" s="95" customFormat="1" ht="8.25" customHeight="1">
      <c r="A15" s="91"/>
      <c r="B15" s="92"/>
      <c r="C15" s="91"/>
      <c r="D15" s="91"/>
      <c r="E15" s="91"/>
      <c r="F15" s="674"/>
      <c r="G15" s="675"/>
      <c r="H15" s="676"/>
      <c r="I15" s="91"/>
      <c r="K15" s="97"/>
      <c r="L15" s="98"/>
      <c r="M15" s="236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4"/>
    </row>
    <row r="16" spans="1:30" s="10" customFormat="1" ht="8.25" customHeight="1" thickBot="1">
      <c r="A16" s="167"/>
      <c r="B16" s="173"/>
      <c r="C16" s="30"/>
      <c r="D16" s="30"/>
      <c r="E16" s="30"/>
      <c r="F16" s="30"/>
      <c r="G16" s="30"/>
      <c r="H16" s="30"/>
      <c r="I16" s="74"/>
      <c r="J16" s="30"/>
      <c r="K16" s="184"/>
      <c r="L16" s="185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8"/>
    </row>
    <row r="17" spans="1:30" s="10" customFormat="1" ht="16.5" customHeight="1" thickBot="1" thickTop="1">
      <c r="A17" s="167"/>
      <c r="B17" s="173"/>
      <c r="C17" s="30"/>
      <c r="D17" s="30"/>
      <c r="E17" s="30"/>
      <c r="F17" s="197" t="s">
        <v>68</v>
      </c>
      <c r="G17" s="198"/>
      <c r="H17" s="199"/>
      <c r="I17" s="565">
        <v>0.243</v>
      </c>
      <c r="J17" s="167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8"/>
    </row>
    <row r="18" spans="1:30" s="10" customFormat="1" ht="16.5" customHeight="1" thickBot="1" thickTop="1">
      <c r="A18" s="167"/>
      <c r="B18" s="173"/>
      <c r="C18" s="30"/>
      <c r="D18" s="30"/>
      <c r="E18" s="30"/>
      <c r="F18" s="200" t="s">
        <v>69</v>
      </c>
      <c r="G18" s="201"/>
      <c r="H18" s="201"/>
      <c r="I18" s="202">
        <f>30*'TOT-0214'!B13</f>
        <v>30</v>
      </c>
      <c r="J18" s="30"/>
      <c r="K18" s="236" t="str">
        <f>IF(I18=30," ",IF(I18=60,"Coeficiente duplicado por tasa de falla &gt;4 Sal. x año/100 km.","REVISAR COEFICIENTE"))</f>
        <v> </v>
      </c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179"/>
      <c r="X18" s="179"/>
      <c r="Y18" s="179"/>
      <c r="Z18" s="179"/>
      <c r="AA18" s="179"/>
      <c r="AB18" s="179"/>
      <c r="AC18" s="179"/>
      <c r="AD18" s="38"/>
    </row>
    <row r="19" spans="1:30" s="95" customFormat="1" ht="8.25" customHeight="1" thickTop="1">
      <c r="A19" s="91"/>
      <c r="B19" s="92"/>
      <c r="C19" s="91"/>
      <c r="D19" s="91"/>
      <c r="E19" s="91"/>
      <c r="F19" s="674"/>
      <c r="G19" s="675"/>
      <c r="H19" s="676"/>
      <c r="I19" s="91"/>
      <c r="K19" s="97"/>
      <c r="L19" s="98"/>
      <c r="M19" s="236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4"/>
    </row>
    <row r="20" spans="1:30" s="708" customFormat="1" ht="15" customHeight="1" thickBot="1">
      <c r="A20" s="714"/>
      <c r="B20" s="715"/>
      <c r="C20" s="716">
        <v>3</v>
      </c>
      <c r="D20" s="716">
        <v>4</v>
      </c>
      <c r="E20" s="716">
        <v>5</v>
      </c>
      <c r="F20" s="716">
        <v>6</v>
      </c>
      <c r="G20" s="716">
        <v>7</v>
      </c>
      <c r="H20" s="716">
        <v>8</v>
      </c>
      <c r="I20" s="716">
        <v>9</v>
      </c>
      <c r="J20" s="716">
        <v>10</v>
      </c>
      <c r="K20" s="716">
        <v>11</v>
      </c>
      <c r="L20" s="716">
        <v>12</v>
      </c>
      <c r="M20" s="716">
        <v>13</v>
      </c>
      <c r="N20" s="716">
        <v>14</v>
      </c>
      <c r="O20" s="716">
        <v>15</v>
      </c>
      <c r="P20" s="716">
        <v>16</v>
      </c>
      <c r="Q20" s="716">
        <v>17</v>
      </c>
      <c r="R20" s="716">
        <v>18</v>
      </c>
      <c r="S20" s="716">
        <v>19</v>
      </c>
      <c r="T20" s="716">
        <v>20</v>
      </c>
      <c r="U20" s="716">
        <v>21</v>
      </c>
      <c r="V20" s="716">
        <v>22</v>
      </c>
      <c r="W20" s="716">
        <v>23</v>
      </c>
      <c r="X20" s="716">
        <v>24</v>
      </c>
      <c r="Y20" s="716">
        <v>25</v>
      </c>
      <c r="Z20" s="716">
        <v>26</v>
      </c>
      <c r="AA20" s="716">
        <v>27</v>
      </c>
      <c r="AB20" s="716">
        <v>28</v>
      </c>
      <c r="AC20" s="716">
        <v>29</v>
      </c>
      <c r="AD20" s="717"/>
    </row>
    <row r="21" spans="1:30" s="108" customFormat="1" ht="33.75" customHeight="1" thickBot="1" thickTop="1">
      <c r="A21" s="203"/>
      <c r="B21" s="204"/>
      <c r="C21" s="206" t="s">
        <v>46</v>
      </c>
      <c r="D21" s="101" t="s">
        <v>145</v>
      </c>
      <c r="E21" s="101" t="s">
        <v>144</v>
      </c>
      <c r="F21" s="211" t="s">
        <v>70</v>
      </c>
      <c r="G21" s="207" t="s">
        <v>14</v>
      </c>
      <c r="H21" s="208" t="s">
        <v>71</v>
      </c>
      <c r="I21" s="209" t="s">
        <v>47</v>
      </c>
      <c r="J21" s="265" t="s">
        <v>49</v>
      </c>
      <c r="K21" s="210" t="s">
        <v>72</v>
      </c>
      <c r="L21" s="210" t="s">
        <v>73</v>
      </c>
      <c r="M21" s="211" t="s">
        <v>74</v>
      </c>
      <c r="N21" s="211" t="s">
        <v>75</v>
      </c>
      <c r="O21" s="105" t="s">
        <v>54</v>
      </c>
      <c r="P21" s="212" t="s">
        <v>76</v>
      </c>
      <c r="Q21" s="211" t="s">
        <v>77</v>
      </c>
      <c r="R21" s="207" t="s">
        <v>78</v>
      </c>
      <c r="S21" s="335" t="s">
        <v>79</v>
      </c>
      <c r="T21" s="321" t="s">
        <v>56</v>
      </c>
      <c r="U21" s="345" t="s">
        <v>57</v>
      </c>
      <c r="V21" s="351" t="s">
        <v>80</v>
      </c>
      <c r="W21" s="352"/>
      <c r="X21" s="360" t="s">
        <v>80</v>
      </c>
      <c r="Y21" s="361"/>
      <c r="Z21" s="369" t="s">
        <v>60</v>
      </c>
      <c r="AA21" s="375" t="s">
        <v>61</v>
      </c>
      <c r="AB21" s="209" t="s">
        <v>62</v>
      </c>
      <c r="AC21" s="209" t="s">
        <v>63</v>
      </c>
      <c r="AD21" s="205"/>
    </row>
    <row r="22" spans="1:30" s="10" customFormat="1" ht="16.5" customHeight="1" thickTop="1">
      <c r="A22" s="167"/>
      <c r="B22" s="173"/>
      <c r="C22" s="18"/>
      <c r="D22" s="18"/>
      <c r="E22" s="18"/>
      <c r="F22" s="23"/>
      <c r="G22" s="23"/>
      <c r="H22" s="23"/>
      <c r="I22" s="23"/>
      <c r="J22" s="270"/>
      <c r="K22" s="24"/>
      <c r="L22" s="23"/>
      <c r="M22" s="24"/>
      <c r="N22" s="24"/>
      <c r="O22" s="23"/>
      <c r="P22" s="23"/>
      <c r="Q22" s="23"/>
      <c r="R22" s="23"/>
      <c r="S22" s="336"/>
      <c r="T22" s="340"/>
      <c r="U22" s="346"/>
      <c r="V22" s="353"/>
      <c r="W22" s="354"/>
      <c r="X22" s="362"/>
      <c r="Y22" s="363"/>
      <c r="Z22" s="370"/>
      <c r="AA22" s="376"/>
      <c r="AB22" s="23"/>
      <c r="AC22" s="62"/>
      <c r="AD22" s="38"/>
    </row>
    <row r="23" spans="1:30" s="10" customFormat="1" ht="16.5" customHeight="1">
      <c r="A23" s="167"/>
      <c r="B23" s="173"/>
      <c r="C23" s="18"/>
      <c r="D23" s="18"/>
      <c r="E23" s="18"/>
      <c r="F23" s="19"/>
      <c r="G23" s="19"/>
      <c r="H23" s="19"/>
      <c r="I23" s="19"/>
      <c r="J23" s="271"/>
      <c r="K23" s="20"/>
      <c r="L23" s="19"/>
      <c r="M23" s="20"/>
      <c r="N23" s="20"/>
      <c r="O23" s="19"/>
      <c r="P23" s="19"/>
      <c r="Q23" s="19"/>
      <c r="R23" s="19"/>
      <c r="S23" s="337"/>
      <c r="T23" s="341"/>
      <c r="U23" s="347"/>
      <c r="V23" s="355"/>
      <c r="W23" s="356"/>
      <c r="X23" s="364"/>
      <c r="Y23" s="365"/>
      <c r="Z23" s="371"/>
      <c r="AA23" s="377"/>
      <c r="AB23" s="19"/>
      <c r="AC23" s="214"/>
      <c r="AD23" s="38"/>
    </row>
    <row r="24" spans="1:30" s="10" customFormat="1" ht="16.5" customHeight="1">
      <c r="A24" s="167"/>
      <c r="B24" s="173"/>
      <c r="C24" s="632">
        <v>11</v>
      </c>
      <c r="D24" s="632">
        <v>272520</v>
      </c>
      <c r="E24" s="632">
        <v>4587</v>
      </c>
      <c r="F24" s="497" t="s">
        <v>165</v>
      </c>
      <c r="G24" s="496" t="s">
        <v>8</v>
      </c>
      <c r="H24" s="633">
        <v>15</v>
      </c>
      <c r="I24" s="679" t="s">
        <v>166</v>
      </c>
      <c r="J24" s="268">
        <f aca="true" t="shared" si="0" ref="J24:J43">H24*$I$17</f>
        <v>3.645</v>
      </c>
      <c r="K24" s="636">
        <v>41690.58194444444</v>
      </c>
      <c r="L24" s="636">
        <v>41690.60486111111</v>
      </c>
      <c r="M24" s="26">
        <f aca="true" t="shared" si="1" ref="M24:M43">IF(F24="","",(L24-K24)*24)</f>
        <v>0.5500000000465661</v>
      </c>
      <c r="N24" s="27">
        <f aca="true" t="shared" si="2" ref="N24:N43">IF(F24="","",ROUND((L24-K24)*24*60,0))</f>
        <v>33</v>
      </c>
      <c r="O24" s="637" t="s">
        <v>152</v>
      </c>
      <c r="P24" s="25" t="str">
        <f>IF(F24="","",IF(OR(O24="P",O24="RP"),"--","NO"))</f>
        <v>--</v>
      </c>
      <c r="Q24" s="699" t="str">
        <f aca="true" t="shared" si="3" ref="Q24:Q43">IF(F24="","","--")</f>
        <v>--</v>
      </c>
      <c r="R24" s="25" t="s">
        <v>153</v>
      </c>
      <c r="S24" s="338">
        <f aca="true" t="shared" si="4" ref="S24:S43">$I$18*IF(OR(O24="P",O24="RP"),0.1,1)*IF(R24="SI",1,0.1)</f>
        <v>3</v>
      </c>
      <c r="T24" s="342">
        <f aca="true" t="shared" si="5" ref="T24:T43">IF(O24="P",J24*S24*ROUND(N24/60,2),"--")</f>
        <v>6.0142500000000005</v>
      </c>
      <c r="U24" s="348" t="str">
        <f aca="true" t="shared" si="6" ref="U24:U43">IF(O24="RP",J24*S24*ROUND(N24/60,2)*Q24/100,"--")</f>
        <v>--</v>
      </c>
      <c r="V24" s="357" t="str">
        <f aca="true" t="shared" si="7" ref="V24:V43">IF(AND(O24="F",P24="NO"),J24*S24,"--")</f>
        <v>--</v>
      </c>
      <c r="W24" s="358" t="str">
        <f aca="true" t="shared" si="8" ref="W24:W43">IF(O24="F",J24*S24*ROUND(N24/60,2),"--")</f>
        <v>--</v>
      </c>
      <c r="X24" s="366" t="str">
        <f aca="true" t="shared" si="9" ref="X24:X43">IF(AND(O24="R",P24="NO"),J24*S24*Q24/100,"--")</f>
        <v>--</v>
      </c>
      <c r="Y24" s="367" t="str">
        <f aca="true" t="shared" si="10" ref="Y24:Y43">IF(O24="R",J24*S24*ROUND(N24/60,2)*Q24/100,"--")</f>
        <v>--</v>
      </c>
      <c r="Z24" s="372" t="str">
        <f aca="true" t="shared" si="11" ref="Z24:Z43">IF(O24="RF",J24*S24*ROUND(N24/60,2),"--")</f>
        <v>--</v>
      </c>
      <c r="AA24" s="378" t="str">
        <f aca="true" t="shared" si="12" ref="AA24:AA43">IF(O24="RR",J24*S24*ROUND(N24/60,2)*Q24/100,"--")</f>
        <v>--</v>
      </c>
      <c r="AB24" s="25" t="str">
        <f aca="true" t="shared" si="13" ref="AB24:AB43">IF(F24="","","SI")</f>
        <v>SI</v>
      </c>
      <c r="AC24" s="63">
        <f aca="true" t="shared" si="14" ref="AC24:AC43">IF(F24="","",SUM(T24:AA24)*IF(AB24="SI",1,2))</f>
        <v>6.0142500000000005</v>
      </c>
      <c r="AD24" s="405"/>
    </row>
    <row r="25" spans="1:30" s="10" customFormat="1" ht="16.5" customHeight="1">
      <c r="A25" s="167"/>
      <c r="B25" s="173"/>
      <c r="C25" s="632"/>
      <c r="D25" s="632"/>
      <c r="E25" s="632"/>
      <c r="F25" s="497"/>
      <c r="G25" s="496"/>
      <c r="H25" s="633"/>
      <c r="I25" s="634"/>
      <c r="J25" s="268">
        <f t="shared" si="0"/>
        <v>0</v>
      </c>
      <c r="K25" s="636"/>
      <c r="L25" s="636"/>
      <c r="M25" s="26">
        <f t="shared" si="1"/>
      </c>
      <c r="N25" s="27">
        <f t="shared" si="2"/>
      </c>
      <c r="O25" s="637"/>
      <c r="P25" s="25">
        <f aca="true" t="shared" si="15" ref="P25:P43">IF(F25="","",IF(OR(O25="P",O25="RP"),"--","NO"))</f>
      </c>
      <c r="Q25" s="699">
        <f t="shared" si="3"/>
      </c>
      <c r="R25" s="25">
        <f aca="true" t="shared" si="16" ref="R25:R43">IF(F25="","","NO")</f>
      </c>
      <c r="S25" s="338">
        <f t="shared" si="4"/>
        <v>3</v>
      </c>
      <c r="T25" s="342" t="str">
        <f t="shared" si="5"/>
        <v>--</v>
      </c>
      <c r="U25" s="348" t="str">
        <f t="shared" si="6"/>
        <v>--</v>
      </c>
      <c r="V25" s="357" t="str">
        <f t="shared" si="7"/>
        <v>--</v>
      </c>
      <c r="W25" s="358" t="str">
        <f t="shared" si="8"/>
        <v>--</v>
      </c>
      <c r="X25" s="366" t="str">
        <f t="shared" si="9"/>
        <v>--</v>
      </c>
      <c r="Y25" s="367" t="str">
        <f t="shared" si="10"/>
        <v>--</v>
      </c>
      <c r="Z25" s="372" t="str">
        <f t="shared" si="11"/>
        <v>--</v>
      </c>
      <c r="AA25" s="378" t="str">
        <f t="shared" si="12"/>
        <v>--</v>
      </c>
      <c r="AB25" s="25">
        <f t="shared" si="13"/>
      </c>
      <c r="AC25" s="63">
        <f t="shared" si="14"/>
      </c>
      <c r="AD25" s="405"/>
    </row>
    <row r="26" spans="1:30" s="10" customFormat="1" ht="16.5" customHeight="1">
      <c r="A26" s="167"/>
      <c r="B26" s="173"/>
      <c r="C26" s="632"/>
      <c r="D26" s="632"/>
      <c r="E26" s="632"/>
      <c r="F26" s="497"/>
      <c r="G26" s="496"/>
      <c r="H26" s="633"/>
      <c r="I26" s="634"/>
      <c r="J26" s="268">
        <f t="shared" si="0"/>
        <v>0</v>
      </c>
      <c r="K26" s="636"/>
      <c r="L26" s="636"/>
      <c r="M26" s="26">
        <f t="shared" si="1"/>
      </c>
      <c r="N26" s="27">
        <f t="shared" si="2"/>
      </c>
      <c r="O26" s="637"/>
      <c r="P26" s="25">
        <f t="shared" si="15"/>
      </c>
      <c r="Q26" s="699">
        <f t="shared" si="3"/>
      </c>
      <c r="R26" s="25">
        <f t="shared" si="16"/>
      </c>
      <c r="S26" s="338">
        <f t="shared" si="4"/>
        <v>3</v>
      </c>
      <c r="T26" s="342" t="str">
        <f t="shared" si="5"/>
        <v>--</v>
      </c>
      <c r="U26" s="348" t="str">
        <f t="shared" si="6"/>
        <v>--</v>
      </c>
      <c r="V26" s="357" t="str">
        <f t="shared" si="7"/>
        <v>--</v>
      </c>
      <c r="W26" s="358" t="str">
        <f t="shared" si="8"/>
        <v>--</v>
      </c>
      <c r="X26" s="366" t="str">
        <f t="shared" si="9"/>
        <v>--</v>
      </c>
      <c r="Y26" s="367" t="str">
        <f t="shared" si="10"/>
        <v>--</v>
      </c>
      <c r="Z26" s="372" t="str">
        <f t="shared" si="11"/>
        <v>--</v>
      </c>
      <c r="AA26" s="378" t="str">
        <f t="shared" si="12"/>
        <v>--</v>
      </c>
      <c r="AB26" s="25">
        <f t="shared" si="13"/>
      </c>
      <c r="AC26" s="63">
        <f t="shared" si="14"/>
      </c>
      <c r="AD26" s="405"/>
    </row>
    <row r="27" spans="1:30" s="10" customFormat="1" ht="16.5" customHeight="1">
      <c r="A27" s="167"/>
      <c r="B27" s="173"/>
      <c r="C27" s="632"/>
      <c r="D27" s="632"/>
      <c r="E27" s="632"/>
      <c r="F27" s="497"/>
      <c r="G27" s="496"/>
      <c r="H27" s="633"/>
      <c r="I27" s="634"/>
      <c r="J27" s="268">
        <f t="shared" si="0"/>
        <v>0</v>
      </c>
      <c r="K27" s="636"/>
      <c r="L27" s="636"/>
      <c r="M27" s="26">
        <f t="shared" si="1"/>
      </c>
      <c r="N27" s="27">
        <f t="shared" si="2"/>
      </c>
      <c r="O27" s="637"/>
      <c r="P27" s="25">
        <f t="shared" si="15"/>
      </c>
      <c r="Q27" s="699">
        <f t="shared" si="3"/>
      </c>
      <c r="R27" s="25">
        <f t="shared" si="16"/>
      </c>
      <c r="S27" s="338">
        <f t="shared" si="4"/>
        <v>3</v>
      </c>
      <c r="T27" s="342" t="str">
        <f t="shared" si="5"/>
        <v>--</v>
      </c>
      <c r="U27" s="348" t="str">
        <f t="shared" si="6"/>
        <v>--</v>
      </c>
      <c r="V27" s="357" t="str">
        <f t="shared" si="7"/>
        <v>--</v>
      </c>
      <c r="W27" s="358" t="str">
        <f t="shared" si="8"/>
        <v>--</v>
      </c>
      <c r="X27" s="366" t="str">
        <f t="shared" si="9"/>
        <v>--</v>
      </c>
      <c r="Y27" s="367" t="str">
        <f t="shared" si="10"/>
        <v>--</v>
      </c>
      <c r="Z27" s="372" t="str">
        <f t="shared" si="11"/>
        <v>--</v>
      </c>
      <c r="AA27" s="378" t="str">
        <f t="shared" si="12"/>
        <v>--</v>
      </c>
      <c r="AB27" s="25">
        <f t="shared" si="13"/>
      </c>
      <c r="AC27" s="63">
        <f t="shared" si="14"/>
      </c>
      <c r="AD27" s="405"/>
    </row>
    <row r="28" spans="1:30" s="10" customFormat="1" ht="16.5" customHeight="1">
      <c r="A28" s="167"/>
      <c r="B28" s="173"/>
      <c r="C28" s="632"/>
      <c r="D28" s="632"/>
      <c r="E28" s="632"/>
      <c r="F28" s="497"/>
      <c r="G28" s="496"/>
      <c r="H28" s="633"/>
      <c r="I28" s="634"/>
      <c r="J28" s="268">
        <f t="shared" si="0"/>
        <v>0</v>
      </c>
      <c r="K28" s="636"/>
      <c r="L28" s="636"/>
      <c r="M28" s="26">
        <f t="shared" si="1"/>
      </c>
      <c r="N28" s="27">
        <f t="shared" si="2"/>
      </c>
      <c r="O28" s="637"/>
      <c r="P28" s="25">
        <f t="shared" si="15"/>
      </c>
      <c r="Q28" s="699">
        <f t="shared" si="3"/>
      </c>
      <c r="R28" s="25">
        <f t="shared" si="16"/>
      </c>
      <c r="S28" s="338">
        <f t="shared" si="4"/>
        <v>3</v>
      </c>
      <c r="T28" s="342" t="str">
        <f t="shared" si="5"/>
        <v>--</v>
      </c>
      <c r="U28" s="348" t="str">
        <f t="shared" si="6"/>
        <v>--</v>
      </c>
      <c r="V28" s="357" t="str">
        <f t="shared" si="7"/>
        <v>--</v>
      </c>
      <c r="W28" s="358" t="str">
        <f t="shared" si="8"/>
        <v>--</v>
      </c>
      <c r="X28" s="366" t="str">
        <f t="shared" si="9"/>
        <v>--</v>
      </c>
      <c r="Y28" s="367" t="str">
        <f t="shared" si="10"/>
        <v>--</v>
      </c>
      <c r="Z28" s="372" t="str">
        <f t="shared" si="11"/>
        <v>--</v>
      </c>
      <c r="AA28" s="378" t="str">
        <f t="shared" si="12"/>
        <v>--</v>
      </c>
      <c r="AB28" s="25">
        <f t="shared" si="13"/>
      </c>
      <c r="AC28" s="63">
        <f t="shared" si="14"/>
      </c>
      <c r="AD28" s="405"/>
    </row>
    <row r="29" spans="1:30" s="10" customFormat="1" ht="16.5" customHeight="1">
      <c r="A29" s="167"/>
      <c r="B29" s="173"/>
      <c r="C29" s="632"/>
      <c r="D29" s="632"/>
      <c r="E29" s="632"/>
      <c r="F29" s="497"/>
      <c r="G29" s="496"/>
      <c r="H29" s="633"/>
      <c r="I29" s="634"/>
      <c r="J29" s="268">
        <f t="shared" si="0"/>
        <v>0</v>
      </c>
      <c r="K29" s="636"/>
      <c r="L29" s="636"/>
      <c r="M29" s="26">
        <f t="shared" si="1"/>
      </c>
      <c r="N29" s="27">
        <f t="shared" si="2"/>
      </c>
      <c r="O29" s="637"/>
      <c r="P29" s="25">
        <f t="shared" si="15"/>
      </c>
      <c r="Q29" s="699">
        <f t="shared" si="3"/>
      </c>
      <c r="R29" s="25">
        <f t="shared" si="16"/>
      </c>
      <c r="S29" s="338">
        <f t="shared" si="4"/>
        <v>3</v>
      </c>
      <c r="T29" s="342" t="str">
        <f t="shared" si="5"/>
        <v>--</v>
      </c>
      <c r="U29" s="348" t="str">
        <f t="shared" si="6"/>
        <v>--</v>
      </c>
      <c r="V29" s="357" t="str">
        <f t="shared" si="7"/>
        <v>--</v>
      </c>
      <c r="W29" s="358" t="str">
        <f t="shared" si="8"/>
        <v>--</v>
      </c>
      <c r="X29" s="366" t="str">
        <f t="shared" si="9"/>
        <v>--</v>
      </c>
      <c r="Y29" s="367" t="str">
        <f t="shared" si="10"/>
        <v>--</v>
      </c>
      <c r="Z29" s="372" t="str">
        <f t="shared" si="11"/>
        <v>--</v>
      </c>
      <c r="AA29" s="378" t="str">
        <f t="shared" si="12"/>
        <v>--</v>
      </c>
      <c r="AB29" s="25">
        <f t="shared" si="13"/>
      </c>
      <c r="AC29" s="63">
        <f t="shared" si="14"/>
      </c>
      <c r="AD29" s="405"/>
    </row>
    <row r="30" spans="1:30" s="10" customFormat="1" ht="16.5" customHeight="1">
      <c r="A30" s="167"/>
      <c r="B30" s="173"/>
      <c r="C30" s="632"/>
      <c r="D30" s="632"/>
      <c r="E30" s="632"/>
      <c r="F30" s="497"/>
      <c r="G30" s="496"/>
      <c r="H30" s="633"/>
      <c r="I30" s="634"/>
      <c r="J30" s="268">
        <f t="shared" si="0"/>
        <v>0</v>
      </c>
      <c r="K30" s="636"/>
      <c r="L30" s="636"/>
      <c r="M30" s="26">
        <f t="shared" si="1"/>
      </c>
      <c r="N30" s="27">
        <f t="shared" si="2"/>
      </c>
      <c r="O30" s="637"/>
      <c r="P30" s="25">
        <f t="shared" si="15"/>
      </c>
      <c r="Q30" s="699">
        <f t="shared" si="3"/>
      </c>
      <c r="R30" s="25">
        <f t="shared" si="16"/>
      </c>
      <c r="S30" s="338">
        <f t="shared" si="4"/>
        <v>3</v>
      </c>
      <c r="T30" s="342" t="str">
        <f t="shared" si="5"/>
        <v>--</v>
      </c>
      <c r="U30" s="348" t="str">
        <f t="shared" si="6"/>
        <v>--</v>
      </c>
      <c r="V30" s="357" t="str">
        <f t="shared" si="7"/>
        <v>--</v>
      </c>
      <c r="W30" s="358" t="str">
        <f t="shared" si="8"/>
        <v>--</v>
      </c>
      <c r="X30" s="366" t="str">
        <f t="shared" si="9"/>
        <v>--</v>
      </c>
      <c r="Y30" s="367" t="str">
        <f t="shared" si="10"/>
        <v>--</v>
      </c>
      <c r="Z30" s="372" t="str">
        <f t="shared" si="11"/>
        <v>--</v>
      </c>
      <c r="AA30" s="378" t="str">
        <f t="shared" si="12"/>
        <v>--</v>
      </c>
      <c r="AB30" s="25">
        <f t="shared" si="13"/>
      </c>
      <c r="AC30" s="63">
        <f t="shared" si="14"/>
      </c>
      <c r="AD30" s="38"/>
    </row>
    <row r="31" spans="1:30" s="10" customFormat="1" ht="16.5" customHeight="1">
      <c r="A31" s="167"/>
      <c r="B31" s="173"/>
      <c r="C31" s="632"/>
      <c r="D31" s="632"/>
      <c r="E31" s="632"/>
      <c r="F31" s="497"/>
      <c r="G31" s="496"/>
      <c r="H31" s="633"/>
      <c r="I31" s="634"/>
      <c r="J31" s="268">
        <f t="shared" si="0"/>
        <v>0</v>
      </c>
      <c r="K31" s="636"/>
      <c r="L31" s="636"/>
      <c r="M31" s="26">
        <f t="shared" si="1"/>
      </c>
      <c r="N31" s="27">
        <f t="shared" si="2"/>
      </c>
      <c r="O31" s="637"/>
      <c r="P31" s="25">
        <f t="shared" si="15"/>
      </c>
      <c r="Q31" s="699">
        <f t="shared" si="3"/>
      </c>
      <c r="R31" s="25">
        <f t="shared" si="16"/>
      </c>
      <c r="S31" s="338">
        <f t="shared" si="4"/>
        <v>3</v>
      </c>
      <c r="T31" s="342" t="str">
        <f t="shared" si="5"/>
        <v>--</v>
      </c>
      <c r="U31" s="348" t="str">
        <f t="shared" si="6"/>
        <v>--</v>
      </c>
      <c r="V31" s="357" t="str">
        <f t="shared" si="7"/>
        <v>--</v>
      </c>
      <c r="W31" s="358" t="str">
        <f t="shared" si="8"/>
        <v>--</v>
      </c>
      <c r="X31" s="366" t="str">
        <f t="shared" si="9"/>
        <v>--</v>
      </c>
      <c r="Y31" s="367" t="str">
        <f t="shared" si="10"/>
        <v>--</v>
      </c>
      <c r="Z31" s="372" t="str">
        <f t="shared" si="11"/>
        <v>--</v>
      </c>
      <c r="AA31" s="378" t="str">
        <f t="shared" si="12"/>
        <v>--</v>
      </c>
      <c r="AB31" s="25">
        <f t="shared" si="13"/>
      </c>
      <c r="AC31" s="63">
        <f t="shared" si="14"/>
      </c>
      <c r="AD31" s="38"/>
    </row>
    <row r="32" spans="1:30" s="10" customFormat="1" ht="16.5" customHeight="1">
      <c r="A32" s="167"/>
      <c r="B32" s="173"/>
      <c r="C32" s="632"/>
      <c r="D32" s="632"/>
      <c r="E32" s="632"/>
      <c r="F32" s="497"/>
      <c r="G32" s="496"/>
      <c r="H32" s="633"/>
      <c r="I32" s="634"/>
      <c r="J32" s="268">
        <f t="shared" si="0"/>
        <v>0</v>
      </c>
      <c r="K32" s="636"/>
      <c r="L32" s="636"/>
      <c r="M32" s="26">
        <f t="shared" si="1"/>
      </c>
      <c r="N32" s="27">
        <f t="shared" si="2"/>
      </c>
      <c r="O32" s="637"/>
      <c r="P32" s="25">
        <f t="shared" si="15"/>
      </c>
      <c r="Q32" s="699">
        <f t="shared" si="3"/>
      </c>
      <c r="R32" s="25">
        <f t="shared" si="16"/>
      </c>
      <c r="S32" s="338">
        <f t="shared" si="4"/>
        <v>3</v>
      </c>
      <c r="T32" s="342" t="str">
        <f t="shared" si="5"/>
        <v>--</v>
      </c>
      <c r="U32" s="348" t="str">
        <f t="shared" si="6"/>
        <v>--</v>
      </c>
      <c r="V32" s="357" t="str">
        <f t="shared" si="7"/>
        <v>--</v>
      </c>
      <c r="W32" s="358" t="str">
        <f t="shared" si="8"/>
        <v>--</v>
      </c>
      <c r="X32" s="366" t="str">
        <f t="shared" si="9"/>
        <v>--</v>
      </c>
      <c r="Y32" s="367" t="str">
        <f t="shared" si="10"/>
        <v>--</v>
      </c>
      <c r="Z32" s="372" t="str">
        <f t="shared" si="11"/>
        <v>--</v>
      </c>
      <c r="AA32" s="378" t="str">
        <f t="shared" si="12"/>
        <v>--</v>
      </c>
      <c r="AB32" s="25">
        <f t="shared" si="13"/>
      </c>
      <c r="AC32" s="63">
        <f t="shared" si="14"/>
      </c>
      <c r="AD32" s="38"/>
    </row>
    <row r="33" spans="1:30" s="10" customFormat="1" ht="16.5" customHeight="1">
      <c r="A33" s="167"/>
      <c r="B33" s="173"/>
      <c r="C33" s="632"/>
      <c r="D33" s="632"/>
      <c r="E33" s="632"/>
      <c r="F33" s="497"/>
      <c r="G33" s="496"/>
      <c r="H33" s="633"/>
      <c r="I33" s="634"/>
      <c r="J33" s="268">
        <f t="shared" si="0"/>
        <v>0</v>
      </c>
      <c r="K33" s="636"/>
      <c r="L33" s="636"/>
      <c r="M33" s="26">
        <f t="shared" si="1"/>
      </c>
      <c r="N33" s="27">
        <f t="shared" si="2"/>
      </c>
      <c r="O33" s="637"/>
      <c r="P33" s="25">
        <f t="shared" si="15"/>
      </c>
      <c r="Q33" s="699">
        <f t="shared" si="3"/>
      </c>
      <c r="R33" s="25">
        <f t="shared" si="16"/>
      </c>
      <c r="S33" s="338">
        <f t="shared" si="4"/>
        <v>3</v>
      </c>
      <c r="T33" s="342" t="str">
        <f t="shared" si="5"/>
        <v>--</v>
      </c>
      <c r="U33" s="348" t="str">
        <f t="shared" si="6"/>
        <v>--</v>
      </c>
      <c r="V33" s="357" t="str">
        <f t="shared" si="7"/>
        <v>--</v>
      </c>
      <c r="W33" s="358" t="str">
        <f t="shared" si="8"/>
        <v>--</v>
      </c>
      <c r="X33" s="366" t="str">
        <f t="shared" si="9"/>
        <v>--</v>
      </c>
      <c r="Y33" s="367" t="str">
        <f t="shared" si="10"/>
        <v>--</v>
      </c>
      <c r="Z33" s="372" t="str">
        <f t="shared" si="11"/>
        <v>--</v>
      </c>
      <c r="AA33" s="378" t="str">
        <f t="shared" si="12"/>
        <v>--</v>
      </c>
      <c r="AB33" s="25">
        <f t="shared" si="13"/>
      </c>
      <c r="AC33" s="63">
        <f t="shared" si="14"/>
      </c>
      <c r="AD33" s="38"/>
    </row>
    <row r="34" spans="1:30" s="10" customFormat="1" ht="16.5" customHeight="1">
      <c r="A34" s="167"/>
      <c r="B34" s="173"/>
      <c r="C34" s="632"/>
      <c r="D34" s="632"/>
      <c r="E34" s="632"/>
      <c r="F34" s="497"/>
      <c r="G34" s="496"/>
      <c r="H34" s="633"/>
      <c r="I34" s="634"/>
      <c r="J34" s="268">
        <f t="shared" si="0"/>
        <v>0</v>
      </c>
      <c r="K34" s="636"/>
      <c r="L34" s="636"/>
      <c r="M34" s="26">
        <f t="shared" si="1"/>
      </c>
      <c r="N34" s="27">
        <f t="shared" si="2"/>
      </c>
      <c r="O34" s="637"/>
      <c r="P34" s="25">
        <f t="shared" si="15"/>
      </c>
      <c r="Q34" s="699">
        <f t="shared" si="3"/>
      </c>
      <c r="R34" s="25">
        <f t="shared" si="16"/>
      </c>
      <c r="S34" s="338">
        <f t="shared" si="4"/>
        <v>3</v>
      </c>
      <c r="T34" s="342" t="str">
        <f t="shared" si="5"/>
        <v>--</v>
      </c>
      <c r="U34" s="348" t="str">
        <f t="shared" si="6"/>
        <v>--</v>
      </c>
      <c r="V34" s="357" t="str">
        <f t="shared" si="7"/>
        <v>--</v>
      </c>
      <c r="W34" s="358" t="str">
        <f t="shared" si="8"/>
        <v>--</v>
      </c>
      <c r="X34" s="366" t="str">
        <f t="shared" si="9"/>
        <v>--</v>
      </c>
      <c r="Y34" s="367" t="str">
        <f t="shared" si="10"/>
        <v>--</v>
      </c>
      <c r="Z34" s="372" t="str">
        <f t="shared" si="11"/>
        <v>--</v>
      </c>
      <c r="AA34" s="378" t="str">
        <f t="shared" si="12"/>
        <v>--</v>
      </c>
      <c r="AB34" s="25">
        <f t="shared" si="13"/>
      </c>
      <c r="AC34" s="63">
        <f t="shared" si="14"/>
      </c>
      <c r="AD34" s="38"/>
    </row>
    <row r="35" spans="1:30" s="10" customFormat="1" ht="16.5" customHeight="1">
      <c r="A35" s="167"/>
      <c r="B35" s="173"/>
      <c r="C35" s="632"/>
      <c r="D35" s="632"/>
      <c r="E35" s="632"/>
      <c r="F35" s="497"/>
      <c r="G35" s="496"/>
      <c r="H35" s="633"/>
      <c r="I35" s="634"/>
      <c r="J35" s="268">
        <f t="shared" si="0"/>
        <v>0</v>
      </c>
      <c r="K35" s="636"/>
      <c r="L35" s="636"/>
      <c r="M35" s="26">
        <f t="shared" si="1"/>
      </c>
      <c r="N35" s="27">
        <f t="shared" si="2"/>
      </c>
      <c r="O35" s="637"/>
      <c r="P35" s="25">
        <f t="shared" si="15"/>
      </c>
      <c r="Q35" s="699">
        <f t="shared" si="3"/>
      </c>
      <c r="R35" s="25">
        <f t="shared" si="16"/>
      </c>
      <c r="S35" s="338">
        <f t="shared" si="4"/>
        <v>3</v>
      </c>
      <c r="T35" s="342" t="str">
        <f t="shared" si="5"/>
        <v>--</v>
      </c>
      <c r="U35" s="348" t="str">
        <f t="shared" si="6"/>
        <v>--</v>
      </c>
      <c r="V35" s="357" t="str">
        <f t="shared" si="7"/>
        <v>--</v>
      </c>
      <c r="W35" s="358" t="str">
        <f t="shared" si="8"/>
        <v>--</v>
      </c>
      <c r="X35" s="366" t="str">
        <f t="shared" si="9"/>
        <v>--</v>
      </c>
      <c r="Y35" s="367" t="str">
        <f t="shared" si="10"/>
        <v>--</v>
      </c>
      <c r="Z35" s="372" t="str">
        <f t="shared" si="11"/>
        <v>--</v>
      </c>
      <c r="AA35" s="378" t="str">
        <f t="shared" si="12"/>
        <v>--</v>
      </c>
      <c r="AB35" s="25">
        <f t="shared" si="13"/>
      </c>
      <c r="AC35" s="63">
        <f t="shared" si="14"/>
      </c>
      <c r="AD35" s="38"/>
    </row>
    <row r="36" spans="1:30" s="10" customFormat="1" ht="16.5" customHeight="1">
      <c r="A36" s="167"/>
      <c r="B36" s="173"/>
      <c r="C36" s="632"/>
      <c r="D36" s="632"/>
      <c r="E36" s="632"/>
      <c r="F36" s="497"/>
      <c r="G36" s="496"/>
      <c r="H36" s="633"/>
      <c r="I36" s="634"/>
      <c r="J36" s="268">
        <f t="shared" si="0"/>
        <v>0</v>
      </c>
      <c r="K36" s="636"/>
      <c r="L36" s="636"/>
      <c r="M36" s="26">
        <f t="shared" si="1"/>
      </c>
      <c r="N36" s="27">
        <f t="shared" si="2"/>
      </c>
      <c r="O36" s="637"/>
      <c r="P36" s="25">
        <f t="shared" si="15"/>
      </c>
      <c r="Q36" s="699">
        <f t="shared" si="3"/>
      </c>
      <c r="R36" s="25">
        <f t="shared" si="16"/>
      </c>
      <c r="S36" s="338">
        <f t="shared" si="4"/>
        <v>3</v>
      </c>
      <c r="T36" s="342" t="str">
        <f t="shared" si="5"/>
        <v>--</v>
      </c>
      <c r="U36" s="348" t="str">
        <f t="shared" si="6"/>
        <v>--</v>
      </c>
      <c r="V36" s="357" t="str">
        <f t="shared" si="7"/>
        <v>--</v>
      </c>
      <c r="W36" s="358" t="str">
        <f t="shared" si="8"/>
        <v>--</v>
      </c>
      <c r="X36" s="366" t="str">
        <f t="shared" si="9"/>
        <v>--</v>
      </c>
      <c r="Y36" s="367" t="str">
        <f t="shared" si="10"/>
        <v>--</v>
      </c>
      <c r="Z36" s="372" t="str">
        <f t="shared" si="11"/>
        <v>--</v>
      </c>
      <c r="AA36" s="378" t="str">
        <f t="shared" si="12"/>
        <v>--</v>
      </c>
      <c r="AB36" s="25">
        <f t="shared" si="13"/>
      </c>
      <c r="AC36" s="63">
        <f t="shared" si="14"/>
      </c>
      <c r="AD36" s="38"/>
    </row>
    <row r="37" spans="1:30" s="10" customFormat="1" ht="16.5" customHeight="1">
      <c r="A37" s="167"/>
      <c r="B37" s="173"/>
      <c r="C37" s="632"/>
      <c r="D37" s="632"/>
      <c r="E37" s="632"/>
      <c r="F37" s="497"/>
      <c r="G37" s="496"/>
      <c r="H37" s="633"/>
      <c r="I37" s="634"/>
      <c r="J37" s="268">
        <f t="shared" si="0"/>
        <v>0</v>
      </c>
      <c r="K37" s="636"/>
      <c r="L37" s="636"/>
      <c r="M37" s="26">
        <f t="shared" si="1"/>
      </c>
      <c r="N37" s="27">
        <f t="shared" si="2"/>
      </c>
      <c r="O37" s="637"/>
      <c r="P37" s="25">
        <f t="shared" si="15"/>
      </c>
      <c r="Q37" s="699">
        <f t="shared" si="3"/>
      </c>
      <c r="R37" s="25">
        <f t="shared" si="16"/>
      </c>
      <c r="S37" s="338">
        <f t="shared" si="4"/>
        <v>3</v>
      </c>
      <c r="T37" s="342" t="str">
        <f t="shared" si="5"/>
        <v>--</v>
      </c>
      <c r="U37" s="348" t="str">
        <f t="shared" si="6"/>
        <v>--</v>
      </c>
      <c r="V37" s="357" t="str">
        <f t="shared" si="7"/>
        <v>--</v>
      </c>
      <c r="W37" s="358" t="str">
        <f t="shared" si="8"/>
        <v>--</v>
      </c>
      <c r="X37" s="366" t="str">
        <f t="shared" si="9"/>
        <v>--</v>
      </c>
      <c r="Y37" s="367" t="str">
        <f t="shared" si="10"/>
        <v>--</v>
      </c>
      <c r="Z37" s="372" t="str">
        <f t="shared" si="11"/>
        <v>--</v>
      </c>
      <c r="AA37" s="378" t="str">
        <f t="shared" si="12"/>
        <v>--</v>
      </c>
      <c r="AB37" s="25">
        <f t="shared" si="13"/>
      </c>
      <c r="AC37" s="63">
        <f t="shared" si="14"/>
      </c>
      <c r="AD37" s="38"/>
    </row>
    <row r="38" spans="1:30" s="10" customFormat="1" ht="16.5" customHeight="1">
      <c r="A38" s="167"/>
      <c r="B38" s="173"/>
      <c r="C38" s="632"/>
      <c r="D38" s="632"/>
      <c r="E38" s="632"/>
      <c r="F38" s="497"/>
      <c r="G38" s="496"/>
      <c r="H38" s="633"/>
      <c r="I38" s="634"/>
      <c r="J38" s="268">
        <f t="shared" si="0"/>
        <v>0</v>
      </c>
      <c r="K38" s="636"/>
      <c r="L38" s="636"/>
      <c r="M38" s="26">
        <f t="shared" si="1"/>
      </c>
      <c r="N38" s="27">
        <f t="shared" si="2"/>
      </c>
      <c r="O38" s="637"/>
      <c r="P38" s="25">
        <f t="shared" si="15"/>
      </c>
      <c r="Q38" s="699">
        <f t="shared" si="3"/>
      </c>
      <c r="R38" s="25">
        <f t="shared" si="16"/>
      </c>
      <c r="S38" s="338">
        <f t="shared" si="4"/>
        <v>3</v>
      </c>
      <c r="T38" s="342" t="str">
        <f t="shared" si="5"/>
        <v>--</v>
      </c>
      <c r="U38" s="348" t="str">
        <f t="shared" si="6"/>
        <v>--</v>
      </c>
      <c r="V38" s="357" t="str">
        <f t="shared" si="7"/>
        <v>--</v>
      </c>
      <c r="W38" s="358" t="str">
        <f t="shared" si="8"/>
        <v>--</v>
      </c>
      <c r="X38" s="366" t="str">
        <f t="shared" si="9"/>
        <v>--</v>
      </c>
      <c r="Y38" s="367" t="str">
        <f t="shared" si="10"/>
        <v>--</v>
      </c>
      <c r="Z38" s="372" t="str">
        <f t="shared" si="11"/>
        <v>--</v>
      </c>
      <c r="AA38" s="378" t="str">
        <f t="shared" si="12"/>
        <v>--</v>
      </c>
      <c r="AB38" s="25">
        <f t="shared" si="13"/>
      </c>
      <c r="AC38" s="63">
        <f t="shared" si="14"/>
      </c>
      <c r="AD38" s="38"/>
    </row>
    <row r="39" spans="1:30" s="10" customFormat="1" ht="16.5" customHeight="1">
      <c r="A39" s="167"/>
      <c r="B39" s="173"/>
      <c r="C39" s="632"/>
      <c r="D39" s="632"/>
      <c r="E39" s="632"/>
      <c r="F39" s="497"/>
      <c r="G39" s="496"/>
      <c r="H39" s="633"/>
      <c r="I39" s="634"/>
      <c r="J39" s="268">
        <f t="shared" si="0"/>
        <v>0</v>
      </c>
      <c r="K39" s="636"/>
      <c r="L39" s="636"/>
      <c r="M39" s="26">
        <f t="shared" si="1"/>
      </c>
      <c r="N39" s="27">
        <f t="shared" si="2"/>
      </c>
      <c r="O39" s="637"/>
      <c r="P39" s="25">
        <f t="shared" si="15"/>
      </c>
      <c r="Q39" s="699">
        <f t="shared" si="3"/>
      </c>
      <c r="R39" s="25">
        <f t="shared" si="16"/>
      </c>
      <c r="S39" s="338">
        <f t="shared" si="4"/>
        <v>3</v>
      </c>
      <c r="T39" s="342" t="str">
        <f t="shared" si="5"/>
        <v>--</v>
      </c>
      <c r="U39" s="348" t="str">
        <f t="shared" si="6"/>
        <v>--</v>
      </c>
      <c r="V39" s="357" t="str">
        <f t="shared" si="7"/>
        <v>--</v>
      </c>
      <c r="W39" s="358" t="str">
        <f t="shared" si="8"/>
        <v>--</v>
      </c>
      <c r="X39" s="366" t="str">
        <f t="shared" si="9"/>
        <v>--</v>
      </c>
      <c r="Y39" s="367" t="str">
        <f t="shared" si="10"/>
        <v>--</v>
      </c>
      <c r="Z39" s="372" t="str">
        <f t="shared" si="11"/>
        <v>--</v>
      </c>
      <c r="AA39" s="378" t="str">
        <f t="shared" si="12"/>
        <v>--</v>
      </c>
      <c r="AB39" s="25">
        <f t="shared" si="13"/>
      </c>
      <c r="AC39" s="63">
        <f t="shared" si="14"/>
      </c>
      <c r="AD39" s="38"/>
    </row>
    <row r="40" spans="1:30" s="10" customFormat="1" ht="16.5" customHeight="1">
      <c r="A40" s="167"/>
      <c r="B40" s="173"/>
      <c r="C40" s="632"/>
      <c r="D40" s="632"/>
      <c r="E40" s="632"/>
      <c r="F40" s="497"/>
      <c r="G40" s="496"/>
      <c r="H40" s="633"/>
      <c r="I40" s="634"/>
      <c r="J40" s="268">
        <f t="shared" si="0"/>
        <v>0</v>
      </c>
      <c r="K40" s="636"/>
      <c r="L40" s="636"/>
      <c r="M40" s="26">
        <f t="shared" si="1"/>
      </c>
      <c r="N40" s="27">
        <f t="shared" si="2"/>
      </c>
      <c r="O40" s="637"/>
      <c r="P40" s="25">
        <f t="shared" si="15"/>
      </c>
      <c r="Q40" s="699">
        <f t="shared" si="3"/>
      </c>
      <c r="R40" s="25">
        <f t="shared" si="16"/>
      </c>
      <c r="S40" s="338">
        <f t="shared" si="4"/>
        <v>3</v>
      </c>
      <c r="T40" s="342" t="str">
        <f t="shared" si="5"/>
        <v>--</v>
      </c>
      <c r="U40" s="348" t="str">
        <f t="shared" si="6"/>
        <v>--</v>
      </c>
      <c r="V40" s="357" t="str">
        <f t="shared" si="7"/>
        <v>--</v>
      </c>
      <c r="W40" s="358" t="str">
        <f t="shared" si="8"/>
        <v>--</v>
      </c>
      <c r="X40" s="366" t="str">
        <f t="shared" si="9"/>
        <v>--</v>
      </c>
      <c r="Y40" s="367" t="str">
        <f t="shared" si="10"/>
        <v>--</v>
      </c>
      <c r="Z40" s="372" t="str">
        <f t="shared" si="11"/>
        <v>--</v>
      </c>
      <c r="AA40" s="378" t="str">
        <f t="shared" si="12"/>
        <v>--</v>
      </c>
      <c r="AB40" s="25">
        <f t="shared" si="13"/>
      </c>
      <c r="AC40" s="63">
        <f t="shared" si="14"/>
      </c>
      <c r="AD40" s="38"/>
    </row>
    <row r="41" spans="1:30" s="10" customFormat="1" ht="16.5" customHeight="1">
      <c r="A41" s="167"/>
      <c r="B41" s="173"/>
      <c r="C41" s="632"/>
      <c r="D41" s="632"/>
      <c r="E41" s="632"/>
      <c r="F41" s="497"/>
      <c r="G41" s="496"/>
      <c r="H41" s="633"/>
      <c r="I41" s="634"/>
      <c r="J41" s="268">
        <f t="shared" si="0"/>
        <v>0</v>
      </c>
      <c r="K41" s="636"/>
      <c r="L41" s="636"/>
      <c r="M41" s="26">
        <f t="shared" si="1"/>
      </c>
      <c r="N41" s="27">
        <f t="shared" si="2"/>
      </c>
      <c r="O41" s="637"/>
      <c r="P41" s="25">
        <f t="shared" si="15"/>
      </c>
      <c r="Q41" s="699">
        <f t="shared" si="3"/>
      </c>
      <c r="R41" s="25">
        <f t="shared" si="16"/>
      </c>
      <c r="S41" s="338">
        <f t="shared" si="4"/>
        <v>3</v>
      </c>
      <c r="T41" s="342" t="str">
        <f t="shared" si="5"/>
        <v>--</v>
      </c>
      <c r="U41" s="348" t="str">
        <f t="shared" si="6"/>
        <v>--</v>
      </c>
      <c r="V41" s="357" t="str">
        <f t="shared" si="7"/>
        <v>--</v>
      </c>
      <c r="W41" s="358" t="str">
        <f t="shared" si="8"/>
        <v>--</v>
      </c>
      <c r="X41" s="366" t="str">
        <f t="shared" si="9"/>
        <v>--</v>
      </c>
      <c r="Y41" s="367" t="str">
        <f t="shared" si="10"/>
        <v>--</v>
      </c>
      <c r="Z41" s="372" t="str">
        <f t="shared" si="11"/>
        <v>--</v>
      </c>
      <c r="AA41" s="378" t="str">
        <f t="shared" si="12"/>
        <v>--</v>
      </c>
      <c r="AB41" s="25">
        <f t="shared" si="13"/>
      </c>
      <c r="AC41" s="63">
        <f t="shared" si="14"/>
      </c>
      <c r="AD41" s="38"/>
    </row>
    <row r="42" spans="1:30" s="10" customFormat="1" ht="16.5" customHeight="1">
      <c r="A42" s="167"/>
      <c r="B42" s="173"/>
      <c r="C42" s="632"/>
      <c r="D42" s="632"/>
      <c r="E42" s="632"/>
      <c r="F42" s="497"/>
      <c r="G42" s="496"/>
      <c r="H42" s="633"/>
      <c r="I42" s="634"/>
      <c r="J42" s="268">
        <f t="shared" si="0"/>
        <v>0</v>
      </c>
      <c r="K42" s="636"/>
      <c r="L42" s="636"/>
      <c r="M42" s="26">
        <f t="shared" si="1"/>
      </c>
      <c r="N42" s="27">
        <f t="shared" si="2"/>
      </c>
      <c r="O42" s="637"/>
      <c r="P42" s="25">
        <f t="shared" si="15"/>
      </c>
      <c r="Q42" s="699">
        <f t="shared" si="3"/>
      </c>
      <c r="R42" s="25">
        <f t="shared" si="16"/>
      </c>
      <c r="S42" s="338">
        <f t="shared" si="4"/>
        <v>3</v>
      </c>
      <c r="T42" s="342" t="str">
        <f t="shared" si="5"/>
        <v>--</v>
      </c>
      <c r="U42" s="348" t="str">
        <f t="shared" si="6"/>
        <v>--</v>
      </c>
      <c r="V42" s="357" t="str">
        <f t="shared" si="7"/>
        <v>--</v>
      </c>
      <c r="W42" s="358" t="str">
        <f t="shared" si="8"/>
        <v>--</v>
      </c>
      <c r="X42" s="366" t="str">
        <f t="shared" si="9"/>
        <v>--</v>
      </c>
      <c r="Y42" s="367" t="str">
        <f t="shared" si="10"/>
        <v>--</v>
      </c>
      <c r="Z42" s="372" t="str">
        <f t="shared" si="11"/>
        <v>--</v>
      </c>
      <c r="AA42" s="378" t="str">
        <f t="shared" si="12"/>
        <v>--</v>
      </c>
      <c r="AB42" s="25">
        <f t="shared" si="13"/>
      </c>
      <c r="AC42" s="63">
        <f t="shared" si="14"/>
      </c>
      <c r="AD42" s="38"/>
    </row>
    <row r="43" spans="1:30" s="10" customFormat="1" ht="16.5" customHeight="1">
      <c r="A43" s="167"/>
      <c r="B43" s="173"/>
      <c r="C43" s="632"/>
      <c r="D43" s="632"/>
      <c r="E43" s="632"/>
      <c r="F43" s="497"/>
      <c r="G43" s="496"/>
      <c r="H43" s="633"/>
      <c r="I43" s="634"/>
      <c r="J43" s="268">
        <f t="shared" si="0"/>
        <v>0</v>
      </c>
      <c r="K43" s="636"/>
      <c r="L43" s="636"/>
      <c r="M43" s="26">
        <f t="shared" si="1"/>
      </c>
      <c r="N43" s="27">
        <f t="shared" si="2"/>
      </c>
      <c r="O43" s="637"/>
      <c r="P43" s="25">
        <f t="shared" si="15"/>
      </c>
      <c r="Q43" s="699">
        <f t="shared" si="3"/>
      </c>
      <c r="R43" s="25">
        <f t="shared" si="16"/>
      </c>
      <c r="S43" s="338">
        <f t="shared" si="4"/>
        <v>3</v>
      </c>
      <c r="T43" s="342" t="str">
        <f t="shared" si="5"/>
        <v>--</v>
      </c>
      <c r="U43" s="348" t="str">
        <f t="shared" si="6"/>
        <v>--</v>
      </c>
      <c r="V43" s="357" t="str">
        <f t="shared" si="7"/>
        <v>--</v>
      </c>
      <c r="W43" s="358" t="str">
        <f t="shared" si="8"/>
        <v>--</v>
      </c>
      <c r="X43" s="366" t="str">
        <f t="shared" si="9"/>
        <v>--</v>
      </c>
      <c r="Y43" s="367" t="str">
        <f t="shared" si="10"/>
        <v>--</v>
      </c>
      <c r="Z43" s="372" t="str">
        <f t="shared" si="11"/>
        <v>--</v>
      </c>
      <c r="AA43" s="378" t="str">
        <f t="shared" si="12"/>
        <v>--</v>
      </c>
      <c r="AB43" s="25">
        <f t="shared" si="13"/>
      </c>
      <c r="AC43" s="63">
        <f t="shared" si="14"/>
      </c>
      <c r="AD43" s="38"/>
    </row>
    <row r="44" spans="1:30" s="10" customFormat="1" ht="16.5" customHeight="1" thickBot="1">
      <c r="A44" s="167"/>
      <c r="B44" s="173"/>
      <c r="C44" s="635"/>
      <c r="D44" s="635"/>
      <c r="E44" s="635"/>
      <c r="F44" s="635"/>
      <c r="G44" s="635"/>
      <c r="H44" s="635"/>
      <c r="I44" s="635"/>
      <c r="J44" s="272"/>
      <c r="K44" s="635"/>
      <c r="L44" s="635"/>
      <c r="M44" s="29"/>
      <c r="N44" s="29"/>
      <c r="O44" s="635"/>
      <c r="P44" s="635"/>
      <c r="Q44" s="635"/>
      <c r="R44" s="635"/>
      <c r="S44" s="339"/>
      <c r="T44" s="343"/>
      <c r="U44" s="349"/>
      <c r="V44" s="381"/>
      <c r="W44" s="382"/>
      <c r="X44" s="383"/>
      <c r="Y44" s="384"/>
      <c r="Z44" s="373"/>
      <c r="AA44" s="379"/>
      <c r="AB44" s="29"/>
      <c r="AC44" s="215"/>
      <c r="AD44" s="38"/>
    </row>
    <row r="45" spans="1:30" s="10" customFormat="1" ht="16.5" customHeight="1" thickBot="1" thickTop="1">
      <c r="A45" s="167"/>
      <c r="B45" s="173"/>
      <c r="C45" s="240" t="s">
        <v>64</v>
      </c>
      <c r="D45" s="720" t="s">
        <v>185</v>
      </c>
      <c r="E45" s="682"/>
      <c r="F45" s="241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44">
        <f aca="true" t="shared" si="17" ref="T45:AA45">SUM(T22:T44)</f>
        <v>6.0142500000000005</v>
      </c>
      <c r="U45" s="350">
        <f t="shared" si="17"/>
        <v>0</v>
      </c>
      <c r="V45" s="359">
        <f t="shared" si="17"/>
        <v>0</v>
      </c>
      <c r="W45" s="359">
        <f t="shared" si="17"/>
        <v>0</v>
      </c>
      <c r="X45" s="368">
        <f t="shared" si="17"/>
        <v>0</v>
      </c>
      <c r="Y45" s="368">
        <f t="shared" si="17"/>
        <v>0</v>
      </c>
      <c r="Z45" s="374">
        <f t="shared" si="17"/>
        <v>0</v>
      </c>
      <c r="AA45" s="380">
        <f t="shared" si="17"/>
        <v>0</v>
      </c>
      <c r="AB45" s="31"/>
      <c r="AC45" s="256">
        <f>ROUND(SUM(AC22:AC44),2)</f>
        <v>6.01</v>
      </c>
      <c r="AD45" s="38"/>
    </row>
    <row r="46" spans="1:30" s="258" customFormat="1" ht="9.75" thickTop="1">
      <c r="A46" s="259"/>
      <c r="B46" s="260"/>
      <c r="C46" s="242"/>
      <c r="D46" s="242"/>
      <c r="E46" s="242"/>
      <c r="F46" s="243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2"/>
      <c r="U46" s="262"/>
      <c r="V46" s="262"/>
      <c r="W46" s="262"/>
      <c r="X46" s="262"/>
      <c r="Y46" s="262"/>
      <c r="Z46" s="262"/>
      <c r="AA46" s="262"/>
      <c r="AB46" s="261"/>
      <c r="AC46" s="263"/>
      <c r="AD46" s="264"/>
    </row>
    <row r="47" spans="1:30" s="10" customFormat="1" ht="16.5" customHeight="1" thickBot="1">
      <c r="A47" s="167"/>
      <c r="B47" s="180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2"/>
    </row>
    <row r="48" spans="2:30" ht="16.5" customHeight="1" thickTop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4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/>
  <printOptions/>
  <pageMargins left="0.3937007874015748" right="0.52" top="0.7874015748031497" bottom="0.7874015748031497" header="0.5118110236220472" footer="0.5118110236220472"/>
  <pageSetup fitToHeight="1" fitToWidth="1" horizontalDpi="300" verticalDpi="300" orientation="landscape" paperSize="9" scale="63" r:id="rId3"/>
  <headerFooter alignWithMargins="0">
    <oddFooter>&amp;L&amp;"Times New Roman,Normal"&amp;8&amp;Z&amp;F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="70" zoomScaleNormal="70" zoomScalePageLayoutView="0" workbookViewId="0" topLeftCell="A1">
      <selection activeCell="J17" sqref="J17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7109375" style="0" customWidth="1"/>
    <col min="6" max="6" width="40.421875" style="0" customWidth="1"/>
    <col min="7" max="7" width="40.7109375" style="0" customWidth="1"/>
    <col min="8" max="8" width="9.7109375" style="0" customWidth="1"/>
    <col min="9" max="9" width="13.14062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6" width="12.140625" style="0" hidden="1" customWidth="1"/>
    <col min="17" max="17" width="16.8515625" style="0" hidden="1" customWidth="1"/>
    <col min="18" max="18" width="16.57421875" style="0" hidden="1" customWidth="1"/>
    <col min="19" max="20" width="15.574218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09" customFormat="1" ht="26.25">
      <c r="W1" s="412"/>
    </row>
    <row r="2" spans="2:23" s="109" customFormat="1" ht="26.25">
      <c r="B2" s="110" t="str">
        <f>+'TOT-0214'!B2</f>
        <v>ANEXO II al Memorándum  D.T.E.E.  N°  223 /2016               .-</v>
      </c>
      <c r="C2" s="111"/>
      <c r="D2" s="111"/>
      <c r="E2" s="111"/>
      <c r="F2" s="111"/>
      <c r="G2" s="110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</row>
    <row r="3" s="10" customFormat="1" ht="12.75"/>
    <row r="4" spans="1:4" s="112" customFormat="1" ht="11.25">
      <c r="A4" s="685" t="s">
        <v>16</v>
      </c>
      <c r="C4" s="684"/>
      <c r="D4" s="684"/>
    </row>
    <row r="5" spans="1:4" s="112" customFormat="1" ht="11.25">
      <c r="A5" s="685" t="s">
        <v>146</v>
      </c>
      <c r="C5" s="684"/>
      <c r="D5" s="684"/>
    </row>
    <row r="6" s="10" customFormat="1" ht="13.5" thickBot="1"/>
    <row r="7" spans="2:23" s="10" customFormat="1" ht="13.5" thickTop="1"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3"/>
    </row>
    <row r="8" spans="2:23" s="114" customFormat="1" ht="20.25">
      <c r="B8" s="113"/>
      <c r="C8" s="45"/>
      <c r="D8" s="45"/>
      <c r="E8" s="45"/>
      <c r="F8" s="21" t="s">
        <v>40</v>
      </c>
      <c r="P8" s="45"/>
      <c r="Q8" s="45"/>
      <c r="R8" s="45"/>
      <c r="S8" s="45"/>
      <c r="T8" s="45"/>
      <c r="U8" s="45"/>
      <c r="V8" s="45"/>
      <c r="W8" s="115"/>
    </row>
    <row r="9" spans="2:23" s="10" customFormat="1" ht="12.75">
      <c r="B9" s="44"/>
      <c r="C9" s="8"/>
      <c r="D9" s="8"/>
      <c r="E9" s="8"/>
      <c r="F9" s="8"/>
      <c r="G9" s="8"/>
      <c r="H9" s="8"/>
      <c r="I9" s="123"/>
      <c r="J9" s="123"/>
      <c r="K9" s="123"/>
      <c r="L9" s="123"/>
      <c r="M9" s="123"/>
      <c r="P9" s="8"/>
      <c r="Q9" s="8"/>
      <c r="R9" s="8"/>
      <c r="S9" s="8"/>
      <c r="T9" s="8"/>
      <c r="U9" s="8"/>
      <c r="V9" s="8"/>
      <c r="W9" s="11"/>
    </row>
    <row r="10" spans="2:23" s="114" customFormat="1" ht="20.25">
      <c r="B10" s="113"/>
      <c r="C10" s="45"/>
      <c r="D10" s="45"/>
      <c r="E10" s="45"/>
      <c r="F10" s="21" t="s">
        <v>82</v>
      </c>
      <c r="G10" s="21"/>
      <c r="H10" s="45"/>
      <c r="I10" s="21"/>
      <c r="J10" s="21"/>
      <c r="K10" s="21"/>
      <c r="L10" s="21"/>
      <c r="M10" s="21"/>
      <c r="P10" s="45"/>
      <c r="Q10" s="45"/>
      <c r="R10" s="45"/>
      <c r="S10" s="45"/>
      <c r="T10" s="45"/>
      <c r="U10" s="45"/>
      <c r="V10" s="45"/>
      <c r="W10" s="115"/>
    </row>
    <row r="11" spans="2:23" s="10" customFormat="1" ht="12.75">
      <c r="B11" s="44"/>
      <c r="C11" s="8"/>
      <c r="D11" s="8"/>
      <c r="E11" s="8"/>
      <c r="F11" s="183"/>
      <c r="G11" s="123"/>
      <c r="H11" s="8"/>
      <c r="I11" s="123"/>
      <c r="J11" s="123"/>
      <c r="K11" s="123"/>
      <c r="L11" s="123"/>
      <c r="M11" s="123"/>
      <c r="P11" s="8"/>
      <c r="Q11" s="8"/>
      <c r="R11" s="8"/>
      <c r="S11" s="8"/>
      <c r="T11" s="8"/>
      <c r="U11" s="8"/>
      <c r="V11" s="8"/>
      <c r="W11" s="11"/>
    </row>
    <row r="12" spans="2:23" s="114" customFormat="1" ht="20.25">
      <c r="B12" s="113"/>
      <c r="C12" s="45"/>
      <c r="D12" s="45"/>
      <c r="E12" s="45"/>
      <c r="F12" s="21" t="s">
        <v>83</v>
      </c>
      <c r="G12" s="21"/>
      <c r="H12" s="45"/>
      <c r="I12" s="21"/>
      <c r="J12" s="21"/>
      <c r="K12" s="21"/>
      <c r="L12" s="21"/>
      <c r="M12" s="21"/>
      <c r="P12" s="45"/>
      <c r="Q12" s="45"/>
      <c r="R12" s="45"/>
      <c r="S12" s="45"/>
      <c r="T12" s="45"/>
      <c r="U12" s="45"/>
      <c r="V12" s="45"/>
      <c r="W12" s="115"/>
    </row>
    <row r="13" spans="2:23" s="10" customFormat="1" ht="12.75">
      <c r="B13" s="44"/>
      <c r="C13" s="8"/>
      <c r="D13" s="8"/>
      <c r="E13" s="8"/>
      <c r="F13" s="125"/>
      <c r="G13" s="123"/>
      <c r="H13" s="8"/>
      <c r="I13" s="123"/>
      <c r="J13" s="123"/>
      <c r="K13" s="123"/>
      <c r="L13" s="123"/>
      <c r="M13" s="123"/>
      <c r="P13" s="8"/>
      <c r="Q13" s="8"/>
      <c r="R13" s="8"/>
      <c r="S13" s="8"/>
      <c r="T13" s="8"/>
      <c r="U13" s="8"/>
      <c r="V13" s="8"/>
      <c r="W13" s="11"/>
    </row>
    <row r="14" spans="2:23" s="121" customFormat="1" ht="19.5">
      <c r="B14" s="87" t="str">
        <f>+'TOT-0214'!B14</f>
        <v>Desde el 01 al 28 de febrero de 2014</v>
      </c>
      <c r="C14" s="117"/>
      <c r="D14" s="117"/>
      <c r="E14" s="117"/>
      <c r="F14" s="117"/>
      <c r="G14" s="117"/>
      <c r="H14" s="86"/>
      <c r="I14" s="117"/>
      <c r="J14" s="118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20"/>
    </row>
    <row r="15" spans="2:23" s="10" customFormat="1" ht="16.5" customHeight="1" thickBot="1">
      <c r="B15" s="44"/>
      <c r="C15" s="8"/>
      <c r="D15" s="8"/>
      <c r="E15" s="8"/>
      <c r="I15" s="122"/>
      <c r="K15" s="8"/>
      <c r="L15" s="8"/>
      <c r="M15" s="8"/>
      <c r="N15" s="122"/>
      <c r="O15" s="122"/>
      <c r="P15" s="122"/>
      <c r="Q15" s="8"/>
      <c r="R15" s="8"/>
      <c r="S15" s="8"/>
      <c r="T15" s="8"/>
      <c r="U15" s="8"/>
      <c r="V15" s="8"/>
      <c r="W15" s="11"/>
    </row>
    <row r="16" spans="2:23" s="10" customFormat="1" ht="16.5" customHeight="1" thickBot="1" thickTop="1">
      <c r="B16" s="44"/>
      <c r="C16" s="8"/>
      <c r="D16" s="8"/>
      <c r="E16" s="8"/>
      <c r="F16" s="220" t="s">
        <v>84</v>
      </c>
      <c r="G16" s="724">
        <v>22.033</v>
      </c>
      <c r="H16" s="93">
        <v>60</v>
      </c>
      <c r="I16" s="122"/>
      <c r="J16" s="236" t="str">
        <f>IF(H16=60," ",IF(H16=120,"Coeficiente duplicado por tasa de falla &gt;4 Sal. x año/100 km.","REVISAR COEFICIENTE"))</f>
        <v> </v>
      </c>
      <c r="K16" s="8"/>
      <c r="L16" s="8"/>
      <c r="M16" s="8"/>
      <c r="N16" s="122"/>
      <c r="O16" s="122"/>
      <c r="P16" s="122"/>
      <c r="Q16" s="8"/>
      <c r="R16" s="8"/>
      <c r="S16" s="8"/>
      <c r="T16" s="8"/>
      <c r="U16" s="8"/>
      <c r="V16" s="8"/>
      <c r="W16" s="11"/>
    </row>
    <row r="17" spans="2:23" s="10" customFormat="1" ht="16.5" customHeight="1" thickBot="1" thickTop="1">
      <c r="B17" s="44"/>
      <c r="C17" s="8"/>
      <c r="D17" s="8"/>
      <c r="E17" s="8"/>
      <c r="F17" s="220" t="s">
        <v>85</v>
      </c>
      <c r="G17" s="724">
        <v>8.811</v>
      </c>
      <c r="H17" s="93">
        <v>50</v>
      </c>
      <c r="J17" s="236" t="str">
        <f>IF(H17=50," ",IF(H17=100,"Coeficiente duplicado por tasa de falla &gt;4 Sal. x año/100 km.","REVISAR COEFICIENTE"))</f>
        <v> </v>
      </c>
      <c r="Q17" s="274"/>
      <c r="S17" s="8"/>
      <c r="T17" s="8"/>
      <c r="U17" s="8"/>
      <c r="V17" s="217"/>
      <c r="W17" s="11"/>
    </row>
    <row r="18" spans="2:23" s="10" customFormat="1" ht="16.5" customHeight="1" thickBot="1" thickTop="1">
      <c r="B18" s="44"/>
      <c r="C18" s="8"/>
      <c r="D18" s="8"/>
      <c r="E18" s="8"/>
      <c r="F18" s="222" t="s">
        <v>86</v>
      </c>
      <c r="G18" s="223">
        <v>6.612</v>
      </c>
      <c r="H18" s="224">
        <v>25</v>
      </c>
      <c r="J18" s="236" t="str">
        <f>IF(H18=25," ",IF(H18=50,"Coeficiente duplicado por tasa de falla &gt;4 Sal. x año/100 km.","REVISAR COEFICIENTE"))</f>
        <v> </v>
      </c>
      <c r="K18" s="165"/>
      <c r="L18" s="165"/>
      <c r="M18" s="8"/>
      <c r="P18" s="218"/>
      <c r="Q18" s="219"/>
      <c r="R18" s="36"/>
      <c r="S18" s="8"/>
      <c r="T18" s="8"/>
      <c r="U18" s="8"/>
      <c r="V18" s="217"/>
      <c r="W18" s="11"/>
    </row>
    <row r="19" spans="2:23" s="10" customFormat="1" ht="16.5" customHeight="1" thickBot="1" thickTop="1">
      <c r="B19" s="44"/>
      <c r="C19" s="8"/>
      <c r="D19" s="8"/>
      <c r="E19" s="8"/>
      <c r="F19" s="225" t="s">
        <v>87</v>
      </c>
      <c r="G19" s="223">
        <v>6.612</v>
      </c>
      <c r="H19" s="226">
        <v>20</v>
      </c>
      <c r="J19" s="236" t="str">
        <f>IF(H19=20," ",IF(H19=40,"Coeficiente duplicado por tasa de falla &gt;4 Sal. x año/100 km.","REVISAR COEFICIENTE"))</f>
        <v> </v>
      </c>
      <c r="K19" s="165"/>
      <c r="L19" s="165"/>
      <c r="M19" s="8"/>
      <c r="P19" s="218"/>
      <c r="Q19" s="219"/>
      <c r="R19" s="36"/>
      <c r="S19" s="8"/>
      <c r="T19" s="8"/>
      <c r="U19" s="8"/>
      <c r="V19" s="217"/>
      <c r="W19" s="11"/>
    </row>
    <row r="20" spans="2:23" s="708" customFormat="1" ht="16.5" customHeight="1" thickBot="1" thickTop="1">
      <c r="B20" s="705"/>
      <c r="C20" s="706">
        <v>3</v>
      </c>
      <c r="D20" s="706">
        <v>4</v>
      </c>
      <c r="E20" s="706">
        <v>5</v>
      </c>
      <c r="F20" s="706">
        <v>6</v>
      </c>
      <c r="G20" s="706">
        <v>7</v>
      </c>
      <c r="H20" s="706">
        <v>8</v>
      </c>
      <c r="I20" s="706">
        <v>9</v>
      </c>
      <c r="J20" s="706">
        <v>10</v>
      </c>
      <c r="K20" s="706">
        <v>11</v>
      </c>
      <c r="L20" s="706">
        <v>12</v>
      </c>
      <c r="M20" s="706">
        <v>13</v>
      </c>
      <c r="N20" s="706">
        <v>14</v>
      </c>
      <c r="O20" s="706">
        <v>15</v>
      </c>
      <c r="P20" s="706">
        <v>16</v>
      </c>
      <c r="Q20" s="706">
        <v>17</v>
      </c>
      <c r="R20" s="706">
        <v>18</v>
      </c>
      <c r="S20" s="706">
        <v>19</v>
      </c>
      <c r="T20" s="706">
        <v>20</v>
      </c>
      <c r="U20" s="706">
        <v>21</v>
      </c>
      <c r="V20" s="706">
        <v>22</v>
      </c>
      <c r="W20" s="707"/>
    </row>
    <row r="21" spans="2:23" s="10" customFormat="1" ht="33.75" customHeight="1" thickBot="1" thickTop="1">
      <c r="B21" s="44"/>
      <c r="C21" s="213" t="s">
        <v>46</v>
      </c>
      <c r="D21" s="101" t="s">
        <v>145</v>
      </c>
      <c r="E21" s="101" t="s">
        <v>144</v>
      </c>
      <c r="F21" s="211" t="s">
        <v>70</v>
      </c>
      <c r="G21" s="227" t="s">
        <v>14</v>
      </c>
      <c r="H21" s="230" t="s">
        <v>47</v>
      </c>
      <c r="I21" s="265" t="s">
        <v>49</v>
      </c>
      <c r="J21" s="207" t="s">
        <v>50</v>
      </c>
      <c r="K21" s="227" t="s">
        <v>51</v>
      </c>
      <c r="L21" s="229" t="s">
        <v>74</v>
      </c>
      <c r="M21" s="229" t="s">
        <v>75</v>
      </c>
      <c r="N21" s="105" t="s">
        <v>54</v>
      </c>
      <c r="O21" s="212" t="s">
        <v>76</v>
      </c>
      <c r="P21" s="386" t="s">
        <v>88</v>
      </c>
      <c r="Q21" s="320" t="s">
        <v>56</v>
      </c>
      <c r="R21" s="360" t="s">
        <v>80</v>
      </c>
      <c r="S21" s="361"/>
      <c r="T21" s="396" t="s">
        <v>60</v>
      </c>
      <c r="U21" s="209" t="s">
        <v>62</v>
      </c>
      <c r="V21" s="209" t="s">
        <v>63</v>
      </c>
      <c r="W21" s="38"/>
    </row>
    <row r="22" spans="2:23" s="10" customFormat="1" ht="16.5" customHeight="1" thickTop="1">
      <c r="B22" s="44"/>
      <c r="C22" s="20"/>
      <c r="D22" s="18"/>
      <c r="E22" s="18"/>
      <c r="F22" s="32"/>
      <c r="G22" s="32"/>
      <c r="H22" s="406"/>
      <c r="I22" s="273"/>
      <c r="J22" s="33"/>
      <c r="K22" s="34"/>
      <c r="L22" s="35"/>
      <c r="M22" s="64"/>
      <c r="N22" s="388"/>
      <c r="O22" s="388"/>
      <c r="P22" s="389"/>
      <c r="Q22" s="391"/>
      <c r="R22" s="393"/>
      <c r="S22" s="394"/>
      <c r="T22" s="397"/>
      <c r="U22" s="395"/>
      <c r="V22" s="411"/>
      <c r="W22" s="38"/>
    </row>
    <row r="23" spans="2:23" s="10" customFormat="1" ht="16.5" customHeight="1">
      <c r="B23" s="44"/>
      <c r="C23" s="20"/>
      <c r="D23" s="18"/>
      <c r="E23" s="18"/>
      <c r="F23" s="32"/>
      <c r="G23" s="32"/>
      <c r="H23" s="406"/>
      <c r="I23" s="273"/>
      <c r="J23" s="33"/>
      <c r="K23" s="34"/>
      <c r="L23" s="35"/>
      <c r="M23" s="64"/>
      <c r="N23" s="28"/>
      <c r="O23" s="28"/>
      <c r="P23" s="387"/>
      <c r="Q23" s="392"/>
      <c r="R23" s="366"/>
      <c r="S23" s="367"/>
      <c r="T23" s="398"/>
      <c r="U23" s="25"/>
      <c r="V23" s="228"/>
      <c r="W23" s="38"/>
    </row>
    <row r="24" spans="2:23" s="10" customFormat="1" ht="16.5" customHeight="1">
      <c r="B24" s="44"/>
      <c r="C24" s="647">
        <v>12</v>
      </c>
      <c r="D24" s="632">
        <v>271800</v>
      </c>
      <c r="E24" s="632">
        <v>3599</v>
      </c>
      <c r="F24" s="648" t="s">
        <v>162</v>
      </c>
      <c r="G24" s="648" t="s">
        <v>163</v>
      </c>
      <c r="H24" s="649">
        <v>33</v>
      </c>
      <c r="I24" s="273">
        <f>IF(H24=330,$G$16,IF(AND(H24&lt;=132,H24&gt;=66),$G$17,IF(AND(H24&lt;66,H24&gt;=33),$G$18,$G$19)))</f>
        <v>6.612</v>
      </c>
      <c r="J24" s="650">
        <v>41674.44236111111</v>
      </c>
      <c r="K24" s="651">
        <v>41674.555555555555</v>
      </c>
      <c r="L24" s="35">
        <f>IF(F24="","",(K24-J24)*24)</f>
        <v>2.71666666661622</v>
      </c>
      <c r="M24" s="64">
        <f>IF(F24="","",ROUND((K24-J24)*24*60,0))</f>
        <v>163</v>
      </c>
      <c r="N24" s="652" t="s">
        <v>152</v>
      </c>
      <c r="O24" s="28" t="str">
        <f>IF(F24="","",IF(N24="P","--","NO"))</f>
        <v>--</v>
      </c>
      <c r="P24" s="387">
        <f>IF(H24=330,$H$16,IF(AND(H24&lt;=132,H24&gt;=66),$H$17,IF(AND(H24&lt;66,H24&gt;13.2),$H$18,$H$19)))</f>
        <v>25</v>
      </c>
      <c r="Q24" s="702">
        <f>IF(N24="P",I24*P24*ROUND(M24/60,2)*0.1,"--")</f>
        <v>44.961600000000004</v>
      </c>
      <c r="R24" s="366" t="str">
        <f>IF(AND(N24="F",O24="NO"),I24*P24,"--")</f>
        <v>--</v>
      </c>
      <c r="S24" s="367" t="str">
        <f>IF(N24="F",I24*P24*ROUND(M24/60,2),"--")</f>
        <v>--</v>
      </c>
      <c r="T24" s="398" t="str">
        <f>IF(N24="RF",I24*P24*ROUND(M24/60,2),"--")</f>
        <v>--</v>
      </c>
      <c r="U24" s="25" t="s">
        <v>153</v>
      </c>
      <c r="V24" s="65">
        <f>IF(F24="","",SUM(Q24:T24)*IF(U24="SI",1,2)*IF(H24="500/220",0,1))</f>
        <v>44.961600000000004</v>
      </c>
      <c r="W24" s="38"/>
    </row>
    <row r="25" spans="2:23" s="10" customFormat="1" ht="16.5" customHeight="1">
      <c r="B25" s="44"/>
      <c r="C25" s="647">
        <v>13</v>
      </c>
      <c r="D25" s="632">
        <v>272521</v>
      </c>
      <c r="E25" s="632">
        <v>3519</v>
      </c>
      <c r="F25" s="648" t="s">
        <v>159</v>
      </c>
      <c r="G25" s="648" t="s">
        <v>161</v>
      </c>
      <c r="H25" s="649">
        <v>33</v>
      </c>
      <c r="I25" s="273">
        <f>IF(H25=330,$G$16,IF(AND(H25&lt;=132,H25&gt;=66),$G$17,IF(AND(H25&lt;66,H25&gt;=33),$G$18,$G$19)))</f>
        <v>6.612</v>
      </c>
      <c r="J25" s="650">
        <v>41690.583333333336</v>
      </c>
      <c r="K25" s="651">
        <v>41690.60277777778</v>
      </c>
      <c r="L25" s="35">
        <f>IF(F25="","",(K25-J25)*24)</f>
        <v>0.46666666661622</v>
      </c>
      <c r="M25" s="64">
        <f>IF(F25="","",ROUND((K25-J25)*24*60,0))</f>
        <v>28</v>
      </c>
      <c r="N25" s="652" t="s">
        <v>152</v>
      </c>
      <c r="O25" s="28" t="str">
        <f>IF(F25="","",IF(N25="P","--","NO"))</f>
        <v>--</v>
      </c>
      <c r="P25" s="387">
        <f>IF(H25=330,$H$16,IF(AND(H25&lt;=132,H25&gt;=66),$H$17,IF(AND(H25&lt;66,H25&gt;13.2),$H$18,$H$19)))</f>
        <v>25</v>
      </c>
      <c r="Q25" s="702">
        <f>IF(N25="P",I25*P25*ROUND(M25/60,2)*0.1,"--")</f>
        <v>7.769100000000001</v>
      </c>
      <c r="R25" s="366" t="str">
        <f>IF(AND(N25="F",O25="NO"),I25*P25,"--")</f>
        <v>--</v>
      </c>
      <c r="S25" s="367" t="str">
        <f>IF(N25="F",I25*P25*ROUND(M25/60,2),"--")</f>
        <v>--</v>
      </c>
      <c r="T25" s="398" t="str">
        <f>IF(N25="RF",I25*P25*ROUND(M25/60,2),"--")</f>
        <v>--</v>
      </c>
      <c r="U25" s="25" t="s">
        <v>153</v>
      </c>
      <c r="V25" s="65">
        <f>IF(F25="","",SUM(Q25:T25)*IF(U25="SI",1,2)*IF(H25="500/220",0,1))</f>
        <v>7.769100000000001</v>
      </c>
      <c r="W25" s="38"/>
    </row>
    <row r="26" spans="2:23" s="10" customFormat="1" ht="16.5" customHeight="1">
      <c r="B26" s="44"/>
      <c r="C26" s="647">
        <v>14</v>
      </c>
      <c r="D26" s="632">
        <v>272522</v>
      </c>
      <c r="E26" s="632">
        <v>4589</v>
      </c>
      <c r="F26" s="648" t="s">
        <v>159</v>
      </c>
      <c r="G26" s="648" t="s">
        <v>173</v>
      </c>
      <c r="H26" s="649">
        <v>132</v>
      </c>
      <c r="I26" s="273">
        <f>IF(H26=330,$G$16,IF(AND(H26&lt;=132,H26&gt;=66),$G$17,IF(AND(H26&lt;66,H26&gt;=33),$G$18,$G$19)))</f>
        <v>8.811</v>
      </c>
      <c r="J26" s="650">
        <v>41690.583333333336</v>
      </c>
      <c r="K26" s="651">
        <v>41690.60208333333</v>
      </c>
      <c r="L26" s="35">
        <f>IF(F26="","",(K26-J26)*24)</f>
        <v>0.4499999998952262</v>
      </c>
      <c r="M26" s="64">
        <f>IF(F26="","",ROUND((K26-J26)*24*60,0))</f>
        <v>27</v>
      </c>
      <c r="N26" s="652" t="s">
        <v>152</v>
      </c>
      <c r="O26" s="28" t="str">
        <f>IF(F26="","",IF(N26="P","--","NO"))</f>
        <v>--</v>
      </c>
      <c r="P26" s="387">
        <f>IF(H26=330,$H$16,IF(AND(H26&lt;=132,H26&gt;=66),$H$17,IF(AND(H26&lt;66,H26&gt;13.2),$H$18,$H$19)))</f>
        <v>50</v>
      </c>
      <c r="Q26" s="702">
        <f>IF(N26="P",I26*P26*ROUND(M26/60,2)*0.1,"--")</f>
        <v>19.82475</v>
      </c>
      <c r="R26" s="366" t="str">
        <f>IF(AND(N26="F",O26="NO"),I26*P26,"--")</f>
        <v>--</v>
      </c>
      <c r="S26" s="367" t="str">
        <f>IF(N26="F",I26*P26*ROUND(M26/60,2),"--")</f>
        <v>--</v>
      </c>
      <c r="T26" s="398" t="str">
        <f>IF(N26="RF",I26*P26*ROUND(M26/60,2),"--")</f>
        <v>--</v>
      </c>
      <c r="U26" s="25" t="s">
        <v>153</v>
      </c>
      <c r="V26" s="65">
        <f>IF(F26="","",SUM(Q26:T26)*IF(U26="SI",1,2)*IF(H26="500/220",0,1))</f>
        <v>19.82475</v>
      </c>
      <c r="W26" s="38"/>
    </row>
    <row r="27" spans="2:23" s="10" customFormat="1" ht="16.5" customHeight="1">
      <c r="B27" s="44"/>
      <c r="C27" s="647"/>
      <c r="D27" s="632"/>
      <c r="E27" s="632"/>
      <c r="F27" s="648"/>
      <c r="G27" s="648"/>
      <c r="H27" s="649"/>
      <c r="I27" s="273"/>
      <c r="J27" s="650"/>
      <c r="K27" s="651"/>
      <c r="L27" s="35"/>
      <c r="M27" s="64"/>
      <c r="N27" s="652"/>
      <c r="O27" s="28"/>
      <c r="P27" s="387"/>
      <c r="Q27" s="702"/>
      <c r="R27" s="366"/>
      <c r="S27" s="367"/>
      <c r="T27" s="398"/>
      <c r="U27" s="25"/>
      <c r="V27" s="65"/>
      <c r="W27" s="38"/>
    </row>
    <row r="28" spans="2:23" s="10" customFormat="1" ht="16.5" customHeight="1">
      <c r="B28" s="44"/>
      <c r="C28" s="647"/>
      <c r="D28" s="632"/>
      <c r="E28" s="632"/>
      <c r="F28" s="648"/>
      <c r="G28" s="648"/>
      <c r="H28" s="649"/>
      <c r="I28" s="273"/>
      <c r="J28" s="650"/>
      <c r="K28" s="651"/>
      <c r="L28" s="35"/>
      <c r="M28" s="64"/>
      <c r="N28" s="652"/>
      <c r="O28" s="28"/>
      <c r="P28" s="387"/>
      <c r="Q28" s="702"/>
      <c r="R28" s="366"/>
      <c r="S28" s="367"/>
      <c r="T28" s="398"/>
      <c r="U28" s="25"/>
      <c r="V28" s="65"/>
      <c r="W28" s="38"/>
    </row>
    <row r="29" spans="2:23" s="10" customFormat="1" ht="16.5" customHeight="1">
      <c r="B29" s="44"/>
      <c r="C29" s="647"/>
      <c r="D29" s="632"/>
      <c r="E29" s="632"/>
      <c r="F29" s="648"/>
      <c r="G29" s="648"/>
      <c r="H29" s="649"/>
      <c r="I29" s="273"/>
      <c r="J29" s="650"/>
      <c r="K29" s="651"/>
      <c r="L29" s="35"/>
      <c r="M29" s="64"/>
      <c r="N29" s="652"/>
      <c r="O29" s="28"/>
      <c r="P29" s="387"/>
      <c r="Q29" s="702"/>
      <c r="R29" s="366"/>
      <c r="S29" s="367"/>
      <c r="T29" s="398"/>
      <c r="U29" s="25"/>
      <c r="V29" s="65"/>
      <c r="W29" s="38"/>
    </row>
    <row r="30" spans="2:23" s="10" customFormat="1" ht="16.5" customHeight="1">
      <c r="B30" s="44"/>
      <c r="C30" s="647"/>
      <c r="D30" s="632"/>
      <c r="E30" s="632"/>
      <c r="F30" s="648"/>
      <c r="G30" s="648"/>
      <c r="H30" s="649"/>
      <c r="I30" s="273"/>
      <c r="J30" s="650"/>
      <c r="K30" s="651"/>
      <c r="L30" s="35"/>
      <c r="M30" s="64"/>
      <c r="N30" s="652"/>
      <c r="O30" s="28"/>
      <c r="P30" s="387"/>
      <c r="Q30" s="702"/>
      <c r="R30" s="366"/>
      <c r="S30" s="367"/>
      <c r="T30" s="398"/>
      <c r="U30" s="25"/>
      <c r="V30" s="65"/>
      <c r="W30" s="38"/>
    </row>
    <row r="31" spans="2:23" s="10" customFormat="1" ht="16.5" customHeight="1">
      <c r="B31" s="44"/>
      <c r="C31" s="647"/>
      <c r="D31" s="632"/>
      <c r="E31" s="632"/>
      <c r="F31" s="648"/>
      <c r="G31" s="648"/>
      <c r="H31" s="649"/>
      <c r="I31" s="273"/>
      <c r="J31" s="650"/>
      <c r="K31" s="651"/>
      <c r="L31" s="35"/>
      <c r="M31" s="64"/>
      <c r="N31" s="652"/>
      <c r="O31" s="28"/>
      <c r="P31" s="387"/>
      <c r="Q31" s="702"/>
      <c r="R31" s="366"/>
      <c r="S31" s="367"/>
      <c r="T31" s="398"/>
      <c r="U31" s="25"/>
      <c r="V31" s="65"/>
      <c r="W31" s="38"/>
    </row>
    <row r="32" spans="2:23" s="10" customFormat="1" ht="16.5" customHeight="1">
      <c r="B32" s="44"/>
      <c r="C32" s="647"/>
      <c r="D32" s="632"/>
      <c r="E32" s="632"/>
      <c r="F32" s="648"/>
      <c r="G32" s="648"/>
      <c r="H32" s="649"/>
      <c r="I32" s="273"/>
      <c r="J32" s="650"/>
      <c r="K32" s="651"/>
      <c r="L32" s="35"/>
      <c r="M32" s="64"/>
      <c r="N32" s="652"/>
      <c r="O32" s="28"/>
      <c r="P32" s="387"/>
      <c r="Q32" s="702"/>
      <c r="R32" s="366"/>
      <c r="S32" s="367"/>
      <c r="T32" s="398"/>
      <c r="U32" s="25"/>
      <c r="V32" s="65"/>
      <c r="W32" s="38"/>
    </row>
    <row r="33" spans="2:23" s="10" customFormat="1" ht="16.5" customHeight="1">
      <c r="B33" s="44"/>
      <c r="C33" s="647"/>
      <c r="D33" s="632"/>
      <c r="E33" s="632"/>
      <c r="F33" s="648"/>
      <c r="G33" s="648"/>
      <c r="H33" s="649"/>
      <c r="I33" s="273"/>
      <c r="J33" s="650"/>
      <c r="K33" s="651"/>
      <c r="L33" s="35"/>
      <c r="M33" s="64"/>
      <c r="N33" s="652"/>
      <c r="O33" s="28"/>
      <c r="P33" s="387"/>
      <c r="Q33" s="702"/>
      <c r="R33" s="366"/>
      <c r="S33" s="367"/>
      <c r="T33" s="398"/>
      <c r="U33" s="25"/>
      <c r="V33" s="65"/>
      <c r="W33" s="38"/>
    </row>
    <row r="34" spans="2:23" s="10" customFormat="1" ht="16.5" customHeight="1">
      <c r="B34" s="44"/>
      <c r="C34" s="647"/>
      <c r="D34" s="632"/>
      <c r="E34" s="632"/>
      <c r="F34" s="648"/>
      <c r="G34" s="648"/>
      <c r="H34" s="649"/>
      <c r="I34" s="273"/>
      <c r="J34" s="650"/>
      <c r="K34" s="651"/>
      <c r="L34" s="35"/>
      <c r="M34" s="64"/>
      <c r="N34" s="652"/>
      <c r="O34" s="28"/>
      <c r="P34" s="387"/>
      <c r="Q34" s="702"/>
      <c r="R34" s="366"/>
      <c r="S34" s="367"/>
      <c r="T34" s="398"/>
      <c r="U34" s="25"/>
      <c r="V34" s="65"/>
      <c r="W34" s="38"/>
    </row>
    <row r="35" spans="2:23" s="10" customFormat="1" ht="16.5" customHeight="1">
      <c r="B35" s="44"/>
      <c r="C35" s="647"/>
      <c r="D35" s="632"/>
      <c r="E35" s="632"/>
      <c r="F35" s="648"/>
      <c r="G35" s="648"/>
      <c r="H35" s="649"/>
      <c r="I35" s="273"/>
      <c r="J35" s="650"/>
      <c r="K35" s="651"/>
      <c r="L35" s="35"/>
      <c r="M35" s="64"/>
      <c r="N35" s="652"/>
      <c r="O35" s="28"/>
      <c r="P35" s="387"/>
      <c r="Q35" s="702"/>
      <c r="R35" s="366"/>
      <c r="S35" s="367"/>
      <c r="T35" s="398"/>
      <c r="U35" s="25"/>
      <c r="V35" s="65"/>
      <c r="W35" s="38"/>
    </row>
    <row r="36" spans="2:23" s="10" customFormat="1" ht="16.5" customHeight="1">
      <c r="B36" s="44"/>
      <c r="C36" s="647"/>
      <c r="D36" s="632"/>
      <c r="E36" s="632"/>
      <c r="F36" s="648"/>
      <c r="G36" s="648"/>
      <c r="H36" s="649"/>
      <c r="I36" s="273"/>
      <c r="J36" s="650"/>
      <c r="K36" s="651"/>
      <c r="L36" s="35"/>
      <c r="M36" s="64"/>
      <c r="N36" s="652"/>
      <c r="O36" s="28"/>
      <c r="P36" s="387"/>
      <c r="Q36" s="702"/>
      <c r="R36" s="366"/>
      <c r="S36" s="367"/>
      <c r="T36" s="398"/>
      <c r="U36" s="25"/>
      <c r="V36" s="65"/>
      <c r="W36" s="38"/>
    </row>
    <row r="37" spans="2:23" s="10" customFormat="1" ht="16.5" customHeight="1">
      <c r="B37" s="44"/>
      <c r="C37" s="647"/>
      <c r="D37" s="632"/>
      <c r="E37" s="632"/>
      <c r="F37" s="648"/>
      <c r="G37" s="648"/>
      <c r="H37" s="649"/>
      <c r="I37" s="273"/>
      <c r="J37" s="650"/>
      <c r="K37" s="651"/>
      <c r="L37" s="35"/>
      <c r="M37" s="64"/>
      <c r="N37" s="652"/>
      <c r="O37" s="28"/>
      <c r="P37" s="387"/>
      <c r="Q37" s="702"/>
      <c r="R37" s="366"/>
      <c r="S37" s="367"/>
      <c r="T37" s="398"/>
      <c r="U37" s="25"/>
      <c r="V37" s="65"/>
      <c r="W37" s="38"/>
    </row>
    <row r="38" spans="2:23" s="10" customFormat="1" ht="16.5" customHeight="1">
      <c r="B38" s="44"/>
      <c r="C38" s="647"/>
      <c r="D38" s="632"/>
      <c r="E38" s="632"/>
      <c r="F38" s="648"/>
      <c r="G38" s="648"/>
      <c r="H38" s="649"/>
      <c r="I38" s="273"/>
      <c r="J38" s="650"/>
      <c r="K38" s="651"/>
      <c r="L38" s="35"/>
      <c r="M38" s="64"/>
      <c r="N38" s="652"/>
      <c r="O38" s="28"/>
      <c r="P38" s="387"/>
      <c r="Q38" s="702"/>
      <c r="R38" s="366"/>
      <c r="S38" s="367"/>
      <c r="T38" s="398"/>
      <c r="U38" s="25"/>
      <c r="V38" s="65"/>
      <c r="W38" s="38"/>
    </row>
    <row r="39" spans="2:23" s="10" customFormat="1" ht="16.5" customHeight="1">
      <c r="B39" s="44"/>
      <c r="C39" s="647"/>
      <c r="D39" s="632"/>
      <c r="E39" s="632"/>
      <c r="F39" s="648"/>
      <c r="G39" s="648"/>
      <c r="H39" s="649"/>
      <c r="I39" s="273"/>
      <c r="J39" s="650"/>
      <c r="K39" s="651"/>
      <c r="L39" s="35"/>
      <c r="M39" s="64"/>
      <c r="N39" s="652"/>
      <c r="O39" s="28"/>
      <c r="P39" s="387"/>
      <c r="Q39" s="702"/>
      <c r="R39" s="366"/>
      <c r="S39" s="367"/>
      <c r="T39" s="398"/>
      <c r="U39" s="25"/>
      <c r="V39" s="65"/>
      <c r="W39" s="38"/>
    </row>
    <row r="40" spans="2:23" s="10" customFormat="1" ht="16.5" customHeight="1">
      <c r="B40" s="44"/>
      <c r="C40" s="647"/>
      <c r="D40" s="632"/>
      <c r="E40" s="632"/>
      <c r="F40" s="648"/>
      <c r="G40" s="648"/>
      <c r="H40" s="649"/>
      <c r="I40" s="273"/>
      <c r="J40" s="650"/>
      <c r="K40" s="651"/>
      <c r="L40" s="35"/>
      <c r="M40" s="64"/>
      <c r="N40" s="652"/>
      <c r="O40" s="28"/>
      <c r="P40" s="387"/>
      <c r="Q40" s="702"/>
      <c r="R40" s="366"/>
      <c r="S40" s="367"/>
      <c r="T40" s="398"/>
      <c r="U40" s="25"/>
      <c r="V40" s="65"/>
      <c r="W40" s="38"/>
    </row>
    <row r="41" spans="2:23" s="10" customFormat="1" ht="16.5" customHeight="1">
      <c r="B41" s="44"/>
      <c r="C41" s="647"/>
      <c r="D41" s="632"/>
      <c r="E41" s="632"/>
      <c r="F41" s="648"/>
      <c r="G41" s="648"/>
      <c r="H41" s="649"/>
      <c r="I41" s="273">
        <f>IF(H41=330,$G$16,IF(AND(H41&lt;=132,H41&gt;=66),$G$17,IF(AND(H41&lt;66,H41&gt;=33),$G$18,$G$19)))</f>
        <v>6.612</v>
      </c>
      <c r="J41" s="650"/>
      <c r="K41" s="651"/>
      <c r="L41" s="35">
        <f>IF(F41="","",(K41-J41)*24)</f>
      </c>
      <c r="M41" s="64">
        <f>IF(F41="","",ROUND((K41-J41)*24*60,0))</f>
      </c>
      <c r="N41" s="652"/>
      <c r="O41" s="28">
        <f>IF(F41="","",IF(N41="P","--","NO"))</f>
      </c>
      <c r="P41" s="387">
        <f>IF(H41=330,$H$16,IF(AND(H41&lt;=132,H41&gt;=66),$H$17,IF(AND(H41&lt;66,H41&gt;13.2),$H$18,$H$19)))</f>
        <v>20</v>
      </c>
      <c r="Q41" s="702" t="str">
        <f>IF(N41="P",I41*P41*ROUND(M41/60,2)*0.1,"--")</f>
        <v>--</v>
      </c>
      <c r="R41" s="366" t="str">
        <f>IF(AND(N41="F",O41="NO"),I41*P41,"--")</f>
        <v>--</v>
      </c>
      <c r="S41" s="367" t="str">
        <f>IF(N41="F",I41*P41*ROUND(M41/60,2),"--")</f>
        <v>--</v>
      </c>
      <c r="T41" s="398" t="str">
        <f>IF(N41="RF",I41*P41*ROUND(M41/60,2),"--")</f>
        <v>--</v>
      </c>
      <c r="U41" s="25">
        <f>IF(F41="","","SI")</f>
      </c>
      <c r="V41" s="65">
        <f>IF(F41="","",SUM(Q41:T41)*IF(U41="SI",1,2)*IF(H41="500/220",0,1))</f>
      </c>
      <c r="W41" s="38"/>
    </row>
    <row r="42" spans="2:23" s="10" customFormat="1" ht="16.5" customHeight="1">
      <c r="B42" s="44"/>
      <c r="C42" s="647"/>
      <c r="D42" s="632"/>
      <c r="E42" s="632"/>
      <c r="F42" s="648"/>
      <c r="G42" s="648"/>
      <c r="H42" s="649"/>
      <c r="I42" s="273">
        <f>IF(H42=330,$G$16,IF(AND(H42&lt;=132,H42&gt;=66),$G$17,IF(AND(H42&lt;66,H42&gt;=33),$G$18,$G$19)))</f>
        <v>6.612</v>
      </c>
      <c r="J42" s="650"/>
      <c r="K42" s="651"/>
      <c r="L42" s="35">
        <f>IF(F42="","",(K42-J42)*24)</f>
      </c>
      <c r="M42" s="64">
        <f>IF(F42="","",ROUND((K42-J42)*24*60,0))</f>
      </c>
      <c r="N42" s="652"/>
      <c r="O42" s="28">
        <f>IF(F42="","",IF(N42="P","--","NO"))</f>
      </c>
      <c r="P42" s="387">
        <f>IF(H42=330,$H$16,IF(AND(H42&lt;=132,H42&gt;=66),$H$17,IF(AND(H42&lt;66,H42&gt;13.2),$H$18,$H$19)))</f>
        <v>20</v>
      </c>
      <c r="Q42" s="702" t="str">
        <f>IF(N42="P",I42*P42*ROUND(M42/60,2)*0.1,"--")</f>
        <v>--</v>
      </c>
      <c r="R42" s="366" t="str">
        <f>IF(AND(N42="F",O42="NO"),I42*P42,"--")</f>
        <v>--</v>
      </c>
      <c r="S42" s="367" t="str">
        <f>IF(N42="F",I42*P42*ROUND(M42/60,2),"--")</f>
        <v>--</v>
      </c>
      <c r="T42" s="398" t="str">
        <f>IF(N42="RF",I42*P42*ROUND(M42/60,2),"--")</f>
        <v>--</v>
      </c>
      <c r="U42" s="25">
        <f>IF(F42="","","SI")</f>
      </c>
      <c r="V42" s="65">
        <f>IF(F42="","",SUM(Q42:T42)*IF(U42="SI",1,2)*IF(H42="500/220",0,1))</f>
      </c>
      <c r="W42" s="38"/>
    </row>
    <row r="43" spans="2:23" s="10" customFormat="1" ht="16.5" customHeight="1">
      <c r="B43" s="44"/>
      <c r="C43" s="647"/>
      <c r="D43" s="632"/>
      <c r="E43" s="632"/>
      <c r="F43" s="648"/>
      <c r="G43" s="648"/>
      <c r="H43" s="649"/>
      <c r="I43" s="273">
        <f>IF(H43=330,$G$16,IF(AND(H43&lt;=132,H43&gt;=66),$G$17,IF(AND(H43&lt;66,H43&gt;=33),$G$18,$G$19)))</f>
        <v>6.612</v>
      </c>
      <c r="J43" s="650"/>
      <c r="K43" s="651"/>
      <c r="L43" s="35">
        <f>IF(F43="","",(K43-J43)*24)</f>
      </c>
      <c r="M43" s="64">
        <f>IF(F43="","",ROUND((K43-J43)*24*60,0))</f>
      </c>
      <c r="N43" s="652"/>
      <c r="O43" s="28">
        <f>IF(F43="","",IF(N43="P","--","NO"))</f>
      </c>
      <c r="P43" s="387">
        <f>IF(H43=330,$H$16,IF(AND(H43&lt;=132,H43&gt;=66),$H$17,IF(AND(H43&lt;66,H43&gt;13.2),$H$18,$H$19)))</f>
        <v>20</v>
      </c>
      <c r="Q43" s="702" t="str">
        <f>IF(N43="P",I43*P43*ROUND(M43/60,2)*0.1,"--")</f>
        <v>--</v>
      </c>
      <c r="R43" s="366" t="str">
        <f>IF(AND(N43="F",O43="NO"),I43*P43,"--")</f>
        <v>--</v>
      </c>
      <c r="S43" s="367" t="str">
        <f>IF(N43="F",I43*P43*ROUND(M43/60,2),"--")</f>
        <v>--</v>
      </c>
      <c r="T43" s="398" t="str">
        <f>IF(N43="RF",I43*P43*ROUND(M43/60,2),"--")</f>
        <v>--</v>
      </c>
      <c r="U43" s="25">
        <f>IF(F43="","","SI")</f>
      </c>
      <c r="V43" s="65">
        <f>IF(F43="","",SUM(Q43:T43)*IF(U43="SI",1,2)*IF(H43="500/220",0,1))</f>
      </c>
      <c r="W43" s="38"/>
    </row>
    <row r="44" spans="2:23" s="10" customFormat="1" ht="16.5" customHeight="1" thickBot="1">
      <c r="B44" s="44"/>
      <c r="C44" s="635"/>
      <c r="D44" s="635"/>
      <c r="E44" s="635"/>
      <c r="F44" s="635"/>
      <c r="G44" s="635"/>
      <c r="H44" s="635"/>
      <c r="I44" s="272"/>
      <c r="J44" s="635"/>
      <c r="K44" s="635"/>
      <c r="L44" s="29"/>
      <c r="M44" s="29"/>
      <c r="N44" s="635"/>
      <c r="O44" s="635"/>
      <c r="P44" s="653"/>
      <c r="Q44" s="654"/>
      <c r="R44" s="643"/>
      <c r="S44" s="644"/>
      <c r="T44" s="638"/>
      <c r="U44" s="635"/>
      <c r="V44" s="215"/>
      <c r="W44" s="38"/>
    </row>
    <row r="45" spans="2:23" s="10" customFormat="1" ht="16.5" customHeight="1" thickBot="1" thickTop="1">
      <c r="B45" s="44"/>
      <c r="C45" s="240" t="s">
        <v>64</v>
      </c>
      <c r="D45" s="720" t="s">
        <v>185</v>
      </c>
      <c r="E45" s="682"/>
      <c r="F45" s="241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99">
        <f>SUM(Q22:Q44)</f>
        <v>72.55545000000001</v>
      </c>
      <c r="R45" s="327">
        <f>SUM(R22:R44)</f>
        <v>0</v>
      </c>
      <c r="S45" s="327">
        <f>SUM(S22:S44)</f>
        <v>0</v>
      </c>
      <c r="T45" s="400">
        <f>SUM(T22:T44)</f>
        <v>0</v>
      </c>
      <c r="U45" s="66"/>
      <c r="V45" s="256">
        <f>ROUND(SUM(V22:V44),2)</f>
        <v>72.56</v>
      </c>
      <c r="W45" s="38"/>
    </row>
    <row r="46" spans="2:23" s="258" customFormat="1" ht="9.75" thickTop="1">
      <c r="B46" s="257"/>
      <c r="C46" s="242"/>
      <c r="D46" s="242"/>
      <c r="E46" s="242"/>
      <c r="F46" s="243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2"/>
      <c r="V46" s="263"/>
      <c r="W46" s="264"/>
    </row>
    <row r="47" spans="1:23" s="10" customFormat="1" ht="16.5" customHeight="1" thickBot="1">
      <c r="A47" s="11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2"/>
    </row>
    <row r="48" spans="1:23" ht="13.5" thickTop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3:6" ht="12.75">
      <c r="C49" s="6"/>
      <c r="D49" s="6"/>
      <c r="E49" s="6"/>
      <c r="F49" s="6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3" r:id="rId4"/>
  <headerFooter alignWithMargins="0">
    <oddFooter>&amp;L&amp;"Times New Roman,Normal"&amp;8&amp;Z&amp;F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="70" zoomScaleNormal="70" zoomScalePageLayoutView="0" workbookViewId="0" topLeftCell="A1">
      <selection activeCell="G17" sqref="G17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30.7109375" style="0" customWidth="1"/>
    <col min="7" max="7" width="40.7109375" style="0" customWidth="1"/>
    <col min="8" max="8" width="9.7109375" style="0" customWidth="1"/>
    <col min="9" max="9" width="13.14062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6" width="12.140625" style="0" hidden="1" customWidth="1"/>
    <col min="17" max="17" width="16.8515625" style="0" hidden="1" customWidth="1"/>
    <col min="18" max="18" width="16.57421875" style="0" hidden="1" customWidth="1"/>
    <col min="19" max="20" width="15.574218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09" customFormat="1" ht="26.25">
      <c r="W1" s="412"/>
    </row>
    <row r="2" spans="2:23" s="109" customFormat="1" ht="26.25">
      <c r="B2" s="110" t="str">
        <f>+'TOT-0214'!B2</f>
        <v>ANEXO II al Memorándum  D.T.E.E.  N°  223 /2016               .-</v>
      </c>
      <c r="C2" s="111"/>
      <c r="D2" s="111"/>
      <c r="E2" s="111"/>
      <c r="F2" s="111"/>
      <c r="G2" s="110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</row>
    <row r="3" s="10" customFormat="1" ht="12.75"/>
    <row r="4" spans="1:4" s="112" customFormat="1" ht="11.25">
      <c r="A4" s="685" t="s">
        <v>16</v>
      </c>
      <c r="C4" s="684"/>
      <c r="D4" s="684"/>
    </row>
    <row r="5" spans="1:4" s="112" customFormat="1" ht="11.25">
      <c r="A5" s="685" t="s">
        <v>146</v>
      </c>
      <c r="C5" s="684"/>
      <c r="D5" s="684"/>
    </row>
    <row r="6" s="10" customFormat="1" ht="13.5" thickBot="1"/>
    <row r="7" spans="2:23" s="10" customFormat="1" ht="13.5" thickTop="1"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3"/>
    </row>
    <row r="8" spans="2:23" s="114" customFormat="1" ht="20.25">
      <c r="B8" s="113"/>
      <c r="C8" s="45"/>
      <c r="D8" s="45"/>
      <c r="E8" s="45"/>
      <c r="F8" s="21" t="s">
        <v>40</v>
      </c>
      <c r="P8" s="45"/>
      <c r="Q8" s="45"/>
      <c r="R8" s="45"/>
      <c r="S8" s="45"/>
      <c r="T8" s="45"/>
      <c r="U8" s="45"/>
      <c r="V8" s="45"/>
      <c r="W8" s="115"/>
    </row>
    <row r="9" spans="2:23" s="10" customFormat="1" ht="12.75">
      <c r="B9" s="44"/>
      <c r="C9" s="8"/>
      <c r="D9" s="8"/>
      <c r="E9" s="8"/>
      <c r="F9" s="8"/>
      <c r="G9" s="8"/>
      <c r="H9" s="8"/>
      <c r="I9" s="123"/>
      <c r="J9" s="123"/>
      <c r="K9" s="123"/>
      <c r="L9" s="123"/>
      <c r="M9" s="123"/>
      <c r="P9" s="8"/>
      <c r="Q9" s="8"/>
      <c r="R9" s="8"/>
      <c r="S9" s="8"/>
      <c r="T9" s="8"/>
      <c r="U9" s="8"/>
      <c r="V9" s="8"/>
      <c r="W9" s="11"/>
    </row>
    <row r="10" spans="2:23" s="114" customFormat="1" ht="20.25">
      <c r="B10" s="113"/>
      <c r="C10" s="45"/>
      <c r="D10" s="45"/>
      <c r="E10" s="45"/>
      <c r="F10" s="21" t="s">
        <v>142</v>
      </c>
      <c r="G10" s="21"/>
      <c r="H10" s="45"/>
      <c r="I10" s="21"/>
      <c r="J10" s="21"/>
      <c r="K10" s="21"/>
      <c r="L10" s="21"/>
      <c r="M10" s="21"/>
      <c r="P10" s="45"/>
      <c r="Q10" s="45"/>
      <c r="R10" s="45"/>
      <c r="S10" s="45"/>
      <c r="T10" s="45"/>
      <c r="U10" s="45"/>
      <c r="V10" s="45"/>
      <c r="W10" s="115"/>
    </row>
    <row r="11" spans="2:23" s="10" customFormat="1" ht="12.75">
      <c r="B11" s="44"/>
      <c r="C11" s="8"/>
      <c r="D11" s="8"/>
      <c r="E11" s="8"/>
      <c r="F11" s="125"/>
      <c r="G11" s="123"/>
      <c r="H11" s="8"/>
      <c r="I11" s="123"/>
      <c r="J11" s="123"/>
      <c r="K11" s="123"/>
      <c r="L11" s="123"/>
      <c r="M11" s="123"/>
      <c r="P11" s="8"/>
      <c r="Q11" s="8"/>
      <c r="R11" s="8"/>
      <c r="S11" s="8"/>
      <c r="T11" s="8"/>
      <c r="U11" s="8"/>
      <c r="V11" s="8"/>
      <c r="W11" s="11"/>
    </row>
    <row r="12" spans="2:23" s="121" customFormat="1" ht="19.5">
      <c r="B12" s="87" t="str">
        <f>+'TOT-0214'!B14</f>
        <v>Desde el 01 al 28 de febrero de 2014</v>
      </c>
      <c r="C12" s="117"/>
      <c r="D12" s="117"/>
      <c r="E12" s="117"/>
      <c r="F12" s="117"/>
      <c r="G12" s="117"/>
      <c r="H12" s="86"/>
      <c r="I12" s="117"/>
      <c r="J12" s="118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20"/>
    </row>
    <row r="13" spans="2:23" s="121" customFormat="1" ht="7.5" customHeight="1">
      <c r="B13" s="87"/>
      <c r="C13" s="117"/>
      <c r="D13" s="117"/>
      <c r="E13" s="117"/>
      <c r="F13" s="117"/>
      <c r="G13" s="117"/>
      <c r="H13" s="86"/>
      <c r="I13" s="117"/>
      <c r="J13" s="118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20"/>
    </row>
    <row r="14" spans="2:23" s="10" customFormat="1" ht="7.5" customHeight="1" thickBot="1">
      <c r="B14" s="44"/>
      <c r="C14" s="8"/>
      <c r="D14" s="8"/>
      <c r="E14" s="8"/>
      <c r="I14" s="122"/>
      <c r="K14" s="8"/>
      <c r="L14" s="8"/>
      <c r="M14" s="8"/>
      <c r="N14" s="122"/>
      <c r="O14" s="122"/>
      <c r="P14" s="122"/>
      <c r="Q14" s="8"/>
      <c r="R14" s="8"/>
      <c r="S14" s="8"/>
      <c r="T14" s="8"/>
      <c r="U14" s="8"/>
      <c r="V14" s="8"/>
      <c r="W14" s="11"/>
    </row>
    <row r="15" spans="2:23" s="10" customFormat="1" ht="16.5" customHeight="1" thickBot="1" thickTop="1">
      <c r="B15" s="44"/>
      <c r="C15" s="8"/>
      <c r="D15" s="8"/>
      <c r="E15" s="8"/>
      <c r="F15" s="220" t="s">
        <v>84</v>
      </c>
      <c r="G15" s="221" t="s">
        <v>182</v>
      </c>
      <c r="H15" s="93">
        <f>60*'TOT-0214'!B13</f>
        <v>60</v>
      </c>
      <c r="I15" s="122"/>
      <c r="J15" s="236" t="str">
        <f>IF(H15=60," ",IF(H15=120,"Coeficiente duplicado por tasa de falla &gt;4 Sal. x año/100 km.","REVISAR COEFICIENTE"))</f>
        <v> </v>
      </c>
      <c r="K15" s="8"/>
      <c r="L15" s="8"/>
      <c r="M15" s="8"/>
      <c r="N15" s="122"/>
      <c r="O15" s="122"/>
      <c r="P15" s="122"/>
      <c r="Q15" s="8"/>
      <c r="R15" s="8"/>
      <c r="S15" s="8"/>
      <c r="T15" s="8"/>
      <c r="U15" s="8"/>
      <c r="V15" s="8"/>
      <c r="W15" s="11"/>
    </row>
    <row r="16" spans="2:23" s="10" customFormat="1" ht="16.5" customHeight="1" thickBot="1" thickTop="1">
      <c r="B16" s="44"/>
      <c r="C16" s="8"/>
      <c r="D16" s="8"/>
      <c r="E16" s="8"/>
      <c r="F16" s="220" t="s">
        <v>85</v>
      </c>
      <c r="G16" s="724">
        <v>3.243</v>
      </c>
      <c r="H16" s="93">
        <f>50*'TOT-0214'!B13</f>
        <v>50</v>
      </c>
      <c r="J16" s="236" t="str">
        <f>IF(H16=50," ",IF(H16=100,"Coeficiente duplicado por tasa de falla &gt;4 Sal. x año/100 km.","REVISAR COEFICIENTE"))</f>
        <v> </v>
      </c>
      <c r="Q16" s="274"/>
      <c r="S16" s="8"/>
      <c r="T16" s="8"/>
      <c r="U16" s="8"/>
      <c r="V16" s="217"/>
      <c r="W16" s="11"/>
    </row>
    <row r="17" spans="2:23" s="10" customFormat="1" ht="16.5" customHeight="1" thickBot="1" thickTop="1">
      <c r="B17" s="44"/>
      <c r="C17" s="8"/>
      <c r="D17" s="8"/>
      <c r="E17" s="8"/>
      <c r="F17" s="222" t="s">
        <v>86</v>
      </c>
      <c r="G17" s="223">
        <v>2.433</v>
      </c>
      <c r="H17" s="224">
        <f>25*'TOT-0214'!B13</f>
        <v>25</v>
      </c>
      <c r="J17" s="236" t="str">
        <f>IF(H17=25," ",IF(H17=50,"Coeficiente duplicado por tasa de falla &gt;4 Sal. x año/100 km.","REVISAR COEFICIENTE"))</f>
        <v> </v>
      </c>
      <c r="K17" s="165"/>
      <c r="L17" s="165"/>
      <c r="M17" s="8"/>
      <c r="P17" s="218"/>
      <c r="Q17" s="219"/>
      <c r="R17" s="36"/>
      <c r="S17" s="8"/>
      <c r="T17" s="8"/>
      <c r="U17" s="8"/>
      <c r="V17" s="217"/>
      <c r="W17" s="11"/>
    </row>
    <row r="18" spans="2:23" s="10" customFormat="1" ht="16.5" customHeight="1" thickBot="1" thickTop="1">
      <c r="B18" s="44"/>
      <c r="C18" s="8"/>
      <c r="D18" s="8"/>
      <c r="E18" s="8"/>
      <c r="F18" s="225" t="s">
        <v>87</v>
      </c>
      <c r="G18" s="223">
        <v>2.433</v>
      </c>
      <c r="H18" s="226">
        <f>20*'TOT-0214'!B13</f>
        <v>20</v>
      </c>
      <c r="J18" s="236" t="str">
        <f>IF(H18=20," ",IF(H18=40,"Coeficiente duplicado por tasa de falla &gt;4 Sal. x año/100 km.","REVISAR COEFICIENTE"))</f>
        <v> </v>
      </c>
      <c r="K18" s="165"/>
      <c r="L18" s="165"/>
      <c r="M18" s="8"/>
      <c r="P18" s="218"/>
      <c r="Q18" s="219"/>
      <c r="R18" s="36"/>
      <c r="S18" s="8"/>
      <c r="T18" s="8"/>
      <c r="U18" s="8"/>
      <c r="V18" s="217"/>
      <c r="W18" s="11"/>
    </row>
    <row r="19" spans="2:23" s="10" customFormat="1" ht="7.5" customHeight="1" thickTop="1">
      <c r="B19" s="44"/>
      <c r="C19" s="8"/>
      <c r="D19" s="8"/>
      <c r="E19" s="8"/>
      <c r="F19" s="98"/>
      <c r="G19" s="677"/>
      <c r="H19" s="678"/>
      <c r="J19" s="236"/>
      <c r="K19" s="165"/>
      <c r="L19" s="165"/>
      <c r="M19" s="8"/>
      <c r="P19" s="218"/>
      <c r="Q19" s="219"/>
      <c r="R19" s="36"/>
      <c r="S19" s="8"/>
      <c r="T19" s="8"/>
      <c r="U19" s="8"/>
      <c r="V19" s="217"/>
      <c r="W19" s="11"/>
    </row>
    <row r="20" spans="2:23" s="708" customFormat="1" ht="15" customHeight="1" thickBot="1">
      <c r="B20" s="705"/>
      <c r="C20" s="704">
        <v>3</v>
      </c>
      <c r="D20" s="704">
        <v>4</v>
      </c>
      <c r="E20" s="704">
        <v>5</v>
      </c>
      <c r="F20" s="704">
        <v>6</v>
      </c>
      <c r="G20" s="704">
        <v>7</v>
      </c>
      <c r="H20" s="704">
        <v>8</v>
      </c>
      <c r="I20" s="704">
        <v>9</v>
      </c>
      <c r="J20" s="704">
        <v>10</v>
      </c>
      <c r="K20" s="704">
        <v>11</v>
      </c>
      <c r="L20" s="704">
        <v>12</v>
      </c>
      <c r="M20" s="704">
        <v>13</v>
      </c>
      <c r="N20" s="704">
        <v>14</v>
      </c>
      <c r="O20" s="704">
        <v>15</v>
      </c>
      <c r="P20" s="704">
        <v>16</v>
      </c>
      <c r="Q20" s="704">
        <v>17</v>
      </c>
      <c r="R20" s="704">
        <v>18</v>
      </c>
      <c r="S20" s="704">
        <v>19</v>
      </c>
      <c r="T20" s="704">
        <v>20</v>
      </c>
      <c r="U20" s="704">
        <v>21</v>
      </c>
      <c r="V20" s="704">
        <v>22</v>
      </c>
      <c r="W20" s="707"/>
    </row>
    <row r="21" spans="2:23" s="10" customFormat="1" ht="33.75" customHeight="1" thickBot="1" thickTop="1">
      <c r="B21" s="44"/>
      <c r="C21" s="213" t="s">
        <v>46</v>
      </c>
      <c r="D21" s="101" t="s">
        <v>145</v>
      </c>
      <c r="E21" s="101" t="s">
        <v>144</v>
      </c>
      <c r="F21" s="211" t="s">
        <v>70</v>
      </c>
      <c r="G21" s="227" t="s">
        <v>14</v>
      </c>
      <c r="H21" s="230" t="s">
        <v>47</v>
      </c>
      <c r="I21" s="265" t="s">
        <v>49</v>
      </c>
      <c r="J21" s="207" t="s">
        <v>50</v>
      </c>
      <c r="K21" s="227" t="s">
        <v>51</v>
      </c>
      <c r="L21" s="229" t="s">
        <v>74</v>
      </c>
      <c r="M21" s="229" t="s">
        <v>75</v>
      </c>
      <c r="N21" s="105" t="s">
        <v>54</v>
      </c>
      <c r="O21" s="212" t="s">
        <v>76</v>
      </c>
      <c r="P21" s="386" t="s">
        <v>88</v>
      </c>
      <c r="Q21" s="320" t="s">
        <v>56</v>
      </c>
      <c r="R21" s="360" t="s">
        <v>80</v>
      </c>
      <c r="S21" s="361"/>
      <c r="T21" s="396" t="s">
        <v>60</v>
      </c>
      <c r="U21" s="209" t="s">
        <v>62</v>
      </c>
      <c r="V21" s="209" t="s">
        <v>63</v>
      </c>
      <c r="W21" s="38"/>
    </row>
    <row r="22" spans="2:23" s="10" customFormat="1" ht="16.5" customHeight="1" thickTop="1">
      <c r="B22" s="44"/>
      <c r="C22" s="20"/>
      <c r="D22" s="18"/>
      <c r="E22" s="18"/>
      <c r="F22" s="32"/>
      <c r="G22" s="32"/>
      <c r="H22" s="12"/>
      <c r="I22" s="273"/>
      <c r="J22" s="33"/>
      <c r="K22" s="34"/>
      <c r="L22" s="35"/>
      <c r="M22" s="64"/>
      <c r="N22" s="388"/>
      <c r="O22" s="388"/>
      <c r="P22" s="389"/>
      <c r="Q22" s="391"/>
      <c r="R22" s="393"/>
      <c r="S22" s="394"/>
      <c r="T22" s="397"/>
      <c r="U22" s="395"/>
      <c r="V22" s="390"/>
      <c r="W22" s="38"/>
    </row>
    <row r="23" spans="2:23" s="10" customFormat="1" ht="16.5" customHeight="1">
      <c r="B23" s="44"/>
      <c r="C23" s="20"/>
      <c r="D23" s="18"/>
      <c r="E23" s="18"/>
      <c r="F23" s="32"/>
      <c r="G23" s="32"/>
      <c r="H23" s="12"/>
      <c r="I23" s="273"/>
      <c r="J23" s="33"/>
      <c r="K23" s="34"/>
      <c r="L23" s="35"/>
      <c r="M23" s="64"/>
      <c r="N23" s="28"/>
      <c r="O23" s="28"/>
      <c r="P23" s="387"/>
      <c r="Q23" s="392"/>
      <c r="R23" s="366"/>
      <c r="S23" s="367"/>
      <c r="T23" s="398"/>
      <c r="U23" s="25"/>
      <c r="V23" s="228"/>
      <c r="W23" s="38"/>
    </row>
    <row r="24" spans="2:23" s="10" customFormat="1" ht="16.5" customHeight="1">
      <c r="B24" s="44"/>
      <c r="C24" s="647">
        <v>15</v>
      </c>
      <c r="D24" s="632">
        <v>272708</v>
      </c>
      <c r="E24" s="632">
        <v>1758</v>
      </c>
      <c r="F24" s="648" t="s">
        <v>171</v>
      </c>
      <c r="G24" s="648" t="s">
        <v>172</v>
      </c>
      <c r="H24" s="655">
        <v>33</v>
      </c>
      <c r="I24" s="273">
        <f aca="true" t="shared" si="0" ref="I24:I43">IF(H24=330,$G$15,IF(AND(H24&lt;=132,H24&gt;=66),$G$16,IF(AND(H24&lt;66,H24&gt;=33),$G$17,$G$18)))</f>
        <v>2.433</v>
      </c>
      <c r="J24" s="650">
        <v>41696.35277777778</v>
      </c>
      <c r="K24" s="651">
        <v>41696.450694444444</v>
      </c>
      <c r="L24" s="35">
        <f aca="true" t="shared" si="1" ref="L24:L43">IF(F24="","",(K24-J24)*24)</f>
        <v>2.349999999976717</v>
      </c>
      <c r="M24" s="64">
        <f aca="true" t="shared" si="2" ref="M24:M43">IF(F24="","",ROUND((K24-J24)*24*60,0))</f>
        <v>141</v>
      </c>
      <c r="N24" s="652" t="s">
        <v>152</v>
      </c>
      <c r="O24" s="28" t="str">
        <f aca="true" t="shared" si="3" ref="O24:O43">IF(F24="","",IF(N24="P","--","NO"))</f>
        <v>--</v>
      </c>
      <c r="P24" s="387">
        <f aca="true" t="shared" si="4" ref="P24:P43">IF(H24=330,$H$15,IF(AND(H24&lt;=132,H24&gt;=66),$H$16,IF(AND(H24&lt;66,H24&gt;13.2),$H$17,$H$18)))</f>
        <v>25</v>
      </c>
      <c r="Q24" s="702">
        <f aca="true" t="shared" si="5" ref="Q24:Q43">IF(N24="P",I24*P24*ROUND(M24/60,2)*0.1,"--")</f>
        <v>14.293875</v>
      </c>
      <c r="R24" s="366" t="str">
        <f aca="true" t="shared" si="6" ref="R24:R43">IF(AND(N24="F",O24="NO"),I24*P24,"--")</f>
        <v>--</v>
      </c>
      <c r="S24" s="367" t="str">
        <f aca="true" t="shared" si="7" ref="S24:S43">IF(N24="F",I24*P24*ROUND(M24/60,2),"--")</f>
        <v>--</v>
      </c>
      <c r="T24" s="398" t="str">
        <f>IF(N24="RF",I24*P24*ROUND(M24/60,2),"--")</f>
        <v>--</v>
      </c>
      <c r="U24" s="25" t="str">
        <f aca="true" t="shared" si="8" ref="U24:U43">IF(F24="","","SI")</f>
        <v>SI</v>
      </c>
      <c r="V24" s="65">
        <f aca="true" t="shared" si="9" ref="V24:V43">IF(F24="","",SUM(Q24:T24)*IF(U24="SI",1,2)*IF(H24="500/220",0,1))</f>
        <v>14.293875</v>
      </c>
      <c r="W24" s="38"/>
    </row>
    <row r="25" spans="2:23" s="10" customFormat="1" ht="16.5" customHeight="1">
      <c r="B25" s="44"/>
      <c r="C25" s="647"/>
      <c r="D25" s="632"/>
      <c r="E25" s="632"/>
      <c r="F25" s="648"/>
      <c r="G25" s="648"/>
      <c r="H25" s="655"/>
      <c r="I25" s="273">
        <f t="shared" si="0"/>
        <v>2.433</v>
      </c>
      <c r="J25" s="650"/>
      <c r="K25" s="651"/>
      <c r="L25" s="35">
        <f t="shared" si="1"/>
      </c>
      <c r="M25" s="64">
        <f t="shared" si="2"/>
      </c>
      <c r="N25" s="652"/>
      <c r="O25" s="28">
        <f t="shared" si="3"/>
      </c>
      <c r="P25" s="387">
        <f t="shared" si="4"/>
        <v>20</v>
      </c>
      <c r="Q25" s="702" t="str">
        <f t="shared" si="5"/>
        <v>--</v>
      </c>
      <c r="R25" s="366" t="str">
        <f t="shared" si="6"/>
        <v>--</v>
      </c>
      <c r="S25" s="367" t="str">
        <f t="shared" si="7"/>
        <v>--</v>
      </c>
      <c r="T25" s="398" t="str">
        <f aca="true" t="shared" si="10" ref="T25:T40">IF(N25="RF",I25*P25*ROUND(M25/60,2),"--")</f>
        <v>--</v>
      </c>
      <c r="U25" s="25">
        <f t="shared" si="8"/>
      </c>
      <c r="V25" s="65">
        <f t="shared" si="9"/>
      </c>
      <c r="W25" s="38"/>
    </row>
    <row r="26" spans="2:23" s="10" customFormat="1" ht="16.5" customHeight="1">
      <c r="B26" s="44"/>
      <c r="C26" s="647"/>
      <c r="D26" s="632"/>
      <c r="E26" s="632"/>
      <c r="F26" s="648"/>
      <c r="G26" s="648"/>
      <c r="H26" s="655"/>
      <c r="I26" s="273">
        <f t="shared" si="0"/>
        <v>2.433</v>
      </c>
      <c r="J26" s="650"/>
      <c r="K26" s="651"/>
      <c r="L26" s="35">
        <f t="shared" si="1"/>
      </c>
      <c r="M26" s="64">
        <f t="shared" si="2"/>
      </c>
      <c r="N26" s="652"/>
      <c r="O26" s="28">
        <f t="shared" si="3"/>
      </c>
      <c r="P26" s="387">
        <f t="shared" si="4"/>
        <v>20</v>
      </c>
      <c r="Q26" s="702" t="str">
        <f t="shared" si="5"/>
        <v>--</v>
      </c>
      <c r="R26" s="366" t="str">
        <f t="shared" si="6"/>
        <v>--</v>
      </c>
      <c r="S26" s="367" t="str">
        <f t="shared" si="7"/>
        <v>--</v>
      </c>
      <c r="T26" s="398" t="str">
        <f t="shared" si="10"/>
        <v>--</v>
      </c>
      <c r="U26" s="25">
        <f t="shared" si="8"/>
      </c>
      <c r="V26" s="65">
        <f t="shared" si="9"/>
      </c>
      <c r="W26" s="38"/>
    </row>
    <row r="27" spans="2:23" s="10" customFormat="1" ht="16.5" customHeight="1">
      <c r="B27" s="44"/>
      <c r="C27" s="647"/>
      <c r="D27" s="632"/>
      <c r="E27" s="632"/>
      <c r="F27" s="648"/>
      <c r="G27" s="648"/>
      <c r="H27" s="655"/>
      <c r="I27" s="273">
        <f t="shared" si="0"/>
        <v>2.433</v>
      </c>
      <c r="J27" s="650"/>
      <c r="K27" s="651"/>
      <c r="L27" s="35">
        <f t="shared" si="1"/>
      </c>
      <c r="M27" s="64">
        <f t="shared" si="2"/>
      </c>
      <c r="N27" s="652"/>
      <c r="O27" s="28">
        <f t="shared" si="3"/>
      </c>
      <c r="P27" s="387">
        <f t="shared" si="4"/>
        <v>20</v>
      </c>
      <c r="Q27" s="702" t="str">
        <f t="shared" si="5"/>
        <v>--</v>
      </c>
      <c r="R27" s="366" t="str">
        <f t="shared" si="6"/>
        <v>--</v>
      </c>
      <c r="S27" s="367" t="str">
        <f t="shared" si="7"/>
        <v>--</v>
      </c>
      <c r="T27" s="398" t="str">
        <f t="shared" si="10"/>
        <v>--</v>
      </c>
      <c r="U27" s="25">
        <f t="shared" si="8"/>
      </c>
      <c r="V27" s="65">
        <f t="shared" si="9"/>
      </c>
      <c r="W27" s="38"/>
    </row>
    <row r="28" spans="2:23" s="10" customFormat="1" ht="16.5" customHeight="1">
      <c r="B28" s="44"/>
      <c r="C28" s="647"/>
      <c r="D28" s="632"/>
      <c r="E28" s="632"/>
      <c r="F28" s="648"/>
      <c r="G28" s="648"/>
      <c r="H28" s="655"/>
      <c r="I28" s="273">
        <f t="shared" si="0"/>
        <v>2.433</v>
      </c>
      <c r="J28" s="650"/>
      <c r="K28" s="651"/>
      <c r="L28" s="35">
        <f t="shared" si="1"/>
      </c>
      <c r="M28" s="64">
        <f t="shared" si="2"/>
      </c>
      <c r="N28" s="652"/>
      <c r="O28" s="28">
        <f t="shared" si="3"/>
      </c>
      <c r="P28" s="387">
        <f t="shared" si="4"/>
        <v>20</v>
      </c>
      <c r="Q28" s="702" t="str">
        <f t="shared" si="5"/>
        <v>--</v>
      </c>
      <c r="R28" s="366" t="str">
        <f t="shared" si="6"/>
        <v>--</v>
      </c>
      <c r="S28" s="367" t="str">
        <f t="shared" si="7"/>
        <v>--</v>
      </c>
      <c r="T28" s="398" t="str">
        <f t="shared" si="10"/>
        <v>--</v>
      </c>
      <c r="U28" s="25">
        <f t="shared" si="8"/>
      </c>
      <c r="V28" s="65">
        <f t="shared" si="9"/>
      </c>
      <c r="W28" s="38"/>
    </row>
    <row r="29" spans="2:23" s="10" customFormat="1" ht="16.5" customHeight="1">
      <c r="B29" s="44"/>
      <c r="C29" s="647"/>
      <c r="D29" s="632"/>
      <c r="E29" s="632"/>
      <c r="F29" s="648"/>
      <c r="G29" s="648"/>
      <c r="H29" s="655"/>
      <c r="I29" s="273">
        <f t="shared" si="0"/>
        <v>2.433</v>
      </c>
      <c r="J29" s="650"/>
      <c r="K29" s="651"/>
      <c r="L29" s="35">
        <f t="shared" si="1"/>
      </c>
      <c r="M29" s="64">
        <f t="shared" si="2"/>
      </c>
      <c r="N29" s="652"/>
      <c r="O29" s="28">
        <f t="shared" si="3"/>
      </c>
      <c r="P29" s="387">
        <f t="shared" si="4"/>
        <v>20</v>
      </c>
      <c r="Q29" s="702" t="str">
        <f t="shared" si="5"/>
        <v>--</v>
      </c>
      <c r="R29" s="366" t="str">
        <f t="shared" si="6"/>
        <v>--</v>
      </c>
      <c r="S29" s="367" t="str">
        <f t="shared" si="7"/>
        <v>--</v>
      </c>
      <c r="T29" s="398" t="str">
        <f t="shared" si="10"/>
        <v>--</v>
      </c>
      <c r="U29" s="25">
        <f t="shared" si="8"/>
      </c>
      <c r="V29" s="65">
        <f t="shared" si="9"/>
      </c>
      <c r="W29" s="38"/>
    </row>
    <row r="30" spans="2:23" s="10" customFormat="1" ht="16.5" customHeight="1">
      <c r="B30" s="44"/>
      <c r="C30" s="647"/>
      <c r="D30" s="632"/>
      <c r="E30" s="632"/>
      <c r="F30" s="648"/>
      <c r="G30" s="648"/>
      <c r="H30" s="655"/>
      <c r="I30" s="273">
        <f t="shared" si="0"/>
        <v>2.433</v>
      </c>
      <c r="J30" s="650"/>
      <c r="K30" s="651"/>
      <c r="L30" s="35">
        <f t="shared" si="1"/>
      </c>
      <c r="M30" s="64">
        <f t="shared" si="2"/>
      </c>
      <c r="N30" s="652"/>
      <c r="O30" s="28">
        <f t="shared" si="3"/>
      </c>
      <c r="P30" s="387">
        <f t="shared" si="4"/>
        <v>20</v>
      </c>
      <c r="Q30" s="702" t="str">
        <f t="shared" si="5"/>
        <v>--</v>
      </c>
      <c r="R30" s="366" t="str">
        <f t="shared" si="6"/>
        <v>--</v>
      </c>
      <c r="S30" s="367" t="str">
        <f t="shared" si="7"/>
        <v>--</v>
      </c>
      <c r="T30" s="398" t="str">
        <f t="shared" si="10"/>
        <v>--</v>
      </c>
      <c r="U30" s="25">
        <f t="shared" si="8"/>
      </c>
      <c r="V30" s="65">
        <f t="shared" si="9"/>
      </c>
      <c r="W30" s="38"/>
    </row>
    <row r="31" spans="2:23" s="10" customFormat="1" ht="16.5" customHeight="1">
      <c r="B31" s="44"/>
      <c r="C31" s="647"/>
      <c r="D31" s="632"/>
      <c r="E31" s="632"/>
      <c r="F31" s="648"/>
      <c r="G31" s="648"/>
      <c r="H31" s="655"/>
      <c r="I31" s="273">
        <f t="shared" si="0"/>
        <v>2.433</v>
      </c>
      <c r="J31" s="650"/>
      <c r="K31" s="651"/>
      <c r="L31" s="35">
        <f t="shared" si="1"/>
      </c>
      <c r="M31" s="64">
        <f t="shared" si="2"/>
      </c>
      <c r="N31" s="652"/>
      <c r="O31" s="28">
        <f t="shared" si="3"/>
      </c>
      <c r="P31" s="387">
        <f t="shared" si="4"/>
        <v>20</v>
      </c>
      <c r="Q31" s="702" t="str">
        <f t="shared" si="5"/>
        <v>--</v>
      </c>
      <c r="R31" s="366" t="str">
        <f t="shared" si="6"/>
        <v>--</v>
      </c>
      <c r="S31" s="367" t="str">
        <f t="shared" si="7"/>
        <v>--</v>
      </c>
      <c r="T31" s="398" t="str">
        <f t="shared" si="10"/>
        <v>--</v>
      </c>
      <c r="U31" s="25">
        <f t="shared" si="8"/>
      </c>
      <c r="V31" s="65">
        <f t="shared" si="9"/>
      </c>
      <c r="W31" s="38"/>
    </row>
    <row r="32" spans="2:23" s="10" customFormat="1" ht="16.5" customHeight="1">
      <c r="B32" s="44"/>
      <c r="C32" s="647"/>
      <c r="D32" s="632"/>
      <c r="E32" s="632"/>
      <c r="F32" s="648"/>
      <c r="G32" s="648"/>
      <c r="H32" s="655"/>
      <c r="I32" s="273">
        <f t="shared" si="0"/>
        <v>2.433</v>
      </c>
      <c r="J32" s="650"/>
      <c r="K32" s="651"/>
      <c r="L32" s="35">
        <f t="shared" si="1"/>
      </c>
      <c r="M32" s="64">
        <f t="shared" si="2"/>
      </c>
      <c r="N32" s="652"/>
      <c r="O32" s="28">
        <f t="shared" si="3"/>
      </c>
      <c r="P32" s="387">
        <f t="shared" si="4"/>
        <v>20</v>
      </c>
      <c r="Q32" s="702" t="str">
        <f t="shared" si="5"/>
        <v>--</v>
      </c>
      <c r="R32" s="366" t="str">
        <f t="shared" si="6"/>
        <v>--</v>
      </c>
      <c r="S32" s="367" t="str">
        <f t="shared" si="7"/>
        <v>--</v>
      </c>
      <c r="T32" s="398" t="str">
        <f t="shared" si="10"/>
        <v>--</v>
      </c>
      <c r="U32" s="25">
        <f t="shared" si="8"/>
      </c>
      <c r="V32" s="65">
        <f t="shared" si="9"/>
      </c>
      <c r="W32" s="38"/>
    </row>
    <row r="33" spans="2:23" s="10" customFormat="1" ht="16.5" customHeight="1">
      <c r="B33" s="44"/>
      <c r="C33" s="647"/>
      <c r="D33" s="632"/>
      <c r="E33" s="632"/>
      <c r="F33" s="648"/>
      <c r="G33" s="648"/>
      <c r="H33" s="655"/>
      <c r="I33" s="273">
        <f t="shared" si="0"/>
        <v>2.433</v>
      </c>
      <c r="J33" s="650"/>
      <c r="K33" s="651"/>
      <c r="L33" s="35">
        <f t="shared" si="1"/>
      </c>
      <c r="M33" s="64">
        <f t="shared" si="2"/>
      </c>
      <c r="N33" s="652"/>
      <c r="O33" s="28">
        <f t="shared" si="3"/>
      </c>
      <c r="P33" s="387">
        <f t="shared" si="4"/>
        <v>20</v>
      </c>
      <c r="Q33" s="702" t="str">
        <f t="shared" si="5"/>
        <v>--</v>
      </c>
      <c r="R33" s="366" t="str">
        <f t="shared" si="6"/>
        <v>--</v>
      </c>
      <c r="S33" s="367" t="str">
        <f t="shared" si="7"/>
        <v>--</v>
      </c>
      <c r="T33" s="398" t="str">
        <f t="shared" si="10"/>
        <v>--</v>
      </c>
      <c r="U33" s="25">
        <f t="shared" si="8"/>
      </c>
      <c r="V33" s="65">
        <f t="shared" si="9"/>
      </c>
      <c r="W33" s="38"/>
    </row>
    <row r="34" spans="2:23" s="10" customFormat="1" ht="16.5" customHeight="1">
      <c r="B34" s="44"/>
      <c r="C34" s="647"/>
      <c r="D34" s="632"/>
      <c r="E34" s="632"/>
      <c r="F34" s="648"/>
      <c r="G34" s="648"/>
      <c r="H34" s="655"/>
      <c r="I34" s="273">
        <f t="shared" si="0"/>
        <v>2.433</v>
      </c>
      <c r="J34" s="650"/>
      <c r="K34" s="651"/>
      <c r="L34" s="35">
        <f t="shared" si="1"/>
      </c>
      <c r="M34" s="64">
        <f t="shared" si="2"/>
      </c>
      <c r="N34" s="652"/>
      <c r="O34" s="28">
        <f t="shared" si="3"/>
      </c>
      <c r="P34" s="387">
        <f t="shared" si="4"/>
        <v>20</v>
      </c>
      <c r="Q34" s="702" t="str">
        <f t="shared" si="5"/>
        <v>--</v>
      </c>
      <c r="R34" s="366" t="str">
        <f t="shared" si="6"/>
        <v>--</v>
      </c>
      <c r="S34" s="367" t="str">
        <f t="shared" si="7"/>
        <v>--</v>
      </c>
      <c r="T34" s="398" t="str">
        <f t="shared" si="10"/>
        <v>--</v>
      </c>
      <c r="U34" s="25">
        <f t="shared" si="8"/>
      </c>
      <c r="V34" s="65">
        <f t="shared" si="9"/>
      </c>
      <c r="W34" s="38"/>
    </row>
    <row r="35" spans="2:23" s="10" customFormat="1" ht="16.5" customHeight="1">
      <c r="B35" s="44"/>
      <c r="C35" s="647"/>
      <c r="D35" s="632"/>
      <c r="E35" s="632"/>
      <c r="F35" s="648"/>
      <c r="G35" s="648"/>
      <c r="H35" s="655"/>
      <c r="I35" s="273">
        <f t="shared" si="0"/>
        <v>2.433</v>
      </c>
      <c r="J35" s="650"/>
      <c r="K35" s="651"/>
      <c r="L35" s="35">
        <f t="shared" si="1"/>
      </c>
      <c r="M35" s="64">
        <f t="shared" si="2"/>
      </c>
      <c r="N35" s="652"/>
      <c r="O35" s="28">
        <f t="shared" si="3"/>
      </c>
      <c r="P35" s="387">
        <f t="shared" si="4"/>
        <v>20</v>
      </c>
      <c r="Q35" s="702" t="str">
        <f t="shared" si="5"/>
        <v>--</v>
      </c>
      <c r="R35" s="366" t="str">
        <f t="shared" si="6"/>
        <v>--</v>
      </c>
      <c r="S35" s="367" t="str">
        <f t="shared" si="7"/>
        <v>--</v>
      </c>
      <c r="T35" s="398" t="str">
        <f t="shared" si="10"/>
        <v>--</v>
      </c>
      <c r="U35" s="25">
        <f t="shared" si="8"/>
      </c>
      <c r="V35" s="65">
        <f t="shared" si="9"/>
      </c>
      <c r="W35" s="38"/>
    </row>
    <row r="36" spans="2:23" s="10" customFormat="1" ht="16.5" customHeight="1">
      <c r="B36" s="44"/>
      <c r="C36" s="647"/>
      <c r="D36" s="632"/>
      <c r="E36" s="632"/>
      <c r="F36" s="648"/>
      <c r="G36" s="648"/>
      <c r="H36" s="655"/>
      <c r="I36" s="273">
        <f t="shared" si="0"/>
        <v>2.433</v>
      </c>
      <c r="J36" s="650"/>
      <c r="K36" s="651"/>
      <c r="L36" s="35">
        <f t="shared" si="1"/>
      </c>
      <c r="M36" s="64">
        <f t="shared" si="2"/>
      </c>
      <c r="N36" s="652"/>
      <c r="O36" s="28">
        <f t="shared" si="3"/>
      </c>
      <c r="P36" s="387">
        <f t="shared" si="4"/>
        <v>20</v>
      </c>
      <c r="Q36" s="702" t="str">
        <f t="shared" si="5"/>
        <v>--</v>
      </c>
      <c r="R36" s="366" t="str">
        <f t="shared" si="6"/>
        <v>--</v>
      </c>
      <c r="S36" s="367" t="str">
        <f t="shared" si="7"/>
        <v>--</v>
      </c>
      <c r="T36" s="398" t="str">
        <f t="shared" si="10"/>
        <v>--</v>
      </c>
      <c r="U36" s="25">
        <f t="shared" si="8"/>
      </c>
      <c r="V36" s="65">
        <f t="shared" si="9"/>
      </c>
      <c r="W36" s="38"/>
    </row>
    <row r="37" spans="2:23" s="10" customFormat="1" ht="16.5" customHeight="1">
      <c r="B37" s="44"/>
      <c r="C37" s="647"/>
      <c r="D37" s="632"/>
      <c r="E37" s="632"/>
      <c r="F37" s="648"/>
      <c r="G37" s="648"/>
      <c r="H37" s="655"/>
      <c r="I37" s="273">
        <f t="shared" si="0"/>
        <v>2.433</v>
      </c>
      <c r="J37" s="650"/>
      <c r="K37" s="651"/>
      <c r="L37" s="35">
        <f t="shared" si="1"/>
      </c>
      <c r="M37" s="64">
        <f t="shared" si="2"/>
      </c>
      <c r="N37" s="652"/>
      <c r="O37" s="28">
        <f t="shared" si="3"/>
      </c>
      <c r="P37" s="387">
        <f t="shared" si="4"/>
        <v>20</v>
      </c>
      <c r="Q37" s="702" t="str">
        <f t="shared" si="5"/>
        <v>--</v>
      </c>
      <c r="R37" s="366" t="str">
        <f t="shared" si="6"/>
        <v>--</v>
      </c>
      <c r="S37" s="367" t="str">
        <f t="shared" si="7"/>
        <v>--</v>
      </c>
      <c r="T37" s="398" t="str">
        <f t="shared" si="10"/>
        <v>--</v>
      </c>
      <c r="U37" s="25">
        <f t="shared" si="8"/>
      </c>
      <c r="V37" s="65">
        <f t="shared" si="9"/>
      </c>
      <c r="W37" s="38"/>
    </row>
    <row r="38" spans="2:23" s="10" customFormat="1" ht="16.5" customHeight="1">
      <c r="B38" s="44"/>
      <c r="C38" s="647"/>
      <c r="D38" s="632"/>
      <c r="E38" s="632"/>
      <c r="F38" s="648"/>
      <c r="G38" s="648"/>
      <c r="H38" s="655"/>
      <c r="I38" s="273">
        <f t="shared" si="0"/>
        <v>2.433</v>
      </c>
      <c r="J38" s="650"/>
      <c r="K38" s="651"/>
      <c r="L38" s="35">
        <f t="shared" si="1"/>
      </c>
      <c r="M38" s="64">
        <f t="shared" si="2"/>
      </c>
      <c r="N38" s="652"/>
      <c r="O38" s="28">
        <f t="shared" si="3"/>
      </c>
      <c r="P38" s="387">
        <f t="shared" si="4"/>
        <v>20</v>
      </c>
      <c r="Q38" s="702" t="str">
        <f t="shared" si="5"/>
        <v>--</v>
      </c>
      <c r="R38" s="366" t="str">
        <f t="shared" si="6"/>
        <v>--</v>
      </c>
      <c r="S38" s="367" t="str">
        <f t="shared" si="7"/>
        <v>--</v>
      </c>
      <c r="T38" s="398" t="str">
        <f t="shared" si="10"/>
        <v>--</v>
      </c>
      <c r="U38" s="25">
        <f t="shared" si="8"/>
      </c>
      <c r="V38" s="65">
        <f t="shared" si="9"/>
      </c>
      <c r="W38" s="38"/>
    </row>
    <row r="39" spans="2:23" s="10" customFormat="1" ht="16.5" customHeight="1">
      <c r="B39" s="44"/>
      <c r="C39" s="647"/>
      <c r="D39" s="632"/>
      <c r="E39" s="632"/>
      <c r="F39" s="648"/>
      <c r="G39" s="648"/>
      <c r="H39" s="655"/>
      <c r="I39" s="273">
        <f t="shared" si="0"/>
        <v>2.433</v>
      </c>
      <c r="J39" s="650"/>
      <c r="K39" s="651"/>
      <c r="L39" s="35">
        <f t="shared" si="1"/>
      </c>
      <c r="M39" s="64">
        <f t="shared" si="2"/>
      </c>
      <c r="N39" s="652"/>
      <c r="O39" s="28">
        <f t="shared" si="3"/>
      </c>
      <c r="P39" s="387">
        <f t="shared" si="4"/>
        <v>20</v>
      </c>
      <c r="Q39" s="702" t="str">
        <f t="shared" si="5"/>
        <v>--</v>
      </c>
      <c r="R39" s="366" t="str">
        <f t="shared" si="6"/>
        <v>--</v>
      </c>
      <c r="S39" s="367" t="str">
        <f t="shared" si="7"/>
        <v>--</v>
      </c>
      <c r="T39" s="398" t="str">
        <f t="shared" si="10"/>
        <v>--</v>
      </c>
      <c r="U39" s="25">
        <f t="shared" si="8"/>
      </c>
      <c r="V39" s="65">
        <f t="shared" si="9"/>
      </c>
      <c r="W39" s="38"/>
    </row>
    <row r="40" spans="2:23" s="10" customFormat="1" ht="16.5" customHeight="1">
      <c r="B40" s="44"/>
      <c r="C40" s="647"/>
      <c r="D40" s="632"/>
      <c r="E40" s="632"/>
      <c r="F40" s="648"/>
      <c r="G40" s="648"/>
      <c r="H40" s="655"/>
      <c r="I40" s="273">
        <f t="shared" si="0"/>
        <v>2.433</v>
      </c>
      <c r="J40" s="650"/>
      <c r="K40" s="651"/>
      <c r="L40" s="35">
        <f t="shared" si="1"/>
      </c>
      <c r="M40" s="64">
        <f t="shared" si="2"/>
      </c>
      <c r="N40" s="652"/>
      <c r="O40" s="28">
        <f t="shared" si="3"/>
      </c>
      <c r="P40" s="387">
        <f t="shared" si="4"/>
        <v>20</v>
      </c>
      <c r="Q40" s="702" t="str">
        <f t="shared" si="5"/>
        <v>--</v>
      </c>
      <c r="R40" s="366" t="str">
        <f t="shared" si="6"/>
        <v>--</v>
      </c>
      <c r="S40" s="367" t="str">
        <f t="shared" si="7"/>
        <v>--</v>
      </c>
      <c r="T40" s="398" t="str">
        <f t="shared" si="10"/>
        <v>--</v>
      </c>
      <c r="U40" s="25">
        <f t="shared" si="8"/>
      </c>
      <c r="V40" s="65">
        <f t="shared" si="9"/>
      </c>
      <c r="W40" s="38"/>
    </row>
    <row r="41" spans="2:23" s="10" customFormat="1" ht="16.5" customHeight="1">
      <c r="B41" s="44"/>
      <c r="C41" s="647"/>
      <c r="D41" s="632"/>
      <c r="E41" s="632"/>
      <c r="F41" s="648"/>
      <c r="G41" s="648"/>
      <c r="H41" s="655"/>
      <c r="I41" s="273">
        <f t="shared" si="0"/>
        <v>2.433</v>
      </c>
      <c r="J41" s="650"/>
      <c r="K41" s="651"/>
      <c r="L41" s="35">
        <f t="shared" si="1"/>
      </c>
      <c r="M41" s="64">
        <f t="shared" si="2"/>
      </c>
      <c r="N41" s="652"/>
      <c r="O41" s="28">
        <f t="shared" si="3"/>
      </c>
      <c r="P41" s="387">
        <f t="shared" si="4"/>
        <v>20</v>
      </c>
      <c r="Q41" s="702" t="str">
        <f t="shared" si="5"/>
        <v>--</v>
      </c>
      <c r="R41" s="366" t="str">
        <f t="shared" si="6"/>
        <v>--</v>
      </c>
      <c r="S41" s="367" t="str">
        <f t="shared" si="7"/>
        <v>--</v>
      </c>
      <c r="T41" s="398" t="str">
        <f>IF(N41="RF",I41*P41*ROUND(M41/60,2),"--")</f>
        <v>--</v>
      </c>
      <c r="U41" s="25">
        <f t="shared" si="8"/>
      </c>
      <c r="V41" s="65">
        <f t="shared" si="9"/>
      </c>
      <c r="W41" s="38"/>
    </row>
    <row r="42" spans="2:23" s="10" customFormat="1" ht="16.5" customHeight="1">
      <c r="B42" s="44"/>
      <c r="C42" s="647"/>
      <c r="D42" s="632"/>
      <c r="E42" s="632"/>
      <c r="F42" s="648"/>
      <c r="G42" s="648"/>
      <c r="H42" s="655"/>
      <c r="I42" s="273">
        <f t="shared" si="0"/>
        <v>2.433</v>
      </c>
      <c r="J42" s="650"/>
      <c r="K42" s="651"/>
      <c r="L42" s="35">
        <f t="shared" si="1"/>
      </c>
      <c r="M42" s="64">
        <f t="shared" si="2"/>
      </c>
      <c r="N42" s="652"/>
      <c r="O42" s="28">
        <f t="shared" si="3"/>
      </c>
      <c r="P42" s="387">
        <f t="shared" si="4"/>
        <v>20</v>
      </c>
      <c r="Q42" s="702" t="str">
        <f t="shared" si="5"/>
        <v>--</v>
      </c>
      <c r="R42" s="366" t="str">
        <f t="shared" si="6"/>
        <v>--</v>
      </c>
      <c r="S42" s="367" t="str">
        <f t="shared" si="7"/>
        <v>--</v>
      </c>
      <c r="T42" s="398" t="str">
        <f>IF(N42="RF",I42*P42*ROUND(M42/60,2),"--")</f>
        <v>--</v>
      </c>
      <c r="U42" s="25">
        <f t="shared" si="8"/>
      </c>
      <c r="V42" s="65">
        <f t="shared" si="9"/>
      </c>
      <c r="W42" s="38"/>
    </row>
    <row r="43" spans="2:23" s="10" customFormat="1" ht="16.5" customHeight="1">
      <c r="B43" s="44"/>
      <c r="C43" s="647"/>
      <c r="D43" s="632"/>
      <c r="E43" s="632"/>
      <c r="F43" s="648"/>
      <c r="G43" s="648"/>
      <c r="H43" s="655"/>
      <c r="I43" s="273">
        <f t="shared" si="0"/>
        <v>2.433</v>
      </c>
      <c r="J43" s="650"/>
      <c r="K43" s="651"/>
      <c r="L43" s="35">
        <f t="shared" si="1"/>
      </c>
      <c r="M43" s="64">
        <f t="shared" si="2"/>
      </c>
      <c r="N43" s="652"/>
      <c r="O43" s="28">
        <f t="shared" si="3"/>
      </c>
      <c r="P43" s="387">
        <f t="shared" si="4"/>
        <v>20</v>
      </c>
      <c r="Q43" s="702" t="str">
        <f t="shared" si="5"/>
        <v>--</v>
      </c>
      <c r="R43" s="366" t="str">
        <f t="shared" si="6"/>
        <v>--</v>
      </c>
      <c r="S43" s="367" t="str">
        <f t="shared" si="7"/>
        <v>--</v>
      </c>
      <c r="T43" s="398" t="str">
        <f>IF(N43="RF",I43*P43*ROUND(M43/60,2),"--")</f>
        <v>--</v>
      </c>
      <c r="U43" s="25">
        <f t="shared" si="8"/>
      </c>
      <c r="V43" s="65">
        <f t="shared" si="9"/>
      </c>
      <c r="W43" s="38"/>
    </row>
    <row r="44" spans="2:23" s="10" customFormat="1" ht="16.5" customHeight="1" thickBot="1">
      <c r="B44" s="44"/>
      <c r="C44" s="635"/>
      <c r="D44" s="635"/>
      <c r="E44" s="635"/>
      <c r="F44" s="635"/>
      <c r="G44" s="635"/>
      <c r="H44" s="635"/>
      <c r="I44" s="272"/>
      <c r="J44" s="635"/>
      <c r="K44" s="635"/>
      <c r="L44" s="29"/>
      <c r="M44" s="29"/>
      <c r="N44" s="635"/>
      <c r="O44" s="635"/>
      <c r="P44" s="653"/>
      <c r="Q44" s="654"/>
      <c r="R44" s="643"/>
      <c r="S44" s="644"/>
      <c r="T44" s="638"/>
      <c r="U44" s="635"/>
      <c r="V44" s="215"/>
      <c r="W44" s="38"/>
    </row>
    <row r="45" spans="2:23" s="10" customFormat="1" ht="16.5" customHeight="1" thickBot="1" thickTop="1">
      <c r="B45" s="44"/>
      <c r="C45" s="240" t="s">
        <v>64</v>
      </c>
      <c r="D45" s="720" t="s">
        <v>183</v>
      </c>
      <c r="E45" s="682"/>
      <c r="F45" s="241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99">
        <f>ROUND(SUM(Q22:Q44),2)</f>
        <v>14.29</v>
      </c>
      <c r="R45" s="327">
        <f>SUM(R22:R44)</f>
        <v>0</v>
      </c>
      <c r="S45" s="327">
        <f>SUM(S22:S44)</f>
        <v>0</v>
      </c>
      <c r="T45" s="400">
        <f>SUM(T22:T44)</f>
        <v>0</v>
      </c>
      <c r="U45" s="66"/>
      <c r="V45" s="256">
        <f>SUM(V22:V44)</f>
        <v>14.293875</v>
      </c>
      <c r="W45" s="38"/>
    </row>
    <row r="46" spans="2:23" s="258" customFormat="1" ht="9.75" thickTop="1">
      <c r="B46" s="257"/>
      <c r="C46" s="242"/>
      <c r="D46" s="242"/>
      <c r="E46" s="242"/>
      <c r="F46" s="243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2"/>
      <c r="V46" s="263"/>
      <c r="W46" s="264"/>
    </row>
    <row r="47" spans="1:23" s="10" customFormat="1" ht="16.5" customHeight="1" thickBot="1">
      <c r="A47" s="11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2"/>
    </row>
    <row r="48" spans="1:23" ht="13.5" thickTop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3:6" ht="12.75">
      <c r="C49" s="6"/>
      <c r="D49" s="6"/>
      <c r="E49" s="6"/>
      <c r="F49" s="6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4"/>
  <headerFooter alignWithMargins="0">
    <oddFooter>&amp;L&amp;"Times New Roman,Normal"&amp;8&amp;Z&amp;F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AAguirre</cp:lastModifiedBy>
  <cp:lastPrinted>2016-04-22T15:51:12Z</cp:lastPrinted>
  <dcterms:created xsi:type="dcterms:W3CDTF">2000-10-04T20:14:32Z</dcterms:created>
  <dcterms:modified xsi:type="dcterms:W3CDTF">2016-07-13T15:33:29Z</dcterms:modified>
  <cp:category/>
  <cp:version/>
  <cp:contentType/>
  <cp:contentStatus/>
</cp:coreProperties>
</file>