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90" windowWidth="12120" windowHeight="4395" tabRatio="759" firstSheet="3" activeTab="9"/>
  </bookViews>
  <sheets>
    <sheet name="tot-0501" sheetId="1" r:id="rId1"/>
    <sheet name="LI-0501" sheetId="2" r:id="rId2"/>
    <sheet name="LI2-0501" sheetId="3" r:id="rId3"/>
    <sheet name="TR-0501" sheetId="4" r:id="rId4"/>
    <sheet name="TRAFO-TIBA" sheetId="5" r:id="rId5"/>
    <sheet name="SA-0501" sheetId="6" r:id="rId6"/>
    <sheet name="SALIDA-TIBA" sheetId="7" r:id="rId7"/>
    <sheet name="RE-0501" sheetId="8" r:id="rId8"/>
    <sheet name="SU (TIBA)" sheetId="9" r:id="rId9"/>
    <sheet name="TRANSENER" sheetId="10" r:id="rId10"/>
  </sheets>
  <externalReferences>
    <externalReference r:id="rId13"/>
    <externalReference r:id="rId14"/>
  </externalReferences>
  <definedNames>
    <definedName name="_xlnm.Print_Area" localSheetId="1">'LI-0501'!$A$1:$AD$45</definedName>
    <definedName name="_xlnm.Print_Area" localSheetId="2">'LI2-0501'!$A$1:$AD$45</definedName>
    <definedName name="_xlnm.Print_Area" localSheetId="7">'RE-0501'!$A$1:$V$43</definedName>
    <definedName name="_xlnm.Print_Area" localSheetId="5">'SA-0501'!$A$1:$U$46</definedName>
    <definedName name="_xlnm.Print_Area" localSheetId="6">'SALIDA-TIBA'!$A$1:$U$45</definedName>
    <definedName name="_xlnm.Print_Area" localSheetId="8">'SU (TIBA)'!$A$1:$W$70</definedName>
    <definedName name="_xlnm.Print_Area" localSheetId="0">'tot-0501'!$A$1:$K$36</definedName>
    <definedName name="_xlnm.Print_Area" localSheetId="3">'TR-0501'!$A$1:$AB$46</definedName>
    <definedName name="_xlnm.Print_Area" localSheetId="4">'TRAFO-TIBA'!$A$1:$AB$43</definedName>
    <definedName name="_xlnm.Print_Area" localSheetId="9">'TRANSENER'!$A$1:$V$98</definedName>
    <definedName name="INICIO" localSheetId="1">'LI-0501'!INICIO</definedName>
    <definedName name="INICIO" localSheetId="7">'RE-0501'!INICIO</definedName>
    <definedName name="INICIO" localSheetId="5">'SA-0501'!INICIO</definedName>
    <definedName name="INICIO" localSheetId="3">'TR-0501'!INICIO</definedName>
    <definedName name="INICIO" localSheetId="9">'TRANSENER'!INICIO</definedName>
    <definedName name="INICIO">[0]!INICIO</definedName>
    <definedName name="XX">[0]!XX</definedName>
  </definedNames>
  <calcPr fullCalcOnLoad="1"/>
</workbook>
</file>

<file path=xl/comments4.xml><?xml version="1.0" encoding="utf-8"?>
<comments xmlns="http://schemas.openxmlformats.org/spreadsheetml/2006/main">
  <authors>
    <author>pleoni</author>
  </authors>
  <commentList>
    <comment ref="D25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AGREGUE DE INFORME</t>
        </r>
      </text>
    </comment>
  </commentList>
</comments>
</file>

<file path=xl/sharedStrings.xml><?xml version="1.0" encoding="utf-8"?>
<sst xmlns="http://schemas.openxmlformats.org/spreadsheetml/2006/main" count="890" uniqueCount="207">
  <si>
    <t>SISTEMA DE TRANSPORTE DE ENERGÍA ELÉCTRICA EN ALTA TENSIÓN</t>
  </si>
  <si>
    <t>TRANSENER S.A.</t>
  </si>
  <si>
    <t>C</t>
  </si>
  <si>
    <t>B</t>
  </si>
  <si>
    <t>CHO. W. - CHOELE CHOEL (5WH1)</t>
  </si>
  <si>
    <t>A</t>
  </si>
  <si>
    <t>COLONIA ELIA - CAMPANA</t>
  </si>
  <si>
    <t>EL BRACHO - RECREO(5)</t>
  </si>
  <si>
    <t>EZEIZA - ABASTO 1</t>
  </si>
  <si>
    <t>EZEIZA - ABASTO 2</t>
  </si>
  <si>
    <t>GRAL. RODRIGUEZ - CAMPANA</t>
  </si>
  <si>
    <t>MALVINAS ARG. - ALMAFUERTE</t>
  </si>
  <si>
    <t>ROMANG - RESISTENCIA</t>
  </si>
  <si>
    <t>ALICURA</t>
  </si>
  <si>
    <t>TRAFO 9</t>
  </si>
  <si>
    <t>500/132</t>
  </si>
  <si>
    <t>ALMAFUERTE</t>
  </si>
  <si>
    <t>TRAFO 1</t>
  </si>
  <si>
    <t>220/132</t>
  </si>
  <si>
    <t>AUTOTRAFO</t>
  </si>
  <si>
    <t>500/220</t>
  </si>
  <si>
    <t>HENDERSON</t>
  </si>
  <si>
    <t>MALVINAS ARGENTINAS</t>
  </si>
  <si>
    <t>PUELCHES</t>
  </si>
  <si>
    <t>RESISTENCIA</t>
  </si>
  <si>
    <t>ROSARIO OESTE</t>
  </si>
  <si>
    <t>SANTO TOME</t>
  </si>
  <si>
    <t>BAHÍA BLANCA 500</t>
  </si>
  <si>
    <t>OLAVARRÍA 500</t>
  </si>
  <si>
    <t>CAMPANA 500</t>
  </si>
  <si>
    <t>AUTOTRAFO T1CA</t>
  </si>
  <si>
    <t>SALIDA LINEA A BARILOCHE</t>
  </si>
  <si>
    <t>SALIDA LINEA A SAN M. DE LOS ANDES</t>
  </si>
  <si>
    <t xml:space="preserve"> SALIDA LINEA GRAL. ACHA</t>
  </si>
  <si>
    <t>SALIDA LINEA A BARRANQUERAS 2</t>
  </si>
  <si>
    <t>LÍNEA A PEDRO LURO</t>
  </si>
  <si>
    <t>LÍNEA A PETROQUÍMICA</t>
  </si>
  <si>
    <t>LÍNEA A PUNTA ALTA</t>
  </si>
  <si>
    <t>LÍNEA A AZUL</t>
  </si>
  <si>
    <t>LÍNEA A CAMPANA</t>
  </si>
  <si>
    <t>LÍNEA A SIDERCA 0</t>
  </si>
  <si>
    <t>EQUIPO</t>
  </si>
  <si>
    <t xml:space="preserve">EZEIZA </t>
  </si>
  <si>
    <t>CS3</t>
  </si>
  <si>
    <t>CS4</t>
  </si>
  <si>
    <t>CS6</t>
  </si>
  <si>
    <t xml:space="preserve">ENTE NACIONAL REGULADOR </t>
  </si>
  <si>
    <t>DE LA ELECTRICIDAD</t>
  </si>
  <si>
    <t>1.-</t>
  </si>
  <si>
    <t>LÍNEAS</t>
  </si>
  <si>
    <t>Equipamiento propio</t>
  </si>
  <si>
    <t>2.-</t>
  </si>
  <si>
    <t>CONEXIÓN</t>
  </si>
  <si>
    <t>Transformación</t>
  </si>
  <si>
    <t>Transportista Independiente TIBA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</si>
  <si>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</si>
  <si>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</si>
  <si>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</si>
  <si>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</si>
  <si>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</si>
  <si>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</si>
  <si>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</si>
  <si>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</si>
  <si>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</si>
  <si>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</si>
  <si>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</si>
  <si>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</si>
  <si>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</si>
  <si>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</si>
  <si>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</si>
  <si>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</si>
  <si>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</si>
  <si>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</si>
  <si>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</si>
  <si>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</si>
  <si>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</si>
  <si>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</si>
  <si>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</si>
  <si>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</si>
  <si>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</si>
  <si>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</si>
  <si>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</si>
  <si>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</si>
  <si>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</si>
  <si>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</si>
  <si>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</si>
  <si>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</si>
  <si>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</si>
  <si>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</si>
  <si>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</si>
  <si>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</si>
  <si>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</si>
  <si>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PENALIZAC.
PROGRAM.</t>
  </si>
  <si>
    <t>ENTE NACIONAL REGULADOR</t>
  </si>
  <si>
    <t>2.- CONEXIÓN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</si>
  <si>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</si>
  <si>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</si>
  <si>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</si>
  <si>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</si>
  <si>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</si>
  <si>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</si>
  <si>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</si>
  <si>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</si>
  <si>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</si>
  <si>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</si>
  <si>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</si>
  <si>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</si>
  <si>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</si>
  <si>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</si>
  <si>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</si>
  <si>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</si>
  <si>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</si>
  <si>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</si>
  <si>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</si>
  <si>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</si>
  <si>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</si>
  <si>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</si>
  <si>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</si>
  <si>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</si>
  <si>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</si>
  <si>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</si>
  <si>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</si>
  <si>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</si>
  <si>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</si>
  <si>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</si>
  <si>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</si>
  <si>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</si>
  <si>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</si>
  <si>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</si>
  <si>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</si>
  <si>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</si>
  <si>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</si>
  <si>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</si>
  <si>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</si>
  <si>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U [kV]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</si>
  <si>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</si>
  <si>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</si>
  <si>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</si>
  <si>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t>E.T.</t>
  </si>
  <si>
    <t>e)</t>
  </si>
  <si>
    <t>SANCIÓN</t>
  </si>
  <si>
    <t>Sanción calculada</t>
  </si>
  <si>
    <t>SANCIÓN =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</si>
  <si>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</si>
  <si>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</si>
  <si>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</si>
  <si>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</si>
  <si>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</si>
  <si>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</si>
  <si>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</si>
  <si>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</si>
  <si>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</si>
  <si>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</si>
  <si>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</si>
  <si>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</si>
  <si>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</si>
  <si>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SALIDA LINEA ESPERANZA</t>
  </si>
  <si>
    <t xml:space="preserve">Salida en 500 kV en $/h </t>
  </si>
  <si>
    <t>Salida en 132 kV en $/h</t>
  </si>
  <si>
    <t>TOTAL A PENALIZAR A TRANSENER S.A POR SUPERVISIÓN A T.I.B.A.</t>
  </si>
  <si>
    <t>SALIDA LINEA R. DEL BUSTO</t>
  </si>
  <si>
    <t>SALIDA LINEA REOLIN 1</t>
  </si>
  <si>
    <t>BAHIA BLANCA - CHOELE CHOEL 2</t>
  </si>
  <si>
    <t>OLAVARRIA - BAHIA BLANCA 2</t>
  </si>
  <si>
    <t>ABASTO - OLAVARRIA 2</t>
  </si>
  <si>
    <t>OLAVARRIA - BAHIA BLANCA 1</t>
  </si>
  <si>
    <t>BAHIA BLANCA - CHOELE CHOEL 1</t>
  </si>
  <si>
    <t>ABASTO - OLAVARRIA 1</t>
  </si>
  <si>
    <t>P. DEL AGUILA - CHOELE CHOEL 1</t>
  </si>
  <si>
    <t>F</t>
  </si>
  <si>
    <t>Valores remuneratorios según Res. ENRE N° 618/01 - 544/01 - 533/01</t>
  </si>
  <si>
    <t>SALIDA LINEA A GODOY</t>
  </si>
  <si>
    <t xml:space="preserve"> SALIDA PICHI MAHUIDA</t>
  </si>
  <si>
    <t>RP</t>
  </si>
  <si>
    <t>Desde el 01 al 31 de enero de 2005</t>
  </si>
  <si>
    <t>P</t>
  </si>
  <si>
    <t>SI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</si>
  <si>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</si>
  <si>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</si>
  <si>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</si>
  <si>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</si>
  <si>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</si>
  <si>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</si>
  <si>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</si>
  <si>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</si>
  <si>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</si>
  <si>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</si>
  <si>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</si>
  <si>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</si>
  <si>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</si>
  <si>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</si>
  <si>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</si>
  <si>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</si>
  <si>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</si>
  <si>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</si>
  <si>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</si>
  <si>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SALIDAS x AÑO / 100 km</t>
  </si>
  <si>
    <t>2.1.2.- Transportista Independiente T.I.B.A.</t>
  </si>
  <si>
    <t>2.1.1.- Transformación</t>
  </si>
  <si>
    <t>ANEXO I a la Resolución E.N.R.E. N°              /200</t>
  </si>
  <si>
    <t>TOTAL DE PENALIZACIONES</t>
  </si>
  <si>
    <t>NO</t>
  </si>
  <si>
    <t>--</t>
  </si>
  <si>
    <t/>
  </si>
  <si>
    <t>FM</t>
  </si>
  <si>
    <t>Correspondiente al mes de enero de 2005 (provisoria)</t>
  </si>
  <si>
    <t>ANEXO I a la Resolución E.N.R.E. N°             586 /2007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</si>
</sst>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  <numFmt numFmtId="225" formatCode="d\-m\-yy\ h:mm\ \a\.m\./\p\.m\."/>
    <numFmt numFmtId="226" formatCode="d\-m\-yy\ h:mm"/>
  </numFmts>
  <fonts count="1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u val="single"/>
      <sz val="1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0"/>
    </font>
    <font>
      <b/>
      <sz val="12"/>
      <color indexed="34"/>
      <name val="Times New Roman"/>
      <family val="0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lightGray"/>
    </fill>
  </fills>
  <borders count="70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76" fontId="4" fillId="0" borderId="5" xfId="0" applyNumberFormat="1" applyFont="1" applyFill="1" applyBorder="1" applyAlignment="1" applyProtection="1">
      <alignment horizontal="center"/>
      <protection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19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9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7" fontId="12" fillId="0" borderId="12" xfId="0" applyNumberFormat="1" applyFont="1" applyFill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5" xfId="0" applyNumberFormat="1" applyFont="1" applyBorder="1" applyAlignment="1">
      <alignment horizontal="center"/>
    </xf>
    <xf numFmtId="22" fontId="4" fillId="0" borderId="14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7" fontId="13" fillId="0" borderId="22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0" xfId="0" applyFont="1" applyFill="1" applyBorder="1" applyAlignment="1">
      <alignment horizontal="centerContinuous"/>
    </xf>
    <xf numFmtId="0" fontId="0" fillId="0" borderId="21" xfId="0" applyFont="1" applyBorder="1" applyAlignment="1" applyProtection="1">
      <alignment horizontal="center"/>
      <protection/>
    </xf>
    <xf numFmtId="0" fontId="33" fillId="0" borderId="12" xfId="0" applyFont="1" applyBorder="1" applyAlignment="1">
      <alignment horizontal="center" vertical="center"/>
    </xf>
    <xf numFmtId="176" fontId="33" fillId="0" borderId="12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72" fontId="0" fillId="0" borderId="2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 quotePrefix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32" fillId="0" borderId="19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 applyProtection="1">
      <alignment horizontal="lef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 quotePrefix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172" fontId="0" fillId="0" borderId="22" xfId="0" applyNumberFormat="1" applyFont="1" applyBorder="1" applyAlignment="1" applyProtection="1">
      <alignment horizontal="center"/>
      <protection/>
    </xf>
    <xf numFmtId="0" fontId="33" fillId="0" borderId="12" xfId="0" applyFont="1" applyBorder="1" applyAlignment="1" applyProtection="1" quotePrefix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41" fillId="0" borderId="34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19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19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173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172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"/>
      <protection/>
    </xf>
    <xf numFmtId="179" fontId="29" fillId="0" borderId="0" xfId="0" applyNumberFormat="1" applyFont="1" applyBorder="1" applyAlignment="1" applyProtection="1" quotePrefix="1">
      <alignment horizontal="center"/>
      <protection/>
    </xf>
    <xf numFmtId="0" fontId="29" fillId="0" borderId="19" xfId="0" applyFont="1" applyBorder="1" applyAlignment="1">
      <alignment/>
    </xf>
    <xf numFmtId="2" fontId="53" fillId="0" borderId="0" xfId="0" applyNumberFormat="1" applyFont="1" applyBorder="1" applyAlignment="1" applyProtection="1">
      <alignment horizontal="left"/>
      <protection/>
    </xf>
    <xf numFmtId="176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179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4" fontId="29" fillId="0" borderId="2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0" xfId="0" applyNumberFormat="1" applyFont="1" applyBorder="1" applyAlignment="1" applyProtection="1">
      <alignment horizontal="left"/>
      <protection/>
    </xf>
    <xf numFmtId="2" fontId="51" fillId="0" borderId="0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Border="1" applyAlignment="1" applyProtection="1" quotePrefix="1">
      <alignment horizontal="center"/>
      <protection/>
    </xf>
    <xf numFmtId="4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Continuous"/>
    </xf>
    <xf numFmtId="7" fontId="29" fillId="0" borderId="0" xfId="0" applyNumberFormat="1" applyFont="1" applyBorder="1" applyAlignment="1">
      <alignment horizontal="right"/>
    </xf>
    <xf numFmtId="176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7" fontId="29" fillId="0" borderId="0" xfId="0" applyNumberFormat="1" applyFont="1" applyAlignment="1">
      <alignment horizontal="right"/>
    </xf>
    <xf numFmtId="0" fontId="50" fillId="0" borderId="0" xfId="0" applyFont="1" applyAlignment="1" quotePrefix="1">
      <alignment/>
    </xf>
    <xf numFmtId="7" fontId="29" fillId="0" borderId="0" xfId="0" applyNumberFormat="1" applyFont="1" applyBorder="1" applyAlignment="1" applyProtection="1">
      <alignment horizontal="center"/>
      <protection/>
    </xf>
    <xf numFmtId="7" fontId="29" fillId="0" borderId="0" xfId="0" applyNumberFormat="1" applyFont="1" applyBorder="1" applyAlignment="1" applyProtection="1">
      <alignment horizontal="left"/>
      <protection/>
    </xf>
    <xf numFmtId="0" fontId="29" fillId="0" borderId="25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59" fillId="3" borderId="21" xfId="0" applyFont="1" applyFill="1" applyBorder="1" applyAlignment="1" applyProtection="1">
      <alignment horizontal="centerContinuous" vertical="center" wrapText="1"/>
      <protection/>
    </xf>
    <xf numFmtId="0" fontId="60" fillId="3" borderId="27" xfId="0" applyFont="1" applyFill="1" applyBorder="1" applyAlignment="1">
      <alignment horizontal="centerContinuous"/>
    </xf>
    <xf numFmtId="0" fontId="59" fillId="3" borderId="22" xfId="0" applyFont="1" applyFill="1" applyBorder="1" applyAlignment="1">
      <alignment horizontal="centerContinuous" vertical="center"/>
    </xf>
    <xf numFmtId="0" fontId="61" fillId="3" borderId="12" xfId="0" applyFont="1" applyFill="1" applyBorder="1" applyAlignment="1" applyProtection="1">
      <alignment horizontal="center" vertical="center"/>
      <protection/>
    </xf>
    <xf numFmtId="176" fontId="62" fillId="3" borderId="1" xfId="0" applyNumberFormat="1" applyFont="1" applyFill="1" applyBorder="1" applyAlignment="1" applyProtection="1">
      <alignment horizontal="center"/>
      <protection/>
    </xf>
    <xf numFmtId="176" fontId="62" fillId="3" borderId="5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62" fillId="3" borderId="31" xfId="0" applyFont="1" applyFill="1" applyBorder="1" applyAlignment="1">
      <alignment horizontal="center"/>
    </xf>
    <xf numFmtId="0" fontId="62" fillId="3" borderId="4" xfId="0" applyFont="1" applyFill="1" applyBorder="1" applyAlignment="1">
      <alignment horizontal="center"/>
    </xf>
    <xf numFmtId="7" fontId="21" fillId="0" borderId="12" xfId="0" applyNumberFormat="1" applyFont="1" applyFill="1" applyBorder="1" applyAlignment="1">
      <alignment horizontal="right"/>
    </xf>
    <xf numFmtId="0" fontId="62" fillId="3" borderId="1" xfId="0" applyFont="1" applyFill="1" applyBorder="1" applyAlignment="1" applyProtection="1">
      <alignment horizontal="center"/>
      <protection/>
    </xf>
    <xf numFmtId="0" fontId="62" fillId="3" borderId="10" xfId="0" applyFont="1" applyFill="1" applyBorder="1" applyAlignment="1" applyProtection="1">
      <alignment horizontal="center"/>
      <protection/>
    </xf>
    <xf numFmtId="176" fontId="62" fillId="3" borderId="4" xfId="0" applyNumberFormat="1" applyFont="1" applyFill="1" applyBorder="1" applyAlignment="1" applyProtection="1">
      <alignment horizontal="center"/>
      <protection/>
    </xf>
    <xf numFmtId="0" fontId="62" fillId="3" borderId="0" xfId="0" applyFont="1" applyFill="1" applyBorder="1" applyAlignment="1">
      <alignment horizontal="center"/>
    </xf>
    <xf numFmtId="172" fontId="62" fillId="3" borderId="13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172" fontId="4" fillId="0" borderId="35" xfId="0" applyNumberFormat="1" applyFont="1" applyBorder="1" applyAlignment="1" applyProtection="1">
      <alignment horizontal="center"/>
      <protection/>
    </xf>
    <xf numFmtId="1" fontId="4" fillId="0" borderId="37" xfId="0" applyNumberFormat="1" applyFont="1" applyBorder="1" applyAlignment="1" applyProtection="1" quotePrefix="1">
      <alignment horizontal="center"/>
      <protection/>
    </xf>
    <xf numFmtId="22" fontId="4" fillId="0" borderId="5" xfId="0" applyNumberFormat="1" applyFont="1" applyFill="1" applyBorder="1" applyAlignment="1">
      <alignment horizontal="center"/>
    </xf>
    <xf numFmtId="22" fontId="4" fillId="0" borderId="5" xfId="0" applyNumberFormat="1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 horizontal="center"/>
      <protection/>
    </xf>
    <xf numFmtId="176" fontId="4" fillId="0" borderId="9" xfId="0" applyNumberFormat="1" applyFont="1" applyFill="1" applyBorder="1" applyAlignment="1">
      <alignment horizontal="center"/>
    </xf>
    <xf numFmtId="4" fontId="18" fillId="0" borderId="9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12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Alignment="1">
      <alignment horizontal="centerContinuous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67" fillId="4" borderId="1" xfId="0" applyFont="1" applyFill="1" applyBorder="1" applyAlignment="1">
      <alignment/>
    </xf>
    <xf numFmtId="0" fontId="66" fillId="4" borderId="12" xfId="0" applyFont="1" applyFill="1" applyBorder="1" applyAlignment="1">
      <alignment horizontal="center" vertical="center" wrapText="1"/>
    </xf>
    <xf numFmtId="0" fontId="67" fillId="4" borderId="38" xfId="0" applyFont="1" applyFill="1" applyBorder="1" applyAlignment="1">
      <alignment/>
    </xf>
    <xf numFmtId="0" fontId="55" fillId="5" borderId="2" xfId="0" applyFont="1" applyFill="1" applyBorder="1" applyAlignment="1">
      <alignment/>
    </xf>
    <xf numFmtId="0" fontId="58" fillId="5" borderId="12" xfId="0" applyFont="1" applyFill="1" applyBorder="1" applyAlignment="1">
      <alignment horizontal="center" vertical="center" wrapText="1"/>
    </xf>
    <xf numFmtId="0" fontId="55" fillId="5" borderId="38" xfId="0" applyFont="1" applyFill="1" applyBorder="1" applyAlignment="1">
      <alignment/>
    </xf>
    <xf numFmtId="176" fontId="5" fillId="3" borderId="39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9" fillId="6" borderId="21" xfId="0" applyFont="1" applyFill="1" applyBorder="1" applyAlignment="1">
      <alignment horizontal="centerContinuous" vertical="center" wrapText="1"/>
    </xf>
    <xf numFmtId="0" fontId="70" fillId="6" borderId="27" xfId="0" applyFont="1" applyFill="1" applyBorder="1" applyAlignment="1">
      <alignment horizontal="centerContinuous"/>
    </xf>
    <xf numFmtId="0" fontId="69" fillId="6" borderId="22" xfId="0" applyFont="1" applyFill="1" applyBorder="1" applyAlignment="1">
      <alignment horizontal="centerContinuous" vertical="center"/>
    </xf>
    <xf numFmtId="176" fontId="71" fillId="6" borderId="39" xfId="0" applyNumberFormat="1" applyFont="1" applyFill="1" applyBorder="1" applyAlignment="1" applyProtection="1" quotePrefix="1">
      <alignment horizontal="center"/>
      <protection/>
    </xf>
    <xf numFmtId="4" fontId="71" fillId="6" borderId="2" xfId="0" applyNumberFormat="1" applyFont="1" applyFill="1" applyBorder="1" applyAlignment="1" applyProtection="1">
      <alignment horizontal="center"/>
      <protection/>
    </xf>
    <xf numFmtId="0" fontId="4" fillId="3" borderId="40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4" fillId="3" borderId="42" xfId="0" applyFont="1" applyFill="1" applyBorder="1" applyAlignment="1">
      <alignment/>
    </xf>
    <xf numFmtId="0" fontId="71" fillId="6" borderId="40" xfId="0" applyFont="1" applyFill="1" applyBorder="1" applyAlignment="1">
      <alignment/>
    </xf>
    <xf numFmtId="0" fontId="71" fillId="6" borderId="41" xfId="0" applyFont="1" applyFill="1" applyBorder="1" applyAlignment="1">
      <alignment/>
    </xf>
    <xf numFmtId="0" fontId="71" fillId="6" borderId="42" xfId="0" applyFont="1" applyFill="1" applyBorder="1" applyAlignment="1">
      <alignment/>
    </xf>
    <xf numFmtId="176" fontId="71" fillId="6" borderId="43" xfId="0" applyNumberFormat="1" applyFont="1" applyFill="1" applyBorder="1" applyAlignment="1" applyProtection="1" quotePrefix="1">
      <alignment horizontal="center"/>
      <protection/>
    </xf>
    <xf numFmtId="176" fontId="5" fillId="3" borderId="43" xfId="0" applyNumberFormat="1" applyFont="1" applyFill="1" applyBorder="1" applyAlignment="1" applyProtection="1" quotePrefix="1">
      <alignment horizontal="center"/>
      <protection/>
    </xf>
    <xf numFmtId="0" fontId="4" fillId="0" borderId="38" xfId="0" applyFont="1" applyBorder="1" applyAlignment="1">
      <alignment/>
    </xf>
    <xf numFmtId="0" fontId="74" fillId="7" borderId="38" xfId="0" applyFont="1" applyFill="1" applyBorder="1" applyAlignment="1">
      <alignment/>
    </xf>
    <xf numFmtId="4" fontId="74" fillId="7" borderId="1" xfId="0" applyNumberFormat="1" applyFont="1" applyFill="1" applyBorder="1" applyAlignment="1" applyProtection="1">
      <alignment horizontal="center"/>
      <protection/>
    </xf>
    <xf numFmtId="0" fontId="73" fillId="7" borderId="12" xfId="0" applyFont="1" applyFill="1" applyBorder="1" applyAlignment="1">
      <alignment horizontal="center" vertical="center" wrapText="1"/>
    </xf>
    <xf numFmtId="0" fontId="76" fillId="8" borderId="12" xfId="0" applyFont="1" applyFill="1" applyBorder="1" applyAlignment="1">
      <alignment horizontal="center" vertical="center" wrapText="1"/>
    </xf>
    <xf numFmtId="0" fontId="77" fillId="8" borderId="38" xfId="0" applyFont="1" applyFill="1" applyBorder="1" applyAlignment="1">
      <alignment/>
    </xf>
    <xf numFmtId="4" fontId="77" fillId="8" borderId="1" xfId="0" applyNumberFormat="1" applyFont="1" applyFill="1" applyBorder="1" applyAlignment="1" applyProtection="1">
      <alignment horizontal="center"/>
      <protection/>
    </xf>
    <xf numFmtId="2" fontId="68" fillId="4" borderId="12" xfId="0" applyNumberFormat="1" applyFont="1" applyFill="1" applyBorder="1" applyAlignment="1" applyProtection="1">
      <alignment horizontal="center"/>
      <protection/>
    </xf>
    <xf numFmtId="2" fontId="56" fillId="5" borderId="12" xfId="0" applyNumberFormat="1" applyFont="1" applyFill="1" applyBorder="1" applyAlignment="1" applyProtection="1">
      <alignment horizontal="center"/>
      <protection/>
    </xf>
    <xf numFmtId="2" fontId="57" fillId="3" borderId="12" xfId="0" applyNumberFormat="1" applyFont="1" applyFill="1" applyBorder="1" applyAlignment="1" applyProtection="1">
      <alignment horizontal="center"/>
      <protection/>
    </xf>
    <xf numFmtId="2" fontId="72" fillId="6" borderId="12" xfId="0" applyNumberFormat="1" applyFont="1" applyFill="1" applyBorder="1" applyAlignment="1" applyProtection="1">
      <alignment horizontal="center"/>
      <protection/>
    </xf>
    <xf numFmtId="2" fontId="75" fillId="7" borderId="12" xfId="0" applyNumberFormat="1" applyFont="1" applyFill="1" applyBorder="1" applyAlignment="1" applyProtection="1">
      <alignment horizontal="center"/>
      <protection/>
    </xf>
    <xf numFmtId="2" fontId="78" fillId="8" borderId="12" xfId="0" applyNumberFormat="1" applyFont="1" applyFill="1" applyBorder="1" applyAlignment="1" applyProtection="1">
      <alignment horizontal="center"/>
      <protection/>
    </xf>
    <xf numFmtId="0" fontId="80" fillId="9" borderId="1" xfId="0" applyFont="1" applyFill="1" applyBorder="1" applyAlignment="1">
      <alignment/>
    </xf>
    <xf numFmtId="0" fontId="80" fillId="9" borderId="5" xfId="0" applyFont="1" applyFill="1" applyBorder="1" applyAlignment="1" applyProtection="1">
      <alignment horizontal="center"/>
      <protection/>
    </xf>
    <xf numFmtId="0" fontId="81" fillId="10" borderId="12" xfId="0" applyFont="1" applyFill="1" applyBorder="1" applyAlignment="1" applyProtection="1">
      <alignment horizontal="center" vertical="center"/>
      <protection/>
    </xf>
    <xf numFmtId="0" fontId="82" fillId="10" borderId="1" xfId="0" applyFont="1" applyFill="1" applyBorder="1" applyAlignment="1">
      <alignment/>
    </xf>
    <xf numFmtId="172" fontId="33" fillId="0" borderId="12" xfId="0" applyNumberFormat="1" applyFont="1" applyBorder="1" applyAlignment="1" applyProtection="1">
      <alignment horizontal="center" vertical="center" wrapText="1"/>
      <protection/>
    </xf>
    <xf numFmtId="176" fontId="79" fillId="9" borderId="12" xfId="0" applyNumberFormat="1" applyFont="1" applyFill="1" applyBorder="1" applyAlignment="1" applyProtection="1">
      <alignment horizontal="center" vertical="center"/>
      <protection/>
    </xf>
    <xf numFmtId="0" fontId="80" fillId="9" borderId="1" xfId="0" applyFont="1" applyFill="1" applyBorder="1" applyAlignment="1" applyProtection="1">
      <alignment horizontal="center"/>
      <protection/>
    </xf>
    <xf numFmtId="0" fontId="80" fillId="9" borderId="38" xfId="0" applyFont="1" applyFill="1" applyBorder="1" applyAlignment="1">
      <alignment/>
    </xf>
    <xf numFmtId="0" fontId="82" fillId="10" borderId="38" xfId="0" applyFont="1" applyFill="1" applyBorder="1" applyAlignment="1">
      <alignment/>
    </xf>
    <xf numFmtId="0" fontId="4" fillId="0" borderId="38" xfId="0" applyFont="1" applyBorder="1" applyAlignment="1">
      <alignment horizontal="center"/>
    </xf>
    <xf numFmtId="0" fontId="62" fillId="3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>
      <alignment horizontal="center"/>
    </xf>
    <xf numFmtId="0" fontId="83" fillId="11" borderId="12" xfId="0" applyFont="1" applyFill="1" applyBorder="1" applyAlignment="1" applyProtection="1">
      <alignment horizontal="center" vertical="center"/>
      <protection/>
    </xf>
    <xf numFmtId="0" fontId="85" fillId="11" borderId="44" xfId="0" applyFont="1" applyFill="1" applyBorder="1" applyAlignment="1">
      <alignment horizontal="center"/>
    </xf>
    <xf numFmtId="0" fontId="85" fillId="11" borderId="4" xfId="0" applyFont="1" applyFill="1" applyBorder="1" applyAlignment="1">
      <alignment horizontal="center"/>
    </xf>
    <xf numFmtId="172" fontId="85" fillId="11" borderId="1" xfId="0" applyNumberFormat="1" applyFont="1" applyFill="1" applyBorder="1" applyAlignment="1" applyProtection="1">
      <alignment horizontal="center"/>
      <protection/>
    </xf>
    <xf numFmtId="172" fontId="85" fillId="11" borderId="5" xfId="0" applyNumberFormat="1" applyFont="1" applyFill="1" applyBorder="1" applyAlignment="1" applyProtection="1">
      <alignment horizontal="center"/>
      <protection/>
    </xf>
    <xf numFmtId="0" fontId="86" fillId="7" borderId="12" xfId="0" applyFont="1" applyFill="1" applyBorder="1" applyAlignment="1">
      <alignment horizontal="center" vertical="center" wrapText="1"/>
    </xf>
    <xf numFmtId="0" fontId="87" fillId="7" borderId="44" xfId="0" applyFont="1" applyFill="1" applyBorder="1" applyAlignment="1">
      <alignment horizontal="center"/>
    </xf>
    <xf numFmtId="0" fontId="87" fillId="7" borderId="4" xfId="0" applyFont="1" applyFill="1" applyBorder="1" applyAlignment="1">
      <alignment horizontal="center"/>
    </xf>
    <xf numFmtId="2" fontId="87" fillId="7" borderId="1" xfId="0" applyNumberFormat="1" applyFont="1" applyFill="1" applyBorder="1" applyAlignment="1">
      <alignment horizontal="center"/>
    </xf>
    <xf numFmtId="2" fontId="87" fillId="7" borderId="5" xfId="0" applyNumberFormat="1" applyFont="1" applyFill="1" applyBorder="1" applyAlignment="1">
      <alignment horizontal="center"/>
    </xf>
    <xf numFmtId="4" fontId="87" fillId="7" borderId="12" xfId="0" applyNumberFormat="1" applyFont="1" applyFill="1" applyBorder="1" applyAlignment="1">
      <alignment horizontal="center"/>
    </xf>
    <xf numFmtId="0" fontId="88" fillId="5" borderId="12" xfId="0" applyFont="1" applyFill="1" applyBorder="1" applyAlignment="1">
      <alignment horizontal="center" vertical="center" wrapText="1"/>
    </xf>
    <xf numFmtId="0" fontId="89" fillId="5" borderId="44" xfId="0" applyFont="1" applyFill="1" applyBorder="1" applyAlignment="1">
      <alignment horizontal="center"/>
    </xf>
    <xf numFmtId="0" fontId="89" fillId="5" borderId="4" xfId="0" applyFont="1" applyFill="1" applyBorder="1" applyAlignment="1">
      <alignment horizontal="center"/>
    </xf>
    <xf numFmtId="2" fontId="89" fillId="5" borderId="1" xfId="0" applyNumberFormat="1" applyFont="1" applyFill="1" applyBorder="1" applyAlignment="1">
      <alignment horizontal="center"/>
    </xf>
    <xf numFmtId="2" fontId="89" fillId="5" borderId="5" xfId="0" applyNumberFormat="1" applyFont="1" applyFill="1" applyBorder="1" applyAlignment="1">
      <alignment horizontal="center"/>
    </xf>
    <xf numFmtId="4" fontId="89" fillId="5" borderId="12" xfId="0" applyNumberFormat="1" applyFont="1" applyFill="1" applyBorder="1" applyAlignment="1">
      <alignment horizontal="center"/>
    </xf>
    <xf numFmtId="0" fontId="57" fillId="3" borderId="40" xfId="0" applyFont="1" applyFill="1" applyBorder="1" applyAlignment="1">
      <alignment horizontal="center"/>
    </xf>
    <xf numFmtId="0" fontId="57" fillId="3" borderId="42" xfId="0" applyFont="1" applyFill="1" applyBorder="1" applyAlignment="1">
      <alignment horizontal="center"/>
    </xf>
    <xf numFmtId="0" fontId="57" fillId="3" borderId="15" xfId="0" applyFont="1" applyFill="1" applyBorder="1" applyAlignment="1">
      <alignment horizontal="center"/>
    </xf>
    <xf numFmtId="0" fontId="57" fillId="3" borderId="46" xfId="0" applyFont="1" applyFill="1" applyBorder="1" applyAlignment="1">
      <alignment horizontal="center"/>
    </xf>
    <xf numFmtId="176" fontId="57" fillId="3" borderId="15" xfId="0" applyNumberFormat="1" applyFont="1" applyFill="1" applyBorder="1" applyAlignment="1" applyProtection="1" quotePrefix="1">
      <alignment horizontal="center"/>
      <protection/>
    </xf>
    <xf numFmtId="176" fontId="57" fillId="3" borderId="46" xfId="0" applyNumberFormat="1" applyFont="1" applyFill="1" applyBorder="1" applyAlignment="1" applyProtection="1" quotePrefix="1">
      <alignment horizontal="center"/>
      <protection/>
    </xf>
    <xf numFmtId="176" fontId="57" fillId="3" borderId="47" xfId="0" applyNumberFormat="1" applyFont="1" applyFill="1" applyBorder="1" applyAlignment="1" applyProtection="1" quotePrefix="1">
      <alignment horizontal="center"/>
      <protection/>
    </xf>
    <xf numFmtId="176" fontId="57" fillId="3" borderId="37" xfId="0" applyNumberFormat="1" applyFont="1" applyFill="1" applyBorder="1" applyAlignment="1" applyProtection="1" quotePrefix="1">
      <alignment horizontal="center"/>
      <protection/>
    </xf>
    <xf numFmtId="4" fontId="57" fillId="3" borderId="48" xfId="0" applyNumberFormat="1" applyFont="1" applyFill="1" applyBorder="1" applyAlignment="1">
      <alignment horizontal="center"/>
    </xf>
    <xf numFmtId="4" fontId="57" fillId="3" borderId="22" xfId="0" applyNumberFormat="1" applyFont="1" applyFill="1" applyBorder="1" applyAlignment="1">
      <alignment horizontal="center"/>
    </xf>
    <xf numFmtId="0" fontId="90" fillId="12" borderId="21" xfId="0" applyFont="1" applyFill="1" applyBorder="1" applyAlignment="1" applyProtection="1">
      <alignment horizontal="centerContinuous" vertical="center" wrapText="1"/>
      <protection/>
    </xf>
    <xf numFmtId="0" fontId="90" fillId="12" borderId="22" xfId="0" applyFont="1" applyFill="1" applyBorder="1" applyAlignment="1">
      <alignment horizontal="centerContinuous" vertical="center"/>
    </xf>
    <xf numFmtId="0" fontId="91" fillId="12" borderId="49" xfId="0" applyFont="1" applyFill="1" applyBorder="1" applyAlignment="1">
      <alignment horizontal="center"/>
    </xf>
    <xf numFmtId="0" fontId="91" fillId="12" borderId="50" xfId="0" applyFont="1" applyFill="1" applyBorder="1" applyAlignment="1">
      <alignment horizontal="center"/>
    </xf>
    <xf numFmtId="0" fontId="91" fillId="12" borderId="15" xfId="0" applyFont="1" applyFill="1" applyBorder="1" applyAlignment="1">
      <alignment horizontal="center"/>
    </xf>
    <xf numFmtId="0" fontId="91" fillId="12" borderId="46" xfId="0" applyFont="1" applyFill="1" applyBorder="1" applyAlignment="1">
      <alignment horizontal="center"/>
    </xf>
    <xf numFmtId="176" fontId="91" fillId="12" borderId="15" xfId="0" applyNumberFormat="1" applyFont="1" applyFill="1" applyBorder="1" applyAlignment="1" applyProtection="1" quotePrefix="1">
      <alignment horizontal="center"/>
      <protection/>
    </xf>
    <xf numFmtId="176" fontId="91" fillId="12" borderId="46" xfId="0" applyNumberFormat="1" applyFont="1" applyFill="1" applyBorder="1" applyAlignment="1" applyProtection="1" quotePrefix="1">
      <alignment horizontal="center"/>
      <protection/>
    </xf>
    <xf numFmtId="176" fontId="91" fillId="12" borderId="51" xfId="0" applyNumberFormat="1" applyFont="1" applyFill="1" applyBorder="1" applyAlignment="1" applyProtection="1" quotePrefix="1">
      <alignment horizontal="center"/>
      <protection/>
    </xf>
    <xf numFmtId="176" fontId="91" fillId="12" borderId="52" xfId="0" applyNumberFormat="1" applyFont="1" applyFill="1" applyBorder="1" applyAlignment="1" applyProtection="1" quotePrefix="1">
      <alignment horizontal="center"/>
      <protection/>
    </xf>
    <xf numFmtId="4" fontId="91" fillId="12" borderId="48" xfId="0" applyNumberFormat="1" applyFont="1" applyFill="1" applyBorder="1" applyAlignment="1">
      <alignment horizontal="center"/>
    </xf>
    <xf numFmtId="4" fontId="91" fillId="12" borderId="53" xfId="0" applyNumberFormat="1" applyFont="1" applyFill="1" applyBorder="1" applyAlignment="1">
      <alignment horizontal="center"/>
    </xf>
    <xf numFmtId="0" fontId="90" fillId="12" borderId="12" xfId="0" applyFont="1" applyFill="1" applyBorder="1" applyAlignment="1">
      <alignment horizontal="center" vertical="center" wrapText="1"/>
    </xf>
    <xf numFmtId="0" fontId="66" fillId="13" borderId="12" xfId="0" applyFont="1" applyFill="1" applyBorder="1" applyAlignment="1">
      <alignment horizontal="center" vertical="center" wrapText="1"/>
    </xf>
    <xf numFmtId="0" fontId="68" fillId="13" borderId="44" xfId="0" applyFont="1" applyFill="1" applyBorder="1" applyAlignment="1">
      <alignment horizontal="center"/>
    </xf>
    <xf numFmtId="0" fontId="68" fillId="13" borderId="4" xfId="0" applyFont="1" applyFill="1" applyBorder="1" applyAlignment="1">
      <alignment horizontal="center"/>
    </xf>
    <xf numFmtId="176" fontId="68" fillId="13" borderId="1" xfId="0" applyNumberFormat="1" applyFont="1" applyFill="1" applyBorder="1" applyAlignment="1" applyProtection="1" quotePrefix="1">
      <alignment horizontal="center"/>
      <protection/>
    </xf>
    <xf numFmtId="176" fontId="68" fillId="13" borderId="5" xfId="0" applyNumberFormat="1" applyFont="1" applyFill="1" applyBorder="1" applyAlignment="1" applyProtection="1" quotePrefix="1">
      <alignment horizontal="center"/>
      <protection/>
    </xf>
    <xf numFmtId="0" fontId="92" fillId="7" borderId="12" xfId="0" applyFont="1" applyFill="1" applyBorder="1" applyAlignment="1">
      <alignment horizontal="center" vertical="center" wrapText="1"/>
    </xf>
    <xf numFmtId="0" fontId="93" fillId="7" borderId="44" xfId="0" applyFont="1" applyFill="1" applyBorder="1" applyAlignment="1">
      <alignment horizontal="center"/>
    </xf>
    <xf numFmtId="0" fontId="93" fillId="7" borderId="4" xfId="0" applyFont="1" applyFill="1" applyBorder="1" applyAlignment="1">
      <alignment horizontal="center"/>
    </xf>
    <xf numFmtId="176" fontId="93" fillId="7" borderId="4" xfId="0" applyNumberFormat="1" applyFont="1" applyFill="1" applyBorder="1" applyAlignment="1" applyProtection="1" quotePrefix="1">
      <alignment horizontal="center"/>
      <protection/>
    </xf>
    <xf numFmtId="176" fontId="93" fillId="7" borderId="5" xfId="0" applyNumberFormat="1" applyFont="1" applyFill="1" applyBorder="1" applyAlignment="1" applyProtection="1" quotePrefix="1">
      <alignment horizontal="center"/>
      <protection/>
    </xf>
    <xf numFmtId="0" fontId="85" fillId="10" borderId="1" xfId="0" applyFont="1" applyFill="1" applyBorder="1" applyAlignment="1" applyProtection="1">
      <alignment horizontal="center"/>
      <protection/>
    </xf>
    <xf numFmtId="0" fontId="83" fillId="10" borderId="12" xfId="0" applyFont="1" applyFill="1" applyBorder="1" applyAlignment="1" applyProtection="1">
      <alignment horizontal="center" vertical="center"/>
      <protection/>
    </xf>
    <xf numFmtId="172" fontId="85" fillId="10" borderId="1" xfId="0" applyNumberFormat="1" applyFont="1" applyFill="1" applyBorder="1" applyAlignment="1" applyProtection="1">
      <alignment horizontal="center"/>
      <protection/>
    </xf>
    <xf numFmtId="0" fontId="85" fillId="10" borderId="38" xfId="0" applyFont="1" applyFill="1" applyBorder="1" applyAlignment="1" applyProtection="1">
      <alignment horizontal="center"/>
      <protection/>
    </xf>
    <xf numFmtId="0" fontId="91" fillId="12" borderId="1" xfId="0" applyFont="1" applyFill="1" applyBorder="1" applyAlignment="1" applyProtection="1">
      <alignment horizontal="center"/>
      <protection/>
    </xf>
    <xf numFmtId="2" fontId="91" fillId="12" borderId="1" xfId="0" applyNumberFormat="1" applyFont="1" applyFill="1" applyBorder="1" applyAlignment="1">
      <alignment horizontal="center"/>
    </xf>
    <xf numFmtId="0" fontId="91" fillId="12" borderId="38" xfId="0" applyFont="1" applyFill="1" applyBorder="1" applyAlignment="1" applyProtection="1">
      <alignment horizontal="center"/>
      <protection/>
    </xf>
    <xf numFmtId="4" fontId="91" fillId="12" borderId="12" xfId="0" applyNumberFormat="1" applyFont="1" applyFill="1" applyBorder="1" applyAlignment="1">
      <alignment horizontal="center"/>
    </xf>
    <xf numFmtId="0" fontId="58" fillId="5" borderId="21" xfId="0" applyFont="1" applyFill="1" applyBorder="1" applyAlignment="1" applyProtection="1">
      <alignment horizontal="centerContinuous" vertical="center" wrapText="1"/>
      <protection/>
    </xf>
    <xf numFmtId="0" fontId="58" fillId="5" borderId="22" xfId="0" applyFont="1" applyFill="1" applyBorder="1" applyAlignment="1">
      <alignment horizontal="centerContinuous" vertical="center"/>
    </xf>
    <xf numFmtId="176" fontId="56" fillId="5" borderId="40" xfId="0" applyNumberFormat="1" applyFont="1" applyFill="1" applyBorder="1" applyAlignment="1" applyProtection="1" quotePrefix="1">
      <alignment horizontal="center"/>
      <protection/>
    </xf>
    <xf numFmtId="176" fontId="56" fillId="5" borderId="42" xfId="0" applyNumberFormat="1" applyFont="1" applyFill="1" applyBorder="1" applyAlignment="1" applyProtection="1" quotePrefix="1">
      <alignment horizontal="center"/>
      <protection/>
    </xf>
    <xf numFmtId="176" fontId="56" fillId="5" borderId="43" xfId="0" applyNumberFormat="1" applyFont="1" applyFill="1" applyBorder="1" applyAlignment="1" applyProtection="1" quotePrefix="1">
      <alignment horizontal="center"/>
      <protection/>
    </xf>
    <xf numFmtId="176" fontId="56" fillId="5" borderId="54" xfId="0" applyNumberFormat="1" applyFont="1" applyFill="1" applyBorder="1" applyAlignment="1" applyProtection="1" quotePrefix="1">
      <alignment horizontal="center"/>
      <protection/>
    </xf>
    <xf numFmtId="4" fontId="56" fillId="5" borderId="48" xfId="0" applyNumberFormat="1" applyFont="1" applyFill="1" applyBorder="1" applyAlignment="1">
      <alignment horizontal="center"/>
    </xf>
    <xf numFmtId="4" fontId="56" fillId="5" borderId="53" xfId="0" applyNumberFormat="1" applyFont="1" applyFill="1" applyBorder="1" applyAlignment="1">
      <alignment horizontal="center"/>
    </xf>
    <xf numFmtId="176" fontId="84" fillId="4" borderId="1" xfId="0" applyNumberFormat="1" applyFont="1" applyFill="1" applyBorder="1" applyAlignment="1" applyProtection="1" quotePrefix="1">
      <alignment horizontal="center"/>
      <protection/>
    </xf>
    <xf numFmtId="4" fontId="84" fillId="4" borderId="12" xfId="0" applyNumberFormat="1" applyFont="1" applyFill="1" applyBorder="1" applyAlignment="1">
      <alignment horizontal="center"/>
    </xf>
    <xf numFmtId="0" fontId="83" fillId="4" borderId="12" xfId="0" applyFont="1" applyFill="1" applyBorder="1" applyAlignment="1">
      <alignment horizontal="center" vertical="center" wrapText="1"/>
    </xf>
    <xf numFmtId="176" fontId="84" fillId="4" borderId="38" xfId="0" applyNumberFormat="1" applyFont="1" applyFill="1" applyBorder="1" applyAlignment="1" applyProtection="1" quotePrefix="1">
      <alignment horizontal="center"/>
      <protection/>
    </xf>
    <xf numFmtId="0" fontId="38" fillId="7" borderId="12" xfId="0" applyFont="1" applyFill="1" applyBorder="1" applyAlignment="1">
      <alignment horizontal="center" vertical="center" wrapText="1"/>
    </xf>
    <xf numFmtId="0" fontId="94" fillId="7" borderId="44" xfId="0" applyFont="1" applyFill="1" applyBorder="1" applyAlignment="1">
      <alignment horizontal="center"/>
    </xf>
    <xf numFmtId="2" fontId="94" fillId="7" borderId="4" xfId="0" applyNumberFormat="1" applyFont="1" applyFill="1" applyBorder="1" applyAlignment="1">
      <alignment horizontal="center"/>
    </xf>
    <xf numFmtId="4" fontId="94" fillId="7" borderId="12" xfId="0" applyNumberFormat="1" applyFont="1" applyFill="1" applyBorder="1" applyAlignment="1">
      <alignment horizontal="center"/>
    </xf>
    <xf numFmtId="0" fontId="66" fillId="14" borderId="21" xfId="0" applyFont="1" applyFill="1" applyBorder="1" applyAlignment="1" applyProtection="1">
      <alignment horizontal="centerContinuous" vertical="center" wrapText="1"/>
      <protection/>
    </xf>
    <xf numFmtId="0" fontId="66" fillId="14" borderId="22" xfId="0" applyFont="1" applyFill="1" applyBorder="1" applyAlignment="1">
      <alignment horizontal="centerContinuous" vertical="center"/>
    </xf>
    <xf numFmtId="0" fontId="68" fillId="14" borderId="40" xfId="0" applyFont="1" applyFill="1" applyBorder="1" applyAlignment="1">
      <alignment horizontal="center"/>
    </xf>
    <xf numFmtId="0" fontId="68" fillId="14" borderId="42" xfId="0" applyFont="1" applyFill="1" applyBorder="1" applyAlignment="1">
      <alignment horizontal="center"/>
    </xf>
    <xf numFmtId="176" fontId="68" fillId="14" borderId="15" xfId="0" applyNumberFormat="1" applyFont="1" applyFill="1" applyBorder="1" applyAlignment="1" applyProtection="1" quotePrefix="1">
      <alignment horizontal="center"/>
      <protection/>
    </xf>
    <xf numFmtId="176" fontId="68" fillId="14" borderId="46" xfId="0" applyNumberFormat="1" applyFont="1" applyFill="1" applyBorder="1" applyAlignment="1" applyProtection="1" quotePrefix="1">
      <alignment horizontal="center"/>
      <protection/>
    </xf>
    <xf numFmtId="4" fontId="68" fillId="14" borderId="48" xfId="0" applyNumberFormat="1" applyFont="1" applyFill="1" applyBorder="1" applyAlignment="1">
      <alignment horizontal="center"/>
    </xf>
    <xf numFmtId="4" fontId="68" fillId="14" borderId="22" xfId="0" applyNumberFormat="1" applyFont="1" applyFill="1" applyBorder="1" applyAlignment="1">
      <alignment horizontal="center"/>
    </xf>
    <xf numFmtId="0" fontId="69" fillId="5" borderId="12" xfId="0" applyFont="1" applyFill="1" applyBorder="1" applyAlignment="1">
      <alignment horizontal="center" vertical="center" wrapText="1"/>
    </xf>
    <xf numFmtId="0" fontId="72" fillId="5" borderId="44" xfId="0" applyFont="1" applyFill="1" applyBorder="1" applyAlignment="1">
      <alignment horizontal="center"/>
    </xf>
    <xf numFmtId="176" fontId="72" fillId="5" borderId="4" xfId="0" applyNumberFormat="1" applyFont="1" applyFill="1" applyBorder="1" applyAlignment="1" applyProtection="1" quotePrefix="1">
      <alignment horizontal="center"/>
      <protection/>
    </xf>
    <xf numFmtId="4" fontId="72" fillId="5" borderId="12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172" fontId="62" fillId="3" borderId="1" xfId="0" applyNumberFormat="1" applyFont="1" applyFill="1" applyBorder="1" applyAlignment="1" applyProtection="1">
      <alignment horizontal="center"/>
      <protection/>
    </xf>
    <xf numFmtId="172" fontId="62" fillId="3" borderId="5" xfId="0" applyNumberFormat="1" applyFont="1" applyFill="1" applyBorder="1" applyAlignment="1" applyProtection="1">
      <alignment horizontal="center"/>
      <protection/>
    </xf>
    <xf numFmtId="4" fontId="68" fillId="13" borderId="12" xfId="0" applyNumberFormat="1" applyFont="1" applyFill="1" applyBorder="1" applyAlignment="1">
      <alignment horizontal="center"/>
    </xf>
    <xf numFmtId="4" fontId="93" fillId="7" borderId="12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176" fontId="85" fillId="4" borderId="5" xfId="0" applyNumberFormat="1" applyFont="1" applyFill="1" applyBorder="1" applyAlignment="1" applyProtection="1" quotePrefix="1">
      <alignment horizontal="center"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0" fontId="65" fillId="3" borderId="1" xfId="0" applyFont="1" applyFill="1" applyBorder="1" applyAlignment="1">
      <alignment horizontal="center"/>
    </xf>
    <xf numFmtId="176" fontId="65" fillId="3" borderId="1" xfId="0" applyNumberFormat="1" applyFont="1" applyFill="1" applyBorder="1" applyAlignment="1" applyProtection="1">
      <alignment horizontal="center"/>
      <protection/>
    </xf>
    <xf numFmtId="176" fontId="65" fillId="3" borderId="5" xfId="0" applyNumberFormat="1" applyFont="1" applyFill="1" applyBorder="1" applyAlignment="1" applyProtection="1">
      <alignment horizontal="center"/>
      <protection/>
    </xf>
    <xf numFmtId="7" fontId="16" fillId="0" borderId="38" xfId="0" applyNumberFormat="1" applyFont="1" applyBorder="1" applyAlignment="1">
      <alignment/>
    </xf>
    <xf numFmtId="7" fontId="18" fillId="0" borderId="44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7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7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83" fillId="15" borderId="21" xfId="0" applyFont="1" applyFill="1" applyBorder="1" applyAlignment="1" applyProtection="1">
      <alignment horizontal="centerContinuous" vertical="center" wrapText="1"/>
      <protection/>
    </xf>
    <xf numFmtId="0" fontId="83" fillId="15" borderId="22" xfId="0" applyFont="1" applyFill="1" applyBorder="1" applyAlignment="1">
      <alignment horizontal="centerContinuous" vertical="center"/>
    </xf>
    <xf numFmtId="0" fontId="85" fillId="15" borderId="40" xfId="0" applyFont="1" applyFill="1" applyBorder="1" applyAlignment="1">
      <alignment horizontal="center"/>
    </xf>
    <xf numFmtId="0" fontId="85" fillId="15" borderId="42" xfId="0" applyFont="1" applyFill="1" applyBorder="1" applyAlignment="1">
      <alignment horizontal="left"/>
    </xf>
    <xf numFmtId="176" fontId="84" fillId="15" borderId="15" xfId="0" applyNumberFormat="1" applyFont="1" applyFill="1" applyBorder="1" applyAlignment="1" applyProtection="1" quotePrefix="1">
      <alignment horizontal="center"/>
      <protection/>
    </xf>
    <xf numFmtId="176" fontId="84" fillId="15" borderId="46" xfId="0" applyNumberFormat="1" applyFont="1" applyFill="1" applyBorder="1" applyAlignment="1" applyProtection="1" quotePrefix="1">
      <alignment horizontal="center"/>
      <protection/>
    </xf>
    <xf numFmtId="176" fontId="85" fillId="15" borderId="47" xfId="0" applyNumberFormat="1" applyFont="1" applyFill="1" applyBorder="1" applyAlignment="1" applyProtection="1" quotePrefix="1">
      <alignment horizontal="center"/>
      <protection/>
    </xf>
    <xf numFmtId="176" fontId="85" fillId="15" borderId="37" xfId="0" applyNumberFormat="1" applyFont="1" applyFill="1" applyBorder="1" applyAlignment="1" applyProtection="1" quotePrefix="1">
      <alignment horizontal="center"/>
      <protection/>
    </xf>
    <xf numFmtId="0" fontId="83" fillId="16" borderId="12" xfId="0" applyFont="1" applyFill="1" applyBorder="1" applyAlignment="1">
      <alignment horizontal="center" vertical="center" wrapText="1"/>
    </xf>
    <xf numFmtId="2" fontId="84" fillId="16" borderId="1" xfId="0" applyNumberFormat="1" applyFont="1" applyFill="1" applyBorder="1" applyAlignment="1">
      <alignment horizontal="center"/>
    </xf>
    <xf numFmtId="2" fontId="85" fillId="16" borderId="5" xfId="0" applyNumberFormat="1" applyFont="1" applyFill="1" applyBorder="1" applyAlignment="1">
      <alignment horizontal="center"/>
    </xf>
    <xf numFmtId="0" fontId="83" fillId="4" borderId="12" xfId="0" applyFont="1" applyFill="1" applyBorder="1" applyAlignment="1">
      <alignment horizontal="centerContinuous" vertical="center" wrapText="1"/>
    </xf>
    <xf numFmtId="0" fontId="62" fillId="3" borderId="38" xfId="0" applyFont="1" applyFill="1" applyBorder="1" applyAlignment="1">
      <alignment horizontal="center"/>
    </xf>
    <xf numFmtId="0" fontId="85" fillId="16" borderId="38" xfId="0" applyFont="1" applyFill="1" applyBorder="1" applyAlignment="1">
      <alignment horizontal="center"/>
    </xf>
    <xf numFmtId="0" fontId="85" fillId="4" borderId="38" xfId="0" applyFont="1" applyFill="1" applyBorder="1" applyAlignment="1">
      <alignment horizontal="left"/>
    </xf>
    <xf numFmtId="0" fontId="97" fillId="0" borderId="0" xfId="0" applyFont="1" applyBorder="1" applyAlignment="1" quotePrefix="1">
      <alignment horizontal="left"/>
    </xf>
    <xf numFmtId="0" fontId="29" fillId="0" borderId="20" xfId="0" applyFont="1" applyFill="1" applyBorder="1" applyAlignment="1">
      <alignment/>
    </xf>
    <xf numFmtId="181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 quotePrefix="1">
      <alignment/>
    </xf>
    <xf numFmtId="181" fontId="53" fillId="0" borderId="0" xfId="0" applyNumberFormat="1" applyFont="1" applyBorder="1" applyAlignment="1" applyProtection="1">
      <alignment horizontal="centerContinuous"/>
      <protection/>
    </xf>
    <xf numFmtId="0" fontId="13" fillId="0" borderId="0" xfId="0" applyFont="1" applyBorder="1" applyAlignment="1">
      <alignment horizontal="center"/>
    </xf>
    <xf numFmtId="176" fontId="53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19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64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center"/>
    </xf>
    <xf numFmtId="4" fontId="13" fillId="0" borderId="21" xfId="0" applyNumberFormat="1" applyFont="1" applyBorder="1" applyAlignment="1" applyProtection="1">
      <alignment horizontal="center" vertical="center"/>
      <protection/>
    </xf>
    <xf numFmtId="7" fontId="98" fillId="0" borderId="22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99" fillId="0" borderId="0" xfId="0" applyNumberFormat="1" applyFont="1" applyBorder="1" applyAlignment="1" applyProtection="1">
      <alignment horizontal="center" vertical="center"/>
      <protection/>
    </xf>
    <xf numFmtId="176" fontId="100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0" xfId="0" applyNumberFormat="1" applyFont="1" applyFill="1" applyBorder="1" applyAlignment="1">
      <alignment horizontal="center" vertical="center"/>
    </xf>
    <xf numFmtId="180" fontId="82" fillId="10" borderId="1" xfId="0" applyNumberFormat="1" applyFont="1" applyFill="1" applyBorder="1" applyAlignment="1" applyProtection="1">
      <alignment horizontal="center"/>
      <protection/>
    </xf>
    <xf numFmtId="180" fontId="82" fillId="10" borderId="5" xfId="0" applyNumberFormat="1" applyFont="1" applyFill="1" applyBorder="1" applyAlignment="1" applyProtection="1">
      <alignment horizontal="center"/>
      <protection/>
    </xf>
    <xf numFmtId="180" fontId="62" fillId="3" borderId="1" xfId="0" applyNumberFormat="1" applyFont="1" applyFill="1" applyBorder="1" applyAlignment="1" applyProtection="1">
      <alignment horizontal="center"/>
      <protection/>
    </xf>
    <xf numFmtId="180" fontId="16" fillId="0" borderId="21" xfId="0" applyNumberFormat="1" applyFont="1" applyBorder="1" applyAlignment="1">
      <alignment horizontal="centerContinuous"/>
    </xf>
    <xf numFmtId="180" fontId="29" fillId="0" borderId="0" xfId="0" applyNumberFormat="1" applyFont="1" applyBorder="1" applyAlignment="1">
      <alignment horizontal="center"/>
    </xf>
    <xf numFmtId="7" fontId="16" fillId="0" borderId="45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01" fillId="0" borderId="0" xfId="0" applyFont="1" applyAlignment="1">
      <alignment horizontal="right" vertical="top"/>
    </xf>
    <xf numFmtId="0" fontId="102" fillId="0" borderId="0" xfId="0" applyFont="1" applyFill="1" applyAlignment="1">
      <alignment/>
    </xf>
    <xf numFmtId="0" fontId="103" fillId="0" borderId="0" xfId="0" applyFont="1" applyAlignment="1">
      <alignment horizontal="centerContinuous"/>
    </xf>
    <xf numFmtId="0" fontId="102" fillId="0" borderId="0" xfId="0" applyFont="1" applyAlignment="1">
      <alignment horizontal="centerContinuous"/>
    </xf>
    <xf numFmtId="0" fontId="102" fillId="0" borderId="0" xfId="0" applyFont="1" applyAlignment="1">
      <alignment/>
    </xf>
    <xf numFmtId="176" fontId="12" fillId="0" borderId="21" xfId="0" applyNumberFormat="1" applyFont="1" applyBorder="1" applyAlignment="1" applyProtection="1">
      <alignment horizontal="center"/>
      <protection/>
    </xf>
    <xf numFmtId="0" fontId="33" fillId="0" borderId="21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left"/>
    </xf>
    <xf numFmtId="0" fontId="25" fillId="0" borderId="0" xfId="0" applyFont="1" applyFill="1" applyBorder="1" applyAlignment="1" applyProtection="1">
      <alignment horizontal="center"/>
      <protection/>
    </xf>
    <xf numFmtId="0" fontId="16" fillId="0" borderId="55" xfId="0" applyFont="1" applyBorder="1" applyAlignment="1">
      <alignment horizontal="centerContinuous"/>
    </xf>
    <xf numFmtId="0" fontId="16" fillId="0" borderId="56" xfId="0" applyFont="1" applyBorder="1" applyAlignment="1">
      <alignment horizontal="centerContinuous"/>
    </xf>
    <xf numFmtId="180" fontId="16" fillId="0" borderId="57" xfId="0" applyNumberFormat="1" applyFont="1" applyBorder="1" applyAlignment="1">
      <alignment horizontal="center"/>
    </xf>
    <xf numFmtId="0" fontId="16" fillId="0" borderId="58" xfId="0" applyFont="1" applyBorder="1" applyAlignment="1">
      <alignment horizontal="centerContinuous"/>
    </xf>
    <xf numFmtId="0" fontId="16" fillId="0" borderId="59" xfId="0" applyFont="1" applyBorder="1" applyAlignment="1">
      <alignment horizontal="centerContinuous"/>
    </xf>
    <xf numFmtId="180" fontId="16" fillId="0" borderId="60" xfId="0" applyNumberFormat="1" applyFont="1" applyFill="1" applyBorder="1" applyAlignment="1">
      <alignment horizontal="center"/>
    </xf>
    <xf numFmtId="0" fontId="16" fillId="0" borderId="61" xfId="0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9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left"/>
      <protection/>
    </xf>
    <xf numFmtId="1" fontId="0" fillId="0" borderId="63" xfId="0" applyNumberFormat="1" applyBorder="1" applyAlignment="1">
      <alignment horizontal="center"/>
    </xf>
    <xf numFmtId="1" fontId="16" fillId="0" borderId="57" xfId="0" applyNumberFormat="1" applyFont="1" applyBorder="1" applyAlignment="1">
      <alignment horizontal="center"/>
    </xf>
    <xf numFmtId="1" fontId="16" fillId="0" borderId="60" xfId="0" applyNumberFormat="1" applyFont="1" applyFill="1" applyBorder="1" applyAlignment="1">
      <alignment horizontal="center"/>
    </xf>
    <xf numFmtId="181" fontId="12" fillId="0" borderId="22" xfId="0" applyNumberFormat="1" applyFont="1" applyBorder="1" applyAlignment="1" applyProtection="1">
      <alignment horizontal="centerContinuous"/>
      <protection/>
    </xf>
    <xf numFmtId="2" fontId="95" fillId="0" borderId="26" xfId="0" applyNumberFormat="1" applyFont="1" applyFill="1" applyBorder="1" applyAlignment="1" applyProtection="1">
      <alignment horizontal="center"/>
      <protection/>
    </xf>
    <xf numFmtId="2" fontId="21" fillId="0" borderId="26" xfId="0" applyNumberFormat="1" applyFont="1" applyFill="1" applyBorder="1" applyAlignment="1" applyProtection="1">
      <alignment horizontal="center"/>
      <protection/>
    </xf>
    <xf numFmtId="2" fontId="96" fillId="0" borderId="26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5" xfId="0" applyNumberFormat="1" applyFont="1" applyBorder="1" applyAlignment="1" applyProtection="1">
      <alignment horizontal="centerContinuous"/>
      <protection/>
    </xf>
    <xf numFmtId="0" fontId="6" fillId="0" borderId="64" xfId="0" applyFont="1" applyBorder="1" applyAlignment="1" applyProtection="1">
      <alignment horizontal="center"/>
      <protection/>
    </xf>
    <xf numFmtId="0" fontId="4" fillId="0" borderId="35" xfId="0" applyFont="1" applyBorder="1" applyAlignment="1">
      <alignment horizontal="center"/>
    </xf>
    <xf numFmtId="0" fontId="6" fillId="0" borderId="65" xfId="0" applyFont="1" applyBorder="1" applyAlignment="1" applyProtection="1">
      <alignment horizontal="center"/>
      <protection/>
    </xf>
    <xf numFmtId="0" fontId="6" fillId="0" borderId="66" xfId="0" applyFont="1" applyBorder="1" applyAlignment="1" applyProtection="1">
      <alignment horizontal="center"/>
      <protection/>
    </xf>
    <xf numFmtId="172" fontId="5" fillId="0" borderId="35" xfId="0" applyNumberFormat="1" applyFont="1" applyBorder="1" applyAlignment="1" applyProtection="1" quotePrefix="1">
      <alignment horizontal="center"/>
      <protection/>
    </xf>
    <xf numFmtId="176" fontId="62" fillId="3" borderId="35" xfId="0" applyNumberFormat="1" applyFont="1" applyFill="1" applyBorder="1" applyAlignment="1" applyProtection="1">
      <alignment horizontal="center"/>
      <protection/>
    </xf>
    <xf numFmtId="22" fontId="4" fillId="0" borderId="47" xfId="0" applyNumberFormat="1" applyFont="1" applyBorder="1" applyAlignment="1">
      <alignment horizontal="center"/>
    </xf>
    <xf numFmtId="22" fontId="4" fillId="0" borderId="35" xfId="0" applyNumberFormat="1" applyFont="1" applyBorder="1" applyAlignment="1" applyProtection="1">
      <alignment horizontal="center"/>
      <protection/>
    </xf>
    <xf numFmtId="2" fontId="4" fillId="0" borderId="35" xfId="0" applyNumberFormat="1" applyFont="1" applyFill="1" applyBorder="1" applyAlignment="1" applyProtection="1" quotePrefix="1">
      <alignment horizontal="center"/>
      <protection/>
    </xf>
    <xf numFmtId="172" fontId="4" fillId="0" borderId="35" xfId="0" applyNumberFormat="1" applyFont="1" applyFill="1" applyBorder="1" applyAlignment="1" applyProtection="1" quotePrefix="1">
      <alignment horizontal="center"/>
      <protection/>
    </xf>
    <xf numFmtId="176" fontId="4" fillId="0" borderId="66" xfId="0" applyNumberFormat="1" applyFont="1" applyBorder="1" applyAlignment="1" applyProtection="1">
      <alignment horizontal="center"/>
      <protection/>
    </xf>
    <xf numFmtId="176" fontId="4" fillId="0" borderId="65" xfId="0" applyNumberFormat="1" applyFont="1" applyBorder="1" applyAlignment="1" applyProtection="1">
      <alignment horizontal="center"/>
      <protection/>
    </xf>
    <xf numFmtId="172" fontId="85" fillId="10" borderId="35" xfId="0" applyNumberFormat="1" applyFont="1" applyFill="1" applyBorder="1" applyAlignment="1" applyProtection="1">
      <alignment horizontal="center"/>
      <protection/>
    </xf>
    <xf numFmtId="2" fontId="91" fillId="12" borderId="35" xfId="0" applyNumberFormat="1" applyFont="1" applyFill="1" applyBorder="1" applyAlignment="1">
      <alignment horizontal="center"/>
    </xf>
    <xf numFmtId="176" fontId="56" fillId="5" borderId="47" xfId="0" applyNumberFormat="1" applyFont="1" applyFill="1" applyBorder="1" applyAlignment="1" applyProtection="1" quotePrefix="1">
      <alignment horizontal="center"/>
      <protection/>
    </xf>
    <xf numFmtId="176" fontId="56" fillId="5" borderId="37" xfId="0" applyNumberFormat="1" applyFont="1" applyFill="1" applyBorder="1" applyAlignment="1" applyProtection="1" quotePrefix="1">
      <alignment horizontal="center"/>
      <protection/>
    </xf>
    <xf numFmtId="176" fontId="84" fillId="4" borderId="35" xfId="0" applyNumberFormat="1" applyFont="1" applyFill="1" applyBorder="1" applyAlignment="1" applyProtection="1" quotePrefix="1">
      <alignment horizontal="center"/>
      <protection/>
    </xf>
    <xf numFmtId="176" fontId="4" fillId="0" borderId="35" xfId="0" applyNumberFormat="1" applyFont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0" fontId="101" fillId="0" borderId="0" xfId="0" applyFont="1" applyAlignment="1">
      <alignment horizontal="right" vertical="top"/>
    </xf>
    <xf numFmtId="0" fontId="101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1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left" vertical="center"/>
      <protection/>
    </xf>
    <xf numFmtId="18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0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180" fontId="16" fillId="0" borderId="67" xfId="0" applyNumberFormat="1" applyFont="1" applyBorder="1" applyAlignment="1">
      <alignment horizontal="center"/>
    </xf>
    <xf numFmtId="1" fontId="16" fillId="0" borderId="67" xfId="0" applyNumberFormat="1" applyFont="1" applyBorder="1" applyAlignment="1">
      <alignment horizontal="center"/>
    </xf>
    <xf numFmtId="0" fontId="108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2" applyFont="1" applyFill="1" applyBorder="1" applyAlignment="1" applyProtection="1">
      <alignment horizontal="center"/>
      <protection locked="0"/>
    </xf>
    <xf numFmtId="172" fontId="4" fillId="0" borderId="1" xfId="22" applyNumberFormat="1" applyFont="1" applyFill="1" applyBorder="1" applyAlignment="1" applyProtection="1">
      <alignment horizontal="center"/>
      <protection locked="0"/>
    </xf>
    <xf numFmtId="173" fontId="4" fillId="0" borderId="1" xfId="22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13" xfId="0" applyNumberFormat="1" applyFont="1" applyFill="1" applyBorder="1" applyAlignment="1" applyProtection="1">
      <alignment horizontal="center"/>
      <protection locked="0"/>
    </xf>
    <xf numFmtId="22" fontId="4" fillId="0" borderId="2" xfId="22" applyNumberFormat="1" applyFont="1" applyFill="1" applyBorder="1" applyAlignment="1" applyProtection="1">
      <alignment horizontal="center"/>
      <protection locked="0"/>
    </xf>
    <xf numFmtId="22" fontId="4" fillId="0" borderId="10" xfId="22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13" xfId="0" applyNumberFormat="1" applyFont="1" applyBorder="1" applyAlignment="1" applyProtection="1">
      <alignment horizontal="center"/>
      <protection locked="0"/>
    </xf>
    <xf numFmtId="22" fontId="4" fillId="0" borderId="10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8" fillId="4" borderId="1" xfId="0" applyNumberFormat="1" applyFont="1" applyFill="1" applyBorder="1" applyAlignment="1" applyProtection="1">
      <alignment horizontal="center"/>
      <protection locked="0"/>
    </xf>
    <xf numFmtId="2" fontId="56" fillId="5" borderId="2" xfId="0" applyNumberFormat="1" applyFont="1" applyFill="1" applyBorder="1" applyAlignment="1" applyProtection="1">
      <alignment horizontal="center"/>
      <protection locked="0"/>
    </xf>
    <xf numFmtId="176" fontId="57" fillId="3" borderId="43" xfId="0" applyNumberFormat="1" applyFont="1" applyFill="1" applyBorder="1" applyAlignment="1" applyProtection="1" quotePrefix="1">
      <alignment horizontal="center"/>
      <protection locked="0"/>
    </xf>
    <xf numFmtId="176" fontId="57" fillId="3" borderId="39" xfId="0" applyNumberFormat="1" applyFont="1" applyFill="1" applyBorder="1" applyAlignment="1" applyProtection="1" quotePrefix="1">
      <alignment horizontal="center"/>
      <protection locked="0"/>
    </xf>
    <xf numFmtId="4" fontId="57" fillId="3" borderId="2" xfId="0" applyNumberFormat="1" applyFont="1" applyFill="1" applyBorder="1" applyAlignment="1" applyProtection="1">
      <alignment horizontal="center"/>
      <protection locked="0"/>
    </xf>
    <xf numFmtId="176" fontId="72" fillId="6" borderId="43" xfId="0" applyNumberFormat="1" applyFont="1" applyFill="1" applyBorder="1" applyAlignment="1" applyProtection="1" quotePrefix="1">
      <alignment horizontal="center"/>
      <protection locked="0"/>
    </xf>
    <xf numFmtId="176" fontId="72" fillId="6" borderId="39" xfId="0" applyNumberFormat="1" applyFont="1" applyFill="1" applyBorder="1" applyAlignment="1" applyProtection="1" quotePrefix="1">
      <alignment horizontal="center"/>
      <protection locked="0"/>
    </xf>
    <xf numFmtId="4" fontId="72" fillId="6" borderId="2" xfId="0" applyNumberFormat="1" applyFont="1" applyFill="1" applyBorder="1" applyAlignment="1" applyProtection="1">
      <alignment horizontal="center"/>
      <protection locked="0"/>
    </xf>
    <xf numFmtId="4" fontId="75" fillId="7" borderId="1" xfId="0" applyNumberFormat="1" applyFont="1" applyFill="1" applyBorder="1" applyAlignment="1" applyProtection="1">
      <alignment horizontal="center"/>
      <protection locked="0"/>
    </xf>
    <xf numFmtId="4" fontId="78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2" fontId="67" fillId="4" borderId="5" xfId="0" applyNumberFormat="1" applyFont="1" applyFill="1" applyBorder="1" applyAlignment="1" applyProtection="1">
      <alignment horizontal="center"/>
      <protection locked="0"/>
    </xf>
    <xf numFmtId="2" fontId="56" fillId="5" borderId="5" xfId="0" applyNumberFormat="1" applyFont="1" applyFill="1" applyBorder="1" applyAlignment="1" applyProtection="1">
      <alignment horizontal="center"/>
      <protection locked="0"/>
    </xf>
    <xf numFmtId="176" fontId="57" fillId="3" borderId="51" xfId="0" applyNumberFormat="1" applyFont="1" applyFill="1" applyBorder="1" applyAlignment="1" applyProtection="1" quotePrefix="1">
      <alignment horizontal="center"/>
      <protection locked="0"/>
    </xf>
    <xf numFmtId="176" fontId="57" fillId="3" borderId="68" xfId="0" applyNumberFormat="1" applyFont="1" applyFill="1" applyBorder="1" applyAlignment="1" applyProtection="1" quotePrefix="1">
      <alignment horizontal="center"/>
      <protection locked="0"/>
    </xf>
    <xf numFmtId="4" fontId="57" fillId="3" borderId="52" xfId="0" applyNumberFormat="1" applyFont="1" applyFill="1" applyBorder="1" applyAlignment="1" applyProtection="1">
      <alignment horizontal="center"/>
      <protection locked="0"/>
    </xf>
    <xf numFmtId="176" fontId="72" fillId="6" borderId="51" xfId="0" applyNumberFormat="1" applyFont="1" applyFill="1" applyBorder="1" applyAlignment="1" applyProtection="1" quotePrefix="1">
      <alignment horizontal="center"/>
      <protection locked="0"/>
    </xf>
    <xf numFmtId="176" fontId="72" fillId="6" borderId="68" xfId="0" applyNumberFormat="1" applyFont="1" applyFill="1" applyBorder="1" applyAlignment="1" applyProtection="1" quotePrefix="1">
      <alignment horizontal="center"/>
      <protection locked="0"/>
    </xf>
    <xf numFmtId="4" fontId="72" fillId="6" borderId="52" xfId="0" applyNumberFormat="1" applyFont="1" applyFill="1" applyBorder="1" applyAlignment="1" applyProtection="1">
      <alignment horizontal="center"/>
      <protection locked="0"/>
    </xf>
    <xf numFmtId="4" fontId="75" fillId="7" borderId="5" xfId="0" applyNumberFormat="1" applyFont="1" applyFill="1" applyBorder="1" applyAlignment="1" applyProtection="1">
      <alignment horizontal="center"/>
      <protection locked="0"/>
    </xf>
    <xf numFmtId="4" fontId="78" fillId="8" borderId="5" xfId="0" applyNumberFormat="1" applyFont="1" applyFill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6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35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9" xfId="0" applyNumberFormat="1" applyFont="1" applyFill="1" applyBorder="1" applyAlignment="1" applyProtection="1">
      <alignment horizontal="center"/>
      <protection locked="0"/>
    </xf>
    <xf numFmtId="2" fontId="87" fillId="7" borderId="1" xfId="0" applyNumberFormat="1" applyFont="1" applyFill="1" applyBorder="1" applyAlignment="1" applyProtection="1">
      <alignment horizontal="center"/>
      <protection locked="0"/>
    </xf>
    <xf numFmtId="2" fontId="89" fillId="5" borderId="1" xfId="0" applyNumberFormat="1" applyFont="1" applyFill="1" applyBorder="1" applyAlignment="1" applyProtection="1">
      <alignment horizontal="center"/>
      <protection locked="0"/>
    </xf>
    <xf numFmtId="176" fontId="57" fillId="3" borderId="15" xfId="0" applyNumberFormat="1" applyFont="1" applyFill="1" applyBorder="1" applyAlignment="1" applyProtection="1" quotePrefix="1">
      <alignment horizontal="center"/>
      <protection locked="0"/>
    </xf>
    <xf numFmtId="176" fontId="57" fillId="3" borderId="46" xfId="0" applyNumberFormat="1" applyFont="1" applyFill="1" applyBorder="1" applyAlignment="1" applyProtection="1" quotePrefix="1">
      <alignment horizontal="center"/>
      <protection locked="0"/>
    </xf>
    <xf numFmtId="176" fontId="91" fillId="12" borderId="15" xfId="0" applyNumberFormat="1" applyFont="1" applyFill="1" applyBorder="1" applyAlignment="1" applyProtection="1" quotePrefix="1">
      <alignment horizontal="center"/>
      <protection locked="0"/>
    </xf>
    <xf numFmtId="176" fontId="91" fillId="12" borderId="46" xfId="0" applyNumberFormat="1" applyFont="1" applyFill="1" applyBorder="1" applyAlignment="1" applyProtection="1" quotePrefix="1">
      <alignment horizontal="center"/>
      <protection locked="0"/>
    </xf>
    <xf numFmtId="176" fontId="68" fillId="13" borderId="1" xfId="0" applyNumberFormat="1" applyFont="1" applyFill="1" applyBorder="1" applyAlignment="1" applyProtection="1" quotePrefix="1">
      <alignment horizontal="center"/>
      <protection locked="0"/>
    </xf>
    <xf numFmtId="176" fontId="93" fillId="7" borderId="4" xfId="0" applyNumberFormat="1" applyFont="1" applyFill="1" applyBorder="1" applyAlignment="1" applyProtection="1" quotePrefix="1">
      <alignment horizontal="center"/>
      <protection locked="0"/>
    </xf>
    <xf numFmtId="2" fontId="87" fillId="7" borderId="5" xfId="0" applyNumberFormat="1" applyFont="1" applyFill="1" applyBorder="1" applyAlignment="1" applyProtection="1">
      <alignment horizontal="center"/>
      <protection locked="0"/>
    </xf>
    <xf numFmtId="2" fontId="89" fillId="5" borderId="5" xfId="0" applyNumberFormat="1" applyFont="1" applyFill="1" applyBorder="1" applyAlignment="1" applyProtection="1">
      <alignment horizontal="center"/>
      <protection locked="0"/>
    </xf>
    <xf numFmtId="176" fontId="57" fillId="3" borderId="47" xfId="0" applyNumberFormat="1" applyFont="1" applyFill="1" applyBorder="1" applyAlignment="1" applyProtection="1" quotePrefix="1">
      <alignment horizontal="center"/>
      <protection locked="0"/>
    </xf>
    <xf numFmtId="176" fontId="57" fillId="3" borderId="37" xfId="0" applyNumberFormat="1" applyFont="1" applyFill="1" applyBorder="1" applyAlignment="1" applyProtection="1" quotePrefix="1">
      <alignment horizontal="center"/>
      <protection locked="0"/>
    </xf>
    <xf numFmtId="176" fontId="91" fillId="12" borderId="51" xfId="0" applyNumberFormat="1" applyFont="1" applyFill="1" applyBorder="1" applyAlignment="1" applyProtection="1" quotePrefix="1">
      <alignment horizontal="center"/>
      <protection locked="0"/>
    </xf>
    <xf numFmtId="176" fontId="91" fillId="12" borderId="52" xfId="0" applyNumberFormat="1" applyFont="1" applyFill="1" applyBorder="1" applyAlignment="1" applyProtection="1" quotePrefix="1">
      <alignment horizontal="center"/>
      <protection locked="0"/>
    </xf>
    <xf numFmtId="176" fontId="68" fillId="13" borderId="5" xfId="0" applyNumberFormat="1" applyFont="1" applyFill="1" applyBorder="1" applyAlignment="1" applyProtection="1" quotePrefix="1">
      <alignment horizontal="center"/>
      <protection locked="0"/>
    </xf>
    <xf numFmtId="176" fontId="93" fillId="7" borderId="5" xfId="0" applyNumberFormat="1" applyFont="1" applyFill="1" applyBorder="1" applyAlignment="1" applyProtection="1" quotePrefix="1">
      <alignment horizontal="center"/>
      <protection locked="0"/>
    </xf>
    <xf numFmtId="176" fontId="19" fillId="0" borderId="9" xfId="0" applyNumberFormat="1" applyFont="1" applyFill="1" applyBorder="1" applyAlignment="1" applyProtection="1">
      <alignment horizontal="center"/>
      <protection locked="0"/>
    </xf>
    <xf numFmtId="172" fontId="85" fillId="11" borderId="1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2" fontId="85" fillId="11" borderId="5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22" fontId="4" fillId="0" borderId="43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2" fontId="85" fillId="10" borderId="1" xfId="0" applyNumberFormat="1" applyFont="1" applyFill="1" applyBorder="1" applyAlignment="1" applyProtection="1">
      <alignment horizontal="center"/>
      <protection locked="0"/>
    </xf>
    <xf numFmtId="2" fontId="91" fillId="12" borderId="1" xfId="0" applyNumberFormat="1" applyFont="1" applyFill="1" applyBorder="1" applyAlignment="1" applyProtection="1">
      <alignment horizontal="center"/>
      <protection locked="0"/>
    </xf>
    <xf numFmtId="176" fontId="56" fillId="5" borderId="43" xfId="0" applyNumberFormat="1" applyFont="1" applyFill="1" applyBorder="1" applyAlignment="1" applyProtection="1" quotePrefix="1">
      <alignment horizontal="center"/>
      <protection locked="0"/>
    </xf>
    <xf numFmtId="176" fontId="56" fillId="5" borderId="54" xfId="0" applyNumberFormat="1" applyFont="1" applyFill="1" applyBorder="1" applyAlignment="1" applyProtection="1" quotePrefix="1">
      <alignment horizontal="center"/>
      <protection locked="0"/>
    </xf>
    <xf numFmtId="176" fontId="84" fillId="4" borderId="1" xfId="0" applyNumberFormat="1" applyFont="1" applyFill="1" applyBorder="1" applyAlignment="1" applyProtection="1" quotePrefix="1">
      <alignment horizontal="center"/>
      <protection locked="0"/>
    </xf>
    <xf numFmtId="172" fontId="85" fillId="10" borderId="5" xfId="0" applyNumberFormat="1" applyFont="1" applyFill="1" applyBorder="1" applyAlignment="1" applyProtection="1">
      <alignment horizontal="center"/>
      <protection locked="0"/>
    </xf>
    <xf numFmtId="2" fontId="91" fillId="12" borderId="5" xfId="0" applyNumberFormat="1" applyFont="1" applyFill="1" applyBorder="1" applyAlignment="1" applyProtection="1">
      <alignment horizontal="center"/>
      <protection locked="0"/>
    </xf>
    <xf numFmtId="176" fontId="56" fillId="5" borderId="51" xfId="0" applyNumberFormat="1" applyFont="1" applyFill="1" applyBorder="1" applyAlignment="1" applyProtection="1" quotePrefix="1">
      <alignment horizontal="center"/>
      <protection locked="0"/>
    </xf>
    <xf numFmtId="176" fontId="56" fillId="5" borderId="52" xfId="0" applyNumberFormat="1" applyFont="1" applyFill="1" applyBorder="1" applyAlignment="1" applyProtection="1" quotePrefix="1">
      <alignment horizontal="center"/>
      <protection locked="0"/>
    </xf>
    <xf numFmtId="176" fontId="84" fillId="4" borderId="5" xfId="0" applyNumberFormat="1" applyFont="1" applyFill="1" applyBorder="1" applyAlignment="1" applyProtection="1" quotePrefix="1">
      <alignment horizontal="center"/>
      <protection locked="0"/>
    </xf>
    <xf numFmtId="180" fontId="0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62" fillId="3" borderId="3" xfId="0" applyNumberFormat="1" applyFont="1" applyFill="1" applyBorder="1" applyAlignment="1" applyProtection="1">
      <alignment horizontal="center"/>
      <protection locked="0"/>
    </xf>
    <xf numFmtId="2" fontId="94" fillId="7" borderId="1" xfId="0" applyNumberFormat="1" applyFont="1" applyFill="1" applyBorder="1" applyAlignment="1" applyProtection="1">
      <alignment horizontal="center"/>
      <protection locked="0"/>
    </xf>
    <xf numFmtId="176" fontId="68" fillId="14" borderId="15" xfId="0" applyNumberFormat="1" applyFont="1" applyFill="1" applyBorder="1" applyAlignment="1" applyProtection="1" quotePrefix="1">
      <alignment horizontal="center"/>
      <protection locked="0"/>
    </xf>
    <xf numFmtId="176" fontId="68" fillId="14" borderId="46" xfId="0" applyNumberFormat="1" applyFont="1" applyFill="1" applyBorder="1" applyAlignment="1" applyProtection="1" quotePrefix="1">
      <alignment horizontal="center"/>
      <protection locked="0"/>
    </xf>
    <xf numFmtId="176" fontId="72" fillId="5" borderId="4" xfId="0" applyNumberFormat="1" applyFont="1" applyFill="1" applyBorder="1" applyAlignment="1" applyProtection="1" quotePrefix="1">
      <alignment horizontal="center"/>
      <protection locked="0"/>
    </xf>
    <xf numFmtId="172" fontId="62" fillId="3" borderId="26" xfId="0" applyNumberFormat="1" applyFont="1" applyFill="1" applyBorder="1" applyAlignment="1" applyProtection="1">
      <alignment horizontal="center"/>
      <protection locked="0"/>
    </xf>
    <xf numFmtId="2" fontId="94" fillId="7" borderId="5" xfId="0" applyNumberFormat="1" applyFont="1" applyFill="1" applyBorder="1" applyAlignment="1" applyProtection="1">
      <alignment horizontal="center"/>
      <protection locked="0"/>
    </xf>
    <xf numFmtId="176" fontId="68" fillId="14" borderId="47" xfId="0" applyNumberFormat="1" applyFont="1" applyFill="1" applyBorder="1" applyAlignment="1" applyProtection="1" quotePrefix="1">
      <alignment horizontal="center"/>
      <protection locked="0"/>
    </xf>
    <xf numFmtId="176" fontId="68" fillId="14" borderId="37" xfId="0" applyNumberFormat="1" applyFont="1" applyFill="1" applyBorder="1" applyAlignment="1" applyProtection="1" quotePrefix="1">
      <alignment horizontal="center"/>
      <protection locked="0"/>
    </xf>
    <xf numFmtId="176" fontId="72" fillId="5" borderId="5" xfId="0" applyNumberFormat="1" applyFont="1" applyFill="1" applyBorder="1" applyAlignment="1" applyProtection="1" quotePrefix="1">
      <alignment horizontal="center"/>
      <protection locked="0"/>
    </xf>
    <xf numFmtId="7" fontId="21" fillId="0" borderId="1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22" fontId="4" fillId="0" borderId="4" xfId="0" applyNumberFormat="1" applyFont="1" applyFill="1" applyBorder="1" applyAlignment="1">
      <alignment horizontal="center"/>
    </xf>
    <xf numFmtId="0" fontId="109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63" fillId="0" borderId="0" xfId="0" applyFont="1" applyAlignment="1">
      <alignment/>
    </xf>
    <xf numFmtId="0" fontId="110" fillId="0" borderId="0" xfId="0" applyFont="1" applyAlignment="1">
      <alignment horizontal="centerContinuous"/>
    </xf>
    <xf numFmtId="0" fontId="63" fillId="0" borderId="0" xfId="0" applyFont="1" applyAlignment="1">
      <alignment/>
    </xf>
    <xf numFmtId="0" fontId="29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20" xfId="0" applyFont="1" applyBorder="1" applyAlignment="1">
      <alignment horizontal="centerContinuous"/>
    </xf>
    <xf numFmtId="0" fontId="29" fillId="0" borderId="20" xfId="0" applyFont="1" applyBorder="1" applyAlignment="1">
      <alignment/>
    </xf>
    <xf numFmtId="17" fontId="33" fillId="0" borderId="12" xfId="0" applyNumberFormat="1" applyFont="1" applyBorder="1" applyAlignment="1">
      <alignment horizontal="center" vertical="center"/>
    </xf>
    <xf numFmtId="0" fontId="111" fillId="0" borderId="0" xfId="0" applyFont="1" applyAlignment="1">
      <alignment vertical="center"/>
    </xf>
    <xf numFmtId="0" fontId="111" fillId="0" borderId="19" xfId="0" applyFont="1" applyBorder="1" applyAlignment="1">
      <alignment vertical="center"/>
    </xf>
    <xf numFmtId="0" fontId="111" fillId="0" borderId="10" xfId="0" applyFont="1" applyBorder="1" applyAlignment="1">
      <alignment vertical="center"/>
    </xf>
    <xf numFmtId="0" fontId="111" fillId="0" borderId="1" xfId="0" applyFont="1" applyBorder="1" applyAlignment="1">
      <alignment vertical="center"/>
    </xf>
    <xf numFmtId="0" fontId="111" fillId="17" borderId="1" xfId="0" applyFont="1" applyFill="1" applyBorder="1" applyAlignment="1">
      <alignment vertical="center"/>
    </xf>
    <xf numFmtId="0" fontId="111" fillId="0" borderId="20" xfId="0" applyFont="1" applyBorder="1" applyAlignment="1">
      <alignment vertical="center"/>
    </xf>
    <xf numFmtId="0" fontId="111" fillId="1" borderId="43" xfId="0" applyFont="1" applyFill="1" applyBorder="1" applyAlignment="1">
      <alignment horizontal="center" vertical="center"/>
    </xf>
    <xf numFmtId="0" fontId="111" fillId="1" borderId="1" xfId="0" applyFont="1" applyFill="1" applyBorder="1" applyAlignment="1">
      <alignment horizontal="center" vertical="center"/>
    </xf>
    <xf numFmtId="0" fontId="111" fillId="17" borderId="4" xfId="0" applyFont="1" applyFill="1" applyBorder="1" applyAlignment="1">
      <alignment horizontal="center" vertical="center"/>
    </xf>
    <xf numFmtId="0" fontId="111" fillId="0" borderId="15" xfId="0" applyFont="1" applyBorder="1" applyAlignment="1">
      <alignment horizontal="center" vertical="center"/>
    </xf>
    <xf numFmtId="0" fontId="111" fillId="0" borderId="4" xfId="0" applyFont="1" applyBorder="1" applyAlignment="1">
      <alignment horizontal="center" vertical="center"/>
    </xf>
    <xf numFmtId="0" fontId="111" fillId="1" borderId="15" xfId="0" applyFont="1" applyFill="1" applyBorder="1" applyAlignment="1">
      <alignment horizontal="center" vertical="center"/>
    </xf>
    <xf numFmtId="0" fontId="111" fillId="1" borderId="4" xfId="0" applyFont="1" applyFill="1" applyBorder="1" applyAlignment="1">
      <alignment horizontal="center" vertical="center"/>
    </xf>
    <xf numFmtId="0" fontId="111" fillId="0" borderId="47" xfId="0" applyFont="1" applyBorder="1" applyAlignment="1">
      <alignment horizontal="center" vertical="center"/>
    </xf>
    <xf numFmtId="0" fontId="111" fillId="0" borderId="35" xfId="0" applyFont="1" applyBorder="1" applyAlignment="1">
      <alignment horizontal="center" vertical="center"/>
    </xf>
    <xf numFmtId="0" fontId="111" fillId="17" borderId="35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right" vertical="center"/>
    </xf>
    <xf numFmtId="178" fontId="112" fillId="0" borderId="12" xfId="0" applyNumberFormat="1" applyFont="1" applyFill="1" applyBorder="1" applyAlignment="1">
      <alignment horizontal="center" vertical="center"/>
    </xf>
    <xf numFmtId="0" fontId="111" fillId="0" borderId="21" xfId="0" applyFont="1" applyFill="1" applyBorder="1" applyAlignment="1">
      <alignment horizontal="center" vertical="center"/>
    </xf>
    <xf numFmtId="0" fontId="111" fillId="0" borderId="27" xfId="0" applyFont="1" applyFill="1" applyBorder="1" applyAlignment="1">
      <alignment horizontal="center" vertical="center"/>
    </xf>
    <xf numFmtId="0" fontId="111" fillId="0" borderId="22" xfId="0" applyFont="1" applyFill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 horizontal="right" vertical="center"/>
    </xf>
    <xf numFmtId="0" fontId="112" fillId="0" borderId="0" xfId="0" applyFont="1" applyBorder="1" applyAlignment="1">
      <alignment horizontal="right" vertical="center"/>
    </xf>
    <xf numFmtId="0" fontId="111" fillId="0" borderId="12" xfId="0" applyFont="1" applyBorder="1" applyAlignment="1">
      <alignment horizontal="center" vertical="center"/>
    </xf>
    <xf numFmtId="2" fontId="112" fillId="1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13" fillId="17" borderId="63" xfId="0" applyFont="1" applyFill="1" applyBorder="1" applyAlignment="1" applyProtection="1">
      <alignment horizontal="right"/>
      <protection/>
    </xf>
    <xf numFmtId="0" fontId="0" fillId="0" borderId="27" xfId="0" applyBorder="1" applyAlignment="1">
      <alignment/>
    </xf>
    <xf numFmtId="2" fontId="17" fillId="0" borderId="27" xfId="0" applyNumberFormat="1" applyFont="1" applyBorder="1" applyAlignment="1">
      <alignment horizontal="center"/>
    </xf>
    <xf numFmtId="0" fontId="114" fillId="0" borderId="27" xfId="0" applyFont="1" applyBorder="1" applyAlignment="1">
      <alignment/>
    </xf>
    <xf numFmtId="0" fontId="0" fillId="0" borderId="22" xfId="0" applyBorder="1" applyAlignment="1">
      <alignment/>
    </xf>
    <xf numFmtId="0" fontId="29" fillId="0" borderId="24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22" fontId="4" fillId="0" borderId="10" xfId="0" applyNumberFormat="1" applyFont="1" applyBorder="1" applyAlignment="1" applyProtection="1">
      <alignment horizontal="center"/>
      <protection/>
    </xf>
    <xf numFmtId="4" fontId="4" fillId="0" borderId="0" xfId="0" applyNumberFormat="1" applyFont="1" applyAlignment="1">
      <alignment/>
    </xf>
    <xf numFmtId="0" fontId="111" fillId="0" borderId="31" xfId="0" applyFont="1" applyFill="1" applyBorder="1" applyAlignment="1">
      <alignment vertical="center"/>
    </xf>
    <xf numFmtId="0" fontId="111" fillId="0" borderId="31" xfId="0" applyFont="1" applyFill="1" applyBorder="1" applyAlignment="1">
      <alignment horizontal="center" vertical="center"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4" fillId="2" borderId="1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3" fillId="0" borderId="22" xfId="0" applyFon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6" fillId="0" borderId="0" xfId="0" applyNumberFormat="1" applyFont="1" applyFill="1" applyBorder="1" applyAlignment="1">
      <alignment horizontal="center"/>
    </xf>
    <xf numFmtId="7" fontId="16" fillId="0" borderId="3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76200</xdr:rowOff>
    </xdr:from>
    <xdr:to>
      <xdr:col>2</xdr:col>
      <xdr:colOff>647700</xdr:colOff>
      <xdr:row>2</xdr:row>
      <xdr:rowOff>9525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7620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DX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DX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DX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DX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DX15">
            <v>37956</v>
          </cell>
          <cell r="DY15">
            <v>37987</v>
          </cell>
          <cell r="DZ15">
            <v>38018</v>
          </cell>
          <cell r="EA15">
            <v>38047</v>
          </cell>
          <cell r="EB15">
            <v>38078</v>
          </cell>
          <cell r="EC15">
            <v>38108</v>
          </cell>
          <cell r="ED15">
            <v>38139</v>
          </cell>
          <cell r="EE15">
            <v>38169</v>
          </cell>
          <cell r="EF15">
            <v>38200</v>
          </cell>
          <cell r="EG15">
            <v>38231</v>
          </cell>
          <cell r="EH15">
            <v>38261</v>
          </cell>
          <cell r="EI15">
            <v>38292</v>
          </cell>
          <cell r="EJ15">
            <v>38322</v>
          </cell>
          <cell r="EK15">
            <v>38353</v>
          </cell>
        </row>
        <row r="17">
          <cell r="DZ17">
            <v>1</v>
          </cell>
          <cell r="ED17">
            <v>1</v>
          </cell>
        </row>
        <row r="18">
          <cell r="ED18">
            <v>1</v>
          </cell>
        </row>
        <row r="20">
          <cell r="EE20">
            <v>1</v>
          </cell>
        </row>
        <row r="23">
          <cell r="EH23">
            <v>4</v>
          </cell>
          <cell r="EI23">
            <v>1</v>
          </cell>
        </row>
        <row r="24">
          <cell r="DZ24">
            <v>1</v>
          </cell>
        </row>
        <row r="26">
          <cell r="ED26">
            <v>1</v>
          </cell>
          <cell r="EJ26">
            <v>2</v>
          </cell>
        </row>
        <row r="27">
          <cell r="EE27">
            <v>1</v>
          </cell>
        </row>
        <row r="33">
          <cell r="EE33">
            <v>1</v>
          </cell>
        </row>
        <row r="35">
          <cell r="EC35">
            <v>1</v>
          </cell>
        </row>
        <row r="37">
          <cell r="EJ37">
            <v>1</v>
          </cell>
        </row>
        <row r="40">
          <cell r="EI40">
            <v>1</v>
          </cell>
        </row>
        <row r="43">
          <cell r="ED43">
            <v>1</v>
          </cell>
        </row>
        <row r="46">
          <cell r="DX46" t="str">
            <v>XXXX</v>
          </cell>
          <cell r="DY46" t="str">
            <v>XXXX</v>
          </cell>
          <cell r="DZ46" t="str">
            <v>XXXX</v>
          </cell>
          <cell r="EA46" t="str">
            <v>XXXX</v>
          </cell>
          <cell r="EB46" t="str">
            <v>XXXX</v>
          </cell>
          <cell r="EC46" t="str">
            <v>XXXX</v>
          </cell>
          <cell r="ED46" t="str">
            <v>XXXX</v>
          </cell>
          <cell r="EE46" t="str">
            <v>XXXX</v>
          </cell>
          <cell r="EF46" t="str">
            <v>XXXX</v>
          </cell>
          <cell r="EG46" t="str">
            <v>XXXX</v>
          </cell>
          <cell r="EH46" t="str">
            <v>XXXX</v>
          </cell>
          <cell r="EI46" t="str">
            <v>XXXX</v>
          </cell>
          <cell r="EJ46" t="str">
            <v>XXXX</v>
          </cell>
        </row>
        <row r="48">
          <cell r="ED48">
            <v>1</v>
          </cell>
        </row>
        <row r="50">
          <cell r="EJ50">
            <v>1</v>
          </cell>
        </row>
        <row r="51">
          <cell r="DZ51">
            <v>1</v>
          </cell>
          <cell r="EA51">
            <v>1</v>
          </cell>
          <cell r="EJ51">
            <v>2</v>
          </cell>
        </row>
        <row r="54">
          <cell r="DX54" t="str">
            <v>XXXX</v>
          </cell>
          <cell r="DY54" t="str">
            <v>XXXX</v>
          </cell>
          <cell r="DZ54" t="str">
            <v>XXXX</v>
          </cell>
          <cell r="EA54" t="str">
            <v>XXXX</v>
          </cell>
          <cell r="EB54" t="str">
            <v>XXXX</v>
          </cell>
          <cell r="EC54" t="str">
            <v>XXXX</v>
          </cell>
          <cell r="ED54" t="str">
            <v>XXXX</v>
          </cell>
          <cell r="EE54" t="str">
            <v>XXXX</v>
          </cell>
          <cell r="EF54" t="str">
            <v>XXXX</v>
          </cell>
          <cell r="EG54" t="str">
            <v>XXXX</v>
          </cell>
          <cell r="EH54" t="str">
            <v>XXXX</v>
          </cell>
          <cell r="EI54" t="str">
            <v>XXXX</v>
          </cell>
          <cell r="EJ54" t="str">
            <v>XXXX</v>
          </cell>
        </row>
        <row r="57">
          <cell r="DX57" t="str">
            <v>XXXX</v>
          </cell>
          <cell r="DY57" t="str">
            <v>XXXX</v>
          </cell>
          <cell r="DZ57" t="str">
            <v>XXXX</v>
          </cell>
          <cell r="EA57" t="str">
            <v>XXXX</v>
          </cell>
          <cell r="EB57" t="str">
            <v>XXXX</v>
          </cell>
          <cell r="EC57" t="str">
            <v>XXXX</v>
          </cell>
          <cell r="ED57" t="str">
            <v>XXXX</v>
          </cell>
          <cell r="EE57" t="str">
            <v>XXXX</v>
          </cell>
          <cell r="EF57" t="str">
            <v>XXXX</v>
          </cell>
          <cell r="EG57" t="str">
            <v>XXXX</v>
          </cell>
          <cell r="EH57" t="str">
            <v>XXXX</v>
          </cell>
          <cell r="EI57" t="str">
            <v>XXXX</v>
          </cell>
          <cell r="EJ57" t="str">
            <v>XXXX</v>
          </cell>
        </row>
        <row r="59">
          <cell r="EB59">
            <v>1</v>
          </cell>
        </row>
        <row r="61">
          <cell r="ED61">
            <v>1</v>
          </cell>
          <cell r="EI61">
            <v>1</v>
          </cell>
        </row>
        <row r="62">
          <cell r="EC62">
            <v>1</v>
          </cell>
          <cell r="EI62">
            <v>2</v>
          </cell>
        </row>
        <row r="65">
          <cell r="EB65">
            <v>1</v>
          </cell>
        </row>
        <row r="67">
          <cell r="EI67">
            <v>1</v>
          </cell>
        </row>
        <row r="68">
          <cell r="EC68">
            <v>1</v>
          </cell>
        </row>
        <row r="69">
          <cell r="EA69">
            <v>1</v>
          </cell>
        </row>
        <row r="71">
          <cell r="EA71">
            <v>1</v>
          </cell>
          <cell r="EC71">
            <v>2</v>
          </cell>
          <cell r="EF71">
            <v>1</v>
          </cell>
        </row>
        <row r="72">
          <cell r="EI72">
            <v>1</v>
          </cell>
        </row>
        <row r="76">
          <cell r="DZ76">
            <v>1</v>
          </cell>
          <cell r="EA76">
            <v>1</v>
          </cell>
        </row>
        <row r="78">
          <cell r="EJ78">
            <v>1</v>
          </cell>
        </row>
        <row r="83">
          <cell r="DZ83">
            <v>1</v>
          </cell>
        </row>
        <row r="85">
          <cell r="EE85">
            <v>1</v>
          </cell>
        </row>
        <row r="87">
          <cell r="DX87" t="str">
            <v>XXXX</v>
          </cell>
          <cell r="DY87" t="str">
            <v>XXXX</v>
          </cell>
          <cell r="DZ87" t="str">
            <v>XXXX</v>
          </cell>
          <cell r="EA87" t="str">
            <v>XXXX</v>
          </cell>
          <cell r="EB87" t="str">
            <v>XXXX</v>
          </cell>
          <cell r="EC87" t="str">
            <v>XXXX</v>
          </cell>
          <cell r="ED87" t="str">
            <v>XXXX</v>
          </cell>
          <cell r="EE87" t="str">
            <v>XXXX</v>
          </cell>
          <cell r="EF87" t="str">
            <v>XXXX</v>
          </cell>
          <cell r="EG87" t="str">
            <v>XXXX</v>
          </cell>
          <cell r="EH87" t="str">
            <v>XXXX</v>
          </cell>
          <cell r="EI87" t="str">
            <v>XXXX</v>
          </cell>
          <cell r="EJ87" t="str">
            <v>XXXX</v>
          </cell>
        </row>
        <row r="100">
          <cell r="DX100">
            <v>0.6</v>
          </cell>
          <cell r="DY100">
            <v>0.51</v>
          </cell>
          <cell r="DZ100">
            <v>0.47</v>
          </cell>
          <cell r="EA100">
            <v>0.49</v>
          </cell>
          <cell r="EB100">
            <v>0.42</v>
          </cell>
          <cell r="EC100">
            <v>0.41</v>
          </cell>
          <cell r="ED100">
            <v>0.44</v>
          </cell>
          <cell r="EE100">
            <v>0.48</v>
          </cell>
          <cell r="EF100">
            <v>0.47</v>
          </cell>
          <cell r="EG100">
            <v>0.43</v>
          </cell>
          <cell r="EH100">
            <v>0.37</v>
          </cell>
          <cell r="EI100">
            <v>0.38</v>
          </cell>
          <cell r="EJ100">
            <v>0.39</v>
          </cell>
          <cell r="EK100">
            <v>0.47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7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16" customWidth="1"/>
    <col min="2" max="2" width="7.7109375" style="16" customWidth="1"/>
    <col min="3" max="3" width="9.140625" style="16" customWidth="1"/>
    <col min="4" max="4" width="10.7109375" style="16" customWidth="1"/>
    <col min="5" max="5" width="9.57421875" style="16" customWidth="1"/>
    <col min="6" max="6" width="17.00390625" style="16" customWidth="1"/>
    <col min="7" max="7" width="19.8515625" style="16" customWidth="1"/>
    <col min="8" max="8" width="14.00390625" style="16" customWidth="1"/>
    <col min="9" max="9" width="15.710937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77" customFormat="1" ht="26.25">
      <c r="B1" s="78"/>
      <c r="E1" s="13"/>
      <c r="K1" s="625"/>
    </row>
    <row r="2" spans="2:10" s="77" customFormat="1" ht="26.25">
      <c r="B2" s="78" t="s">
        <v>206</v>
      </c>
      <c r="C2" s="79"/>
      <c r="D2" s="80"/>
      <c r="E2" s="80"/>
      <c r="F2" s="80"/>
      <c r="G2" s="80"/>
      <c r="H2" s="80"/>
      <c r="I2" s="80"/>
      <c r="J2" s="80"/>
    </row>
    <row r="3" spans="3:19" ht="12.75">
      <c r="C3"/>
      <c r="D3" s="81"/>
      <c r="E3" s="81"/>
      <c r="F3" s="81"/>
      <c r="G3" s="81"/>
      <c r="H3" s="81"/>
      <c r="I3" s="81"/>
      <c r="J3" s="81"/>
      <c r="P3" s="14"/>
      <c r="Q3" s="14"/>
      <c r="R3" s="14"/>
      <c r="S3" s="14"/>
    </row>
    <row r="4" spans="1:19" s="84" customFormat="1" ht="11.25">
      <c r="A4" s="82" t="s">
        <v>46</v>
      </c>
      <c r="B4" s="83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84" customFormat="1" ht="11.25">
      <c r="A5" s="82" t="s">
        <v>47</v>
      </c>
      <c r="B5" s="83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2:19" s="77" customFormat="1" ht="11.25" customHeight="1">
      <c r="B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2:19" s="10" customFormat="1" ht="21">
      <c r="B7" s="249" t="s">
        <v>0</v>
      </c>
      <c r="C7" s="88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49" t="s">
        <v>1</v>
      </c>
      <c r="C9" s="88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90"/>
      <c r="E10" s="90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49" t="s">
        <v>200</v>
      </c>
      <c r="C11" s="4"/>
      <c r="D11" s="89"/>
      <c r="E11" s="89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91" customFormat="1" ht="16.5" thickBot="1">
      <c r="D12" s="92"/>
      <c r="E12" s="92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2:19" s="91" customFormat="1" ht="16.5" thickTop="1">
      <c r="B13" s="94"/>
      <c r="C13" s="95"/>
      <c r="D13" s="95"/>
      <c r="E13" s="511"/>
      <c r="F13" s="95"/>
      <c r="G13" s="95"/>
      <c r="H13" s="95"/>
      <c r="I13" s="95"/>
      <c r="J13" s="96"/>
      <c r="K13" s="93"/>
      <c r="L13" s="93"/>
      <c r="M13" s="93"/>
      <c r="N13" s="93"/>
      <c r="O13" s="93"/>
      <c r="P13" s="93"/>
      <c r="Q13" s="93"/>
      <c r="R13" s="93"/>
      <c r="S13" s="93"/>
    </row>
    <row r="14" spans="2:19" s="15" customFormat="1" ht="19.5">
      <c r="B14" s="97" t="s">
        <v>174</v>
      </c>
      <c r="C14" s="98"/>
      <c r="D14" s="99"/>
      <c r="E14" s="512"/>
      <c r="F14" s="100"/>
      <c r="G14" s="100"/>
      <c r="H14" s="100"/>
      <c r="I14" s="101"/>
      <c r="J14" s="102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19" s="15" customFormat="1" ht="13.5" customHeight="1">
      <c r="B15" s="104"/>
      <c r="C15" s="105"/>
      <c r="D15" s="510"/>
      <c r="E15" s="513"/>
      <c r="F15" s="53"/>
      <c r="G15" s="53"/>
      <c r="H15" s="53"/>
      <c r="I15" s="103"/>
      <c r="J15" s="106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19" s="15" customFormat="1" ht="19.5">
      <c r="B16" s="104"/>
      <c r="C16" s="107" t="s">
        <v>48</v>
      </c>
      <c r="D16" s="510" t="s">
        <v>49</v>
      </c>
      <c r="E16" s="513"/>
      <c r="F16" s="53"/>
      <c r="G16" s="53"/>
      <c r="H16" s="53"/>
      <c r="I16" s="108"/>
      <c r="J16" s="106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 s="15" customFormat="1" ht="19.5">
      <c r="B17" s="104"/>
      <c r="C17" s="107"/>
      <c r="D17" s="510">
        <v>11</v>
      </c>
      <c r="E17" s="514" t="s">
        <v>50</v>
      </c>
      <c r="F17" s="53"/>
      <c r="G17" s="53"/>
      <c r="H17" s="53"/>
      <c r="I17" s="108">
        <f>'LI2-0501'!AC43</f>
        <v>111745.41764791228</v>
      </c>
      <c r="J17" s="106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 ht="12.75" customHeight="1">
      <c r="B18" s="109"/>
      <c r="C18" s="110"/>
      <c r="D18" s="510"/>
      <c r="E18" s="515"/>
      <c r="F18" s="111"/>
      <c r="G18" s="111"/>
      <c r="H18" s="111"/>
      <c r="I18" s="112"/>
      <c r="J18" s="113"/>
      <c r="K18" s="14"/>
      <c r="L18" s="14"/>
      <c r="M18" s="14"/>
      <c r="N18" s="14"/>
      <c r="O18" s="14"/>
      <c r="P18" s="14"/>
      <c r="Q18" s="14"/>
      <c r="R18" s="14"/>
      <c r="S18" s="14"/>
    </row>
    <row r="19" spans="2:19" s="15" customFormat="1" ht="19.5">
      <c r="B19" s="104"/>
      <c r="C19" s="107" t="s">
        <v>51</v>
      </c>
      <c r="D19" s="517" t="s">
        <v>52</v>
      </c>
      <c r="E19" s="513"/>
      <c r="F19" s="53"/>
      <c r="G19" s="53"/>
      <c r="H19" s="53"/>
      <c r="I19" s="108"/>
      <c r="J19" s="106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 s="15" customFormat="1" ht="19.5">
      <c r="B20" s="104"/>
      <c r="C20" s="107"/>
      <c r="D20" s="510">
        <v>21</v>
      </c>
      <c r="E20" s="514" t="s">
        <v>53</v>
      </c>
      <c r="F20" s="53"/>
      <c r="G20" s="53"/>
      <c r="H20" s="53"/>
      <c r="I20" s="108"/>
      <c r="J20" s="106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 s="15" customFormat="1" ht="19.5">
      <c r="B21" s="104"/>
      <c r="C21" s="107"/>
      <c r="D21" s="510"/>
      <c r="E21" s="516">
        <v>211</v>
      </c>
      <c r="F21" s="13" t="s">
        <v>50</v>
      </c>
      <c r="G21" s="53"/>
      <c r="H21" s="53"/>
      <c r="I21" s="108">
        <f>'TR-0501'!AA44</f>
        <v>38181.22</v>
      </c>
      <c r="J21" s="106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 s="15" customFormat="1" ht="19.5">
      <c r="B22" s="104"/>
      <c r="C22" s="107"/>
      <c r="D22" s="510"/>
      <c r="E22" s="516">
        <v>212</v>
      </c>
      <c r="F22" s="13" t="s">
        <v>54</v>
      </c>
      <c r="G22" s="53"/>
      <c r="H22" s="53"/>
      <c r="I22" s="108">
        <f>'TRAFO-TIBA'!AA41</f>
        <v>806.41</v>
      </c>
      <c r="J22" s="106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 s="15" customFormat="1" ht="19.5">
      <c r="B23" s="104"/>
      <c r="C23" s="107"/>
      <c r="D23" s="510">
        <v>22</v>
      </c>
      <c r="E23" s="514" t="s">
        <v>55</v>
      </c>
      <c r="F23" s="53"/>
      <c r="G23" s="53"/>
      <c r="H23" s="53"/>
      <c r="I23" s="108"/>
      <c r="J23" s="106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 s="15" customFormat="1" ht="19.5">
      <c r="B24" s="104"/>
      <c r="C24" s="107"/>
      <c r="D24" s="510"/>
      <c r="E24" s="516">
        <v>221</v>
      </c>
      <c r="F24" s="13" t="s">
        <v>50</v>
      </c>
      <c r="G24" s="53"/>
      <c r="H24" s="53"/>
      <c r="I24" s="108">
        <f>'SA-0501'!T44</f>
        <v>18808.07</v>
      </c>
      <c r="J24" s="106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 s="15" customFormat="1" ht="19.5">
      <c r="B25" s="104"/>
      <c r="C25" s="107"/>
      <c r="D25" s="510"/>
      <c r="E25" s="516">
        <v>222</v>
      </c>
      <c r="F25" s="13" t="s">
        <v>54</v>
      </c>
      <c r="G25" s="53"/>
      <c r="H25" s="53"/>
      <c r="I25" s="108">
        <f>'SALIDA-TIBA'!T43</f>
        <v>2893.12</v>
      </c>
      <c r="J25" s="106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 ht="12.75" customHeight="1">
      <c r="B26" s="109"/>
      <c r="C26" s="110"/>
      <c r="D26" s="510"/>
      <c r="E26" s="515"/>
      <c r="F26" s="111"/>
      <c r="G26" s="111"/>
      <c r="H26" s="111"/>
      <c r="I26" s="112"/>
      <c r="J26" s="113"/>
      <c r="K26" s="14"/>
      <c r="L26" s="14"/>
      <c r="M26" s="14"/>
      <c r="N26" s="14"/>
      <c r="O26" s="14"/>
      <c r="P26" s="14"/>
      <c r="Q26" s="14"/>
      <c r="R26" s="14"/>
      <c r="S26" s="14"/>
    </row>
    <row r="27" spans="2:19" s="15" customFormat="1" ht="19.5">
      <c r="B27" s="104"/>
      <c r="C27" s="107" t="s">
        <v>56</v>
      </c>
      <c r="D27" s="517" t="s">
        <v>57</v>
      </c>
      <c r="E27" s="513"/>
      <c r="F27" s="53"/>
      <c r="G27" s="53"/>
      <c r="H27" s="53"/>
      <c r="I27" s="108"/>
      <c r="J27" s="106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 s="15" customFormat="1" ht="19.5">
      <c r="B28" s="104"/>
      <c r="C28" s="107"/>
      <c r="D28" s="510">
        <v>31</v>
      </c>
      <c r="E28" s="514" t="s">
        <v>50</v>
      </c>
      <c r="F28" s="53"/>
      <c r="G28" s="53"/>
      <c r="H28" s="53"/>
      <c r="I28" s="108">
        <f>'RE-0501'!U41</f>
        <v>2598.84</v>
      </c>
      <c r="J28" s="106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 s="15" customFormat="1" ht="12.75" customHeight="1">
      <c r="B29" s="104"/>
      <c r="C29" s="107"/>
      <c r="D29" s="510"/>
      <c r="E29" s="514"/>
      <c r="F29" s="53"/>
      <c r="G29" s="53"/>
      <c r="H29" s="53"/>
      <c r="I29" s="108"/>
      <c r="J29" s="106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 s="15" customFormat="1" ht="19.5">
      <c r="B30" s="104"/>
      <c r="C30" s="107" t="s">
        <v>58</v>
      </c>
      <c r="D30" s="517" t="s">
        <v>59</v>
      </c>
      <c r="E30" s="513"/>
      <c r="F30" s="53"/>
      <c r="G30" s="53"/>
      <c r="H30" s="53"/>
      <c r="I30" s="108"/>
      <c r="J30" s="106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 s="15" customFormat="1" ht="19.5">
      <c r="B31" s="104"/>
      <c r="C31" s="107"/>
      <c r="D31" s="510">
        <v>43</v>
      </c>
      <c r="E31" s="514" t="s">
        <v>60</v>
      </c>
      <c r="F31" s="53"/>
      <c r="G31" s="53"/>
      <c r="H31" s="53"/>
      <c r="I31" s="108">
        <f>'SU (TIBA)'!J69</f>
        <v>2412.0409</v>
      </c>
      <c r="J31" s="106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 s="15" customFormat="1" ht="20.25" thickBot="1">
      <c r="B32" s="104"/>
      <c r="C32" s="105"/>
      <c r="D32" s="510"/>
      <c r="E32" s="513"/>
      <c r="F32" s="53"/>
      <c r="G32" s="53"/>
      <c r="H32" s="53"/>
      <c r="I32" s="103"/>
      <c r="J32" s="106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 s="15" customFormat="1" ht="20.25" thickBot="1" thickTop="1">
      <c r="B33" s="104"/>
      <c r="C33" s="107"/>
      <c r="D33" s="107"/>
      <c r="F33" s="114" t="s">
        <v>61</v>
      </c>
      <c r="G33" s="115">
        <f>SUM(I15:I33)</f>
        <v>177445.11854791228</v>
      </c>
      <c r="H33" s="248"/>
      <c r="J33" s="106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 s="15" customFormat="1" ht="9.75" customHeight="1" thickTop="1">
      <c r="B34" s="104"/>
      <c r="C34" s="107"/>
      <c r="D34" s="107"/>
      <c r="F34" s="544"/>
      <c r="G34" s="248"/>
      <c r="H34" s="248"/>
      <c r="J34" s="106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 s="15" customFormat="1" ht="18.75">
      <c r="B35" s="104"/>
      <c r="C35" s="638" t="s">
        <v>170</v>
      </c>
      <c r="D35" s="107"/>
      <c r="F35" s="544"/>
      <c r="G35" s="248"/>
      <c r="H35" s="248"/>
      <c r="J35" s="106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 s="91" customFormat="1" ht="10.5" customHeight="1" thickBot="1">
      <c r="B36" s="116"/>
      <c r="C36" s="117"/>
      <c r="D36" s="117"/>
      <c r="E36" s="118"/>
      <c r="F36" s="118"/>
      <c r="G36" s="118"/>
      <c r="H36" s="118"/>
      <c r="I36" s="118"/>
      <c r="J36" s="119"/>
      <c r="K36" s="93"/>
      <c r="L36" s="93"/>
      <c r="M36" s="120"/>
      <c r="N36" s="121"/>
      <c r="O36" s="121"/>
      <c r="P36" s="122"/>
      <c r="Q36" s="123"/>
      <c r="R36" s="93"/>
      <c r="S36" s="93"/>
    </row>
    <row r="37" spans="4:19" ht="13.5" thickTop="1">
      <c r="D37" s="14"/>
      <c r="F37" s="14"/>
      <c r="G37" s="14"/>
      <c r="H37" s="14"/>
      <c r="I37" s="14"/>
      <c r="J37" s="14"/>
      <c r="K37" s="14"/>
      <c r="L37" s="14"/>
      <c r="M37" s="50"/>
      <c r="N37" s="124"/>
      <c r="O37" s="124"/>
      <c r="P37" s="14"/>
      <c r="Q37" s="2"/>
      <c r="R37" s="14"/>
      <c r="S37" s="14"/>
    </row>
    <row r="38" spans="4:19" ht="12.75">
      <c r="D38" s="14"/>
      <c r="F38" s="14"/>
      <c r="G38" s="14"/>
      <c r="H38" s="14"/>
      <c r="I38" s="14"/>
      <c r="J38" s="14"/>
      <c r="K38" s="14"/>
      <c r="L38" s="14"/>
      <c r="M38" s="14"/>
      <c r="N38" s="125"/>
      <c r="O38" s="125"/>
      <c r="P38" s="126"/>
      <c r="Q38" s="2"/>
      <c r="R38" s="14"/>
      <c r="S38" s="14"/>
    </row>
    <row r="39" spans="4:19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25"/>
      <c r="O39" s="125"/>
      <c r="P39" s="126"/>
      <c r="Q39" s="2"/>
      <c r="R39" s="14"/>
      <c r="S39" s="14"/>
    </row>
    <row r="40" spans="4:19" ht="12.75">
      <c r="D40" s="14"/>
      <c r="E40" s="14"/>
      <c r="L40" s="14"/>
      <c r="M40" s="14"/>
      <c r="N40" s="14"/>
      <c r="O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16:19" ht="12.75">
      <c r="P46" s="14"/>
      <c r="Q46" s="14"/>
      <c r="R46" s="14"/>
      <c r="S46" s="14"/>
    </row>
    <row r="47" spans="16:19" ht="12.75">
      <c r="P47" s="14"/>
      <c r="Q47" s="14"/>
      <c r="R47" s="14"/>
      <c r="S47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5"/>
  <dimension ref="B1:GM113"/>
  <sheetViews>
    <sheetView tabSelected="1" zoomScale="75" zoomScaleNormal="75" workbookViewId="0" topLeftCell="E1">
      <selection activeCell="F2" sqref="F2"/>
    </sheetView>
  </sheetViews>
  <sheetFormatPr defaultColWidth="11.421875" defaultRowHeight="12.75"/>
  <cols>
    <col min="1" max="1" width="10.7109375" style="16" hidden="1" customWidth="1"/>
    <col min="2" max="2" width="15.8515625" style="16" customWidth="1"/>
    <col min="3" max="3" width="10.8515625" style="16" customWidth="1"/>
    <col min="4" max="4" width="42.421875" style="16" bestFit="1" customWidth="1"/>
    <col min="5" max="5" width="18.00390625" style="16" bestFit="1" customWidth="1"/>
    <col min="6" max="6" width="15.57421875" style="16" customWidth="1"/>
    <col min="7" max="7" width="7.7109375" style="16" hidden="1" customWidth="1"/>
    <col min="8" max="8" width="9.00390625" style="16" customWidth="1"/>
    <col min="9" max="10" width="8.7109375" style="16" customWidth="1"/>
    <col min="11" max="11" width="10.28125" style="16" customWidth="1"/>
    <col min="12" max="21" width="8.7109375" style="16" customWidth="1"/>
    <col min="22" max="22" width="14.7109375" style="16" customWidth="1"/>
    <col min="23" max="16384" width="11.421875" style="16" customWidth="1"/>
  </cols>
  <sheetData>
    <row r="1" spans="22:23" ht="45" customHeight="1">
      <c r="V1" s="755"/>
      <c r="W1" s="756"/>
    </row>
    <row r="2" spans="2:23" s="77" customFormat="1" ht="26.25">
      <c r="B2" s="238" t="str">
        <f>'tot-0501'!B2</f>
        <v>ANEXO I a la Resolución E.N.R.E. N°             586 /2007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757"/>
    </row>
    <row r="3" spans="3:23" s="84" customFormat="1" ht="11.25">
      <c r="C3" s="82" t="s">
        <v>46</v>
      </c>
      <c r="V3" s="758"/>
      <c r="W3" s="758"/>
    </row>
    <row r="4" spans="3:23" s="84" customFormat="1" ht="11.25">
      <c r="C4" s="82" t="s">
        <v>47</v>
      </c>
      <c r="V4" s="158"/>
      <c r="W4" s="758"/>
    </row>
    <row r="5" spans="2:179" s="759" customFormat="1" ht="23.25">
      <c r="B5" s="359" t="s">
        <v>189</v>
      </c>
      <c r="C5" s="359"/>
      <c r="D5" s="760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761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59"/>
      <c r="DY5" s="359"/>
      <c r="DZ5" s="359"/>
      <c r="EA5" s="359"/>
      <c r="EB5" s="359"/>
      <c r="EC5" s="359"/>
      <c r="ED5" s="359"/>
      <c r="EE5" s="359"/>
      <c r="EF5" s="359"/>
      <c r="EG5" s="359"/>
      <c r="EH5" s="359"/>
      <c r="EI5" s="359"/>
      <c r="EJ5" s="359"/>
      <c r="EK5" s="359"/>
      <c r="EL5" s="359"/>
      <c r="EM5" s="359"/>
      <c r="EN5" s="359"/>
      <c r="EO5" s="359"/>
      <c r="EP5" s="359"/>
      <c r="EQ5" s="359"/>
      <c r="ER5" s="359"/>
      <c r="ES5" s="359"/>
      <c r="ET5" s="359"/>
      <c r="EU5" s="359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59"/>
      <c r="FG5" s="359"/>
      <c r="FH5" s="359"/>
      <c r="FI5" s="359"/>
      <c r="FJ5" s="359"/>
      <c r="FK5" s="359"/>
      <c r="FL5" s="359"/>
      <c r="FM5" s="359"/>
      <c r="FN5" s="359"/>
      <c r="FO5" s="359"/>
      <c r="FP5" s="359"/>
      <c r="FQ5" s="359"/>
      <c r="FR5" s="359"/>
      <c r="FS5" s="359"/>
      <c r="FT5" s="359"/>
      <c r="FU5" s="359"/>
      <c r="FV5" s="359"/>
      <c r="FW5" s="359"/>
    </row>
    <row r="6" spans="2:179" s="91" customFormat="1" ht="14.25" customHeight="1"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762"/>
      <c r="W6" s="76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2"/>
      <c r="FL6" s="302"/>
      <c r="FM6" s="302"/>
      <c r="FN6" s="302"/>
      <c r="FO6" s="302"/>
      <c r="FP6" s="302"/>
      <c r="FQ6" s="302"/>
      <c r="FR6" s="302"/>
      <c r="FS6" s="302"/>
      <c r="FT6" s="302"/>
      <c r="FU6" s="302"/>
      <c r="FV6" s="302"/>
      <c r="FW6" s="302"/>
    </row>
    <row r="7" spans="2:179" s="763" customFormat="1" ht="23.25">
      <c r="B7" s="359" t="s">
        <v>1</v>
      </c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4"/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0"/>
      <c r="AL7" s="760"/>
      <c r="AM7" s="760"/>
      <c r="AN7" s="760"/>
      <c r="AO7" s="760"/>
      <c r="AP7" s="760"/>
      <c r="AQ7" s="760"/>
      <c r="AR7" s="760"/>
      <c r="AS7" s="760"/>
      <c r="AT7" s="760"/>
      <c r="AU7" s="760"/>
      <c r="AV7" s="760"/>
      <c r="AW7" s="760"/>
      <c r="AX7" s="760"/>
      <c r="AY7" s="760"/>
      <c r="AZ7" s="760"/>
      <c r="BA7" s="760"/>
      <c r="BB7" s="760"/>
      <c r="BC7" s="760"/>
      <c r="BD7" s="760"/>
      <c r="BE7" s="760"/>
      <c r="BF7" s="760"/>
      <c r="BG7" s="760"/>
      <c r="BH7" s="760"/>
      <c r="BI7" s="760"/>
      <c r="BJ7" s="760"/>
      <c r="BK7" s="760"/>
      <c r="BL7" s="760"/>
      <c r="BM7" s="760"/>
      <c r="BN7" s="760"/>
      <c r="BO7" s="760"/>
      <c r="BP7" s="760"/>
      <c r="BQ7" s="760"/>
      <c r="BR7" s="760"/>
      <c r="BS7" s="760"/>
      <c r="BT7" s="760"/>
      <c r="BU7" s="760"/>
      <c r="BV7" s="760"/>
      <c r="BW7" s="760"/>
      <c r="BX7" s="760"/>
      <c r="BY7" s="760"/>
      <c r="BZ7" s="760"/>
      <c r="CA7" s="760"/>
      <c r="CB7" s="760"/>
      <c r="CC7" s="760"/>
      <c r="CD7" s="760"/>
      <c r="CE7" s="760"/>
      <c r="CF7" s="760"/>
      <c r="CG7" s="760"/>
      <c r="CH7" s="760"/>
      <c r="CI7" s="760"/>
      <c r="CJ7" s="760"/>
      <c r="CK7" s="760"/>
      <c r="CL7" s="760"/>
      <c r="CM7" s="760"/>
      <c r="CN7" s="760"/>
      <c r="CO7" s="760"/>
      <c r="CP7" s="760"/>
      <c r="CQ7" s="760"/>
      <c r="CR7" s="760"/>
      <c r="CS7" s="760"/>
      <c r="CT7" s="760"/>
      <c r="CU7" s="760"/>
      <c r="CV7" s="760"/>
      <c r="CW7" s="760"/>
      <c r="CX7" s="760"/>
      <c r="CY7" s="760"/>
      <c r="CZ7" s="760"/>
      <c r="DA7" s="760"/>
      <c r="DB7" s="760"/>
      <c r="DC7" s="760"/>
      <c r="DD7" s="760"/>
      <c r="DE7" s="760"/>
      <c r="DF7" s="760"/>
      <c r="DG7" s="760"/>
      <c r="DH7" s="760"/>
      <c r="DI7" s="760"/>
      <c r="DJ7" s="760"/>
      <c r="DK7" s="760"/>
      <c r="DL7" s="760"/>
      <c r="DM7" s="760"/>
      <c r="DN7" s="760"/>
      <c r="DO7" s="760"/>
      <c r="DP7" s="760"/>
      <c r="DQ7" s="760"/>
      <c r="DR7" s="760"/>
      <c r="DS7" s="760"/>
      <c r="DT7" s="760"/>
      <c r="DU7" s="760"/>
      <c r="DV7" s="760"/>
      <c r="DW7" s="760"/>
      <c r="DX7" s="760"/>
      <c r="DY7" s="760"/>
      <c r="DZ7" s="760"/>
      <c r="EA7" s="760"/>
      <c r="EB7" s="760"/>
      <c r="EC7" s="760"/>
      <c r="ED7" s="760"/>
      <c r="EE7" s="760"/>
      <c r="EF7" s="760"/>
      <c r="EG7" s="760"/>
      <c r="EH7" s="760"/>
      <c r="EI7" s="760"/>
      <c r="EJ7" s="760"/>
      <c r="EK7" s="760"/>
      <c r="EL7" s="760"/>
      <c r="EM7" s="760"/>
      <c r="EN7" s="760"/>
      <c r="EO7" s="760"/>
      <c r="EP7" s="760"/>
      <c r="EQ7" s="760"/>
      <c r="ER7" s="760"/>
      <c r="ES7" s="760"/>
      <c r="ET7" s="760"/>
      <c r="EU7" s="760"/>
      <c r="EV7" s="760"/>
      <c r="EW7" s="760"/>
      <c r="EX7" s="760"/>
      <c r="EY7" s="760"/>
      <c r="EZ7" s="760"/>
      <c r="FA7" s="760"/>
      <c r="FB7" s="760"/>
      <c r="FC7" s="760"/>
      <c r="FD7" s="760"/>
      <c r="FE7" s="760"/>
      <c r="FF7" s="760"/>
      <c r="FG7" s="760"/>
      <c r="FH7" s="760"/>
      <c r="FI7" s="760"/>
      <c r="FJ7" s="760"/>
      <c r="FK7" s="760"/>
      <c r="FL7" s="760"/>
      <c r="FM7" s="760"/>
      <c r="FN7" s="760"/>
      <c r="FO7" s="760"/>
      <c r="FP7" s="760"/>
      <c r="FQ7" s="760"/>
      <c r="FR7" s="760"/>
      <c r="FS7" s="760"/>
      <c r="FT7" s="760"/>
      <c r="FU7" s="760"/>
      <c r="FV7" s="760"/>
      <c r="FW7" s="760"/>
    </row>
    <row r="8" spans="2:179" s="91" customFormat="1" ht="15.75"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762"/>
      <c r="W8" s="76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</row>
    <row r="9" spans="2:179" s="763" customFormat="1" ht="23.25">
      <c r="B9" s="359" t="s">
        <v>190</v>
      </c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4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0"/>
      <c r="AK9" s="760"/>
      <c r="AL9" s="760"/>
      <c r="AM9" s="760"/>
      <c r="AN9" s="760"/>
      <c r="AO9" s="760"/>
      <c r="AP9" s="760"/>
      <c r="AQ9" s="760"/>
      <c r="AR9" s="760"/>
      <c r="AS9" s="760"/>
      <c r="AT9" s="760"/>
      <c r="AU9" s="760"/>
      <c r="AV9" s="760"/>
      <c r="AW9" s="760"/>
      <c r="AX9" s="760"/>
      <c r="AY9" s="760"/>
      <c r="AZ9" s="760"/>
      <c r="BA9" s="760"/>
      <c r="BB9" s="760"/>
      <c r="BC9" s="760"/>
      <c r="BD9" s="760"/>
      <c r="BE9" s="760"/>
      <c r="BF9" s="760"/>
      <c r="BG9" s="760"/>
      <c r="BH9" s="760"/>
      <c r="BI9" s="760"/>
      <c r="BJ9" s="760"/>
      <c r="BK9" s="760"/>
      <c r="BL9" s="760"/>
      <c r="BM9" s="760"/>
      <c r="BN9" s="760"/>
      <c r="BO9" s="760"/>
      <c r="BP9" s="760"/>
      <c r="BQ9" s="760"/>
      <c r="BR9" s="760"/>
      <c r="BS9" s="760"/>
      <c r="BT9" s="760"/>
      <c r="BU9" s="760"/>
      <c r="BV9" s="760"/>
      <c r="BW9" s="760"/>
      <c r="BX9" s="760"/>
      <c r="BY9" s="760"/>
      <c r="BZ9" s="760"/>
      <c r="CA9" s="760"/>
      <c r="CB9" s="760"/>
      <c r="CC9" s="760"/>
      <c r="CD9" s="760"/>
      <c r="CE9" s="760"/>
      <c r="CF9" s="760"/>
      <c r="CG9" s="760"/>
      <c r="CH9" s="760"/>
      <c r="CI9" s="760"/>
      <c r="CJ9" s="760"/>
      <c r="CK9" s="760"/>
      <c r="CL9" s="760"/>
      <c r="CM9" s="760"/>
      <c r="CN9" s="760"/>
      <c r="CO9" s="760"/>
      <c r="CP9" s="760"/>
      <c r="CQ9" s="760"/>
      <c r="CR9" s="760"/>
      <c r="CS9" s="760"/>
      <c r="CT9" s="760"/>
      <c r="CU9" s="760"/>
      <c r="CV9" s="760"/>
      <c r="CW9" s="760"/>
      <c r="CX9" s="760"/>
      <c r="CY9" s="760"/>
      <c r="CZ9" s="760"/>
      <c r="DA9" s="760"/>
      <c r="DB9" s="760"/>
      <c r="DC9" s="760"/>
      <c r="DD9" s="760"/>
      <c r="DE9" s="760"/>
      <c r="DF9" s="760"/>
      <c r="DG9" s="760"/>
      <c r="DH9" s="760"/>
      <c r="DI9" s="760"/>
      <c r="DJ9" s="760"/>
      <c r="DK9" s="760"/>
      <c r="DL9" s="760"/>
      <c r="DM9" s="760"/>
      <c r="DN9" s="760"/>
      <c r="DO9" s="760"/>
      <c r="DP9" s="760"/>
      <c r="DQ9" s="760"/>
      <c r="DR9" s="760"/>
      <c r="DS9" s="760"/>
      <c r="DT9" s="760"/>
      <c r="DU9" s="760"/>
      <c r="DV9" s="760"/>
      <c r="DW9" s="760"/>
      <c r="DX9" s="760"/>
      <c r="DY9" s="760"/>
      <c r="DZ9" s="760"/>
      <c r="EA9" s="760"/>
      <c r="EB9" s="760"/>
      <c r="EC9" s="760"/>
      <c r="ED9" s="760"/>
      <c r="EE9" s="760"/>
      <c r="EF9" s="760"/>
      <c r="EG9" s="760"/>
      <c r="EH9" s="760"/>
      <c r="EI9" s="760"/>
      <c r="EJ9" s="760"/>
      <c r="EK9" s="760"/>
      <c r="EL9" s="760"/>
      <c r="EM9" s="760"/>
      <c r="EN9" s="760"/>
      <c r="EO9" s="760"/>
      <c r="EP9" s="760"/>
      <c r="EQ9" s="760"/>
      <c r="ER9" s="760"/>
      <c r="ES9" s="760"/>
      <c r="ET9" s="760"/>
      <c r="EU9" s="760"/>
      <c r="EV9" s="760"/>
      <c r="EW9" s="760"/>
      <c r="EX9" s="760"/>
      <c r="EY9" s="760"/>
      <c r="EZ9" s="760"/>
      <c r="FA9" s="760"/>
      <c r="FB9" s="760"/>
      <c r="FC9" s="760"/>
      <c r="FD9" s="760"/>
      <c r="FE9" s="760"/>
      <c r="FF9" s="760"/>
      <c r="FG9" s="760"/>
      <c r="FH9" s="760"/>
      <c r="FI9" s="760"/>
      <c r="FJ9" s="760"/>
      <c r="FK9" s="760"/>
      <c r="FL9" s="760"/>
      <c r="FM9" s="760"/>
      <c r="FN9" s="760"/>
      <c r="FO9" s="760"/>
      <c r="FP9" s="760"/>
      <c r="FQ9" s="760"/>
      <c r="FR9" s="760"/>
      <c r="FS9" s="760"/>
      <c r="FT9" s="760"/>
      <c r="FU9" s="760"/>
      <c r="FV9" s="760"/>
      <c r="FW9" s="760"/>
    </row>
    <row r="10" spans="2:179" s="91" customFormat="1" ht="16.5" thickBot="1"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762"/>
      <c r="W10" s="76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2"/>
      <c r="FF10" s="302"/>
      <c r="FG10" s="302"/>
      <c r="FH10" s="302"/>
      <c r="FI10" s="302"/>
      <c r="FJ10" s="302"/>
      <c r="FK10" s="302"/>
      <c r="FL10" s="302"/>
      <c r="FM10" s="302"/>
      <c r="FN10" s="302"/>
      <c r="FO10" s="302"/>
      <c r="FP10" s="302"/>
      <c r="FQ10" s="302"/>
      <c r="FR10" s="302"/>
      <c r="FS10" s="302"/>
      <c r="FT10" s="302"/>
      <c r="FU10" s="302"/>
      <c r="FV10" s="302"/>
      <c r="FW10" s="302"/>
    </row>
    <row r="11" spans="2:179" s="91" customFormat="1" ht="16.5" thickTop="1">
      <c r="B11" s="765"/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7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2"/>
      <c r="FF11" s="302"/>
      <c r="FG11" s="302"/>
      <c r="FH11" s="302"/>
      <c r="FI11" s="302"/>
      <c r="FJ11" s="302"/>
      <c r="FK11" s="302"/>
      <c r="FL11" s="302"/>
      <c r="FM11" s="302"/>
      <c r="FN11" s="302"/>
      <c r="FO11" s="302"/>
      <c r="FP11" s="302"/>
      <c r="FQ11" s="302"/>
      <c r="FR11" s="302"/>
      <c r="FS11" s="302"/>
      <c r="FT11" s="302"/>
      <c r="FU11" s="302"/>
      <c r="FV11" s="302"/>
      <c r="FW11" s="302"/>
    </row>
    <row r="12" spans="2:179" s="91" customFormat="1" ht="19.5">
      <c r="B12" s="97" t="s">
        <v>205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9"/>
      <c r="W12" s="76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2"/>
      <c r="FP12" s="302"/>
      <c r="FQ12" s="302"/>
      <c r="FR12" s="302"/>
      <c r="FS12" s="302"/>
      <c r="FT12" s="302"/>
      <c r="FU12" s="302"/>
      <c r="FV12" s="302"/>
      <c r="FW12" s="302"/>
    </row>
    <row r="13" spans="2:22" s="91" customFormat="1" ht="16.5" thickBot="1">
      <c r="B13" s="286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770"/>
    </row>
    <row r="14" spans="2:22" s="360" customFormat="1" ht="33.75" customHeight="1" thickBot="1" thickTop="1">
      <c r="B14" s="361"/>
      <c r="C14" s="149"/>
      <c r="D14" s="149" t="s">
        <v>49</v>
      </c>
      <c r="E14" s="156" t="s">
        <v>68</v>
      </c>
      <c r="F14" s="156" t="s">
        <v>69</v>
      </c>
      <c r="G14" s="771" t="s">
        <v>191</v>
      </c>
      <c r="H14" s="771">
        <f>IF('[2]BASE'!DX15=0,"",'[2]BASE'!DX15)</f>
        <v>37956</v>
      </c>
      <c r="I14" s="771">
        <f>IF('[2]BASE'!DY15=0,"",'[2]BASE'!DY15)</f>
        <v>37987</v>
      </c>
      <c r="J14" s="771">
        <f>IF('[2]BASE'!DZ15=0,"",'[2]BASE'!DZ15)</f>
        <v>38018</v>
      </c>
      <c r="K14" s="771">
        <f>IF('[2]BASE'!EA15=0,"",'[2]BASE'!EA15)</f>
        <v>38047</v>
      </c>
      <c r="L14" s="771">
        <f>IF('[2]BASE'!EB15=0,"",'[2]BASE'!EB15)</f>
        <v>38078</v>
      </c>
      <c r="M14" s="771">
        <f>IF('[2]BASE'!EC15=0,"",'[2]BASE'!EC15)</f>
        <v>38108</v>
      </c>
      <c r="N14" s="771">
        <f>IF('[2]BASE'!ED15=0,"",'[2]BASE'!ED15)</f>
        <v>38139</v>
      </c>
      <c r="O14" s="771">
        <f>IF('[2]BASE'!EE15=0,"",'[2]BASE'!EE15)</f>
        <v>38169</v>
      </c>
      <c r="P14" s="771">
        <f>IF('[2]BASE'!EF15=0,"",'[2]BASE'!EF15)</f>
        <v>38200</v>
      </c>
      <c r="Q14" s="771">
        <f>IF('[2]BASE'!EG15=0,"",'[2]BASE'!EG15)</f>
        <v>38231</v>
      </c>
      <c r="R14" s="771">
        <f>IF('[2]BASE'!EH15=0,"",'[2]BASE'!EH15)</f>
        <v>38261</v>
      </c>
      <c r="S14" s="771">
        <f>IF('[2]BASE'!EI15=0,"",'[2]BASE'!EI15)</f>
        <v>38292</v>
      </c>
      <c r="T14" s="771">
        <f>IF('[2]BASE'!EJ15=0,"",'[2]BASE'!EJ15)</f>
        <v>38322</v>
      </c>
      <c r="U14" s="771">
        <f>IF('[2]BASE'!EK15=0,"",'[2]BASE'!EK15)</f>
        <v>38353</v>
      </c>
      <c r="V14" s="362"/>
    </row>
    <row r="15" spans="2:22" s="772" customFormat="1" ht="19.5" customHeight="1" thickTop="1">
      <c r="B15" s="773"/>
      <c r="C15" s="774"/>
      <c r="D15" s="775"/>
      <c r="E15" s="775"/>
      <c r="F15" s="775"/>
      <c r="G15" s="775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818"/>
      <c r="V15" s="777"/>
    </row>
    <row r="16" spans="2:22" s="772" customFormat="1" ht="19.5" customHeight="1">
      <c r="B16" s="773"/>
      <c r="C16" s="778">
        <f>IF('[1]BASE'!C17=0,"",'[1]BASE'!C17)</f>
        <v>1</v>
      </c>
      <c r="D16" s="778" t="str">
        <f>IF('[1]BASE'!D17=0,"",'[1]BASE'!D17)</f>
        <v>ABASTO - OLAVARRIA 1</v>
      </c>
      <c r="E16" s="778">
        <f>IF('[1]BASE'!E17=0,"",'[1]BASE'!E17)</f>
        <v>500</v>
      </c>
      <c r="F16" s="778">
        <f>IF('[1]BASE'!F17=0,"",'[1]BASE'!F17)</f>
        <v>291</v>
      </c>
      <c r="G16" s="779" t="str">
        <f>IF('[1]BASE'!G17=0,"",'[1]BASE'!G17)</f>
        <v>B</v>
      </c>
      <c r="H16" s="780">
        <f>IF('[2]BASE'!DX17=0,"",'[1]BASE'!DX17)</f>
      </c>
      <c r="I16" s="780">
        <f>IF('[2]BASE'!DY17=0,"",'[2]BASE'!DY17)</f>
      </c>
      <c r="J16" s="780">
        <f>IF('[2]BASE'!DZ17=0,"",'[2]BASE'!DZ17)</f>
        <v>1</v>
      </c>
      <c r="K16" s="780">
        <f>IF('[2]BASE'!EA17=0,"",'[2]BASE'!EA17)</f>
      </c>
      <c r="L16" s="780">
        <f>IF('[2]BASE'!EB17=0,"",'[2]BASE'!EB17)</f>
      </c>
      <c r="M16" s="780">
        <f>IF('[2]BASE'!EC17=0,"",'[2]BASE'!EC17)</f>
      </c>
      <c r="N16" s="780">
        <f>IF('[2]BASE'!ED17=0,"",'[2]BASE'!ED17)</f>
        <v>1</v>
      </c>
      <c r="O16" s="780">
        <f>IF('[2]BASE'!EE17=0,"",'[2]BASE'!EE17)</f>
      </c>
      <c r="P16" s="780">
        <f>IF('[2]BASE'!EF17=0,"",'[2]BASE'!EF17)</f>
      </c>
      <c r="Q16" s="780">
        <f>IF('[2]BASE'!EG17=0,"",'[2]BASE'!EG17)</f>
      </c>
      <c r="R16" s="780">
        <f>IF('[2]BASE'!EH17=0,"",'[2]BASE'!EH17)</f>
      </c>
      <c r="S16" s="780">
        <f>IF('[2]BASE'!EI17=0,"",'[2]BASE'!EI17)</f>
      </c>
      <c r="T16" s="780">
        <f>IF('[2]BASE'!EJ17=0,"",'[2]BASE'!EJ17)</f>
      </c>
      <c r="U16" s="819"/>
      <c r="V16" s="777"/>
    </row>
    <row r="17" spans="2:22" s="772" customFormat="1" ht="19.5" customHeight="1">
      <c r="B17" s="773"/>
      <c r="C17" s="781">
        <f>IF('[1]BASE'!C18=0,"",'[1]BASE'!C18)</f>
        <v>2</v>
      </c>
      <c r="D17" s="781" t="str">
        <f>IF('[1]BASE'!D18=0,"",'[1]BASE'!D18)</f>
        <v>ABASTO - OLAVARRIA 2</v>
      </c>
      <c r="E17" s="781">
        <f>IF('[1]BASE'!E18=0,"",'[1]BASE'!E18)</f>
        <v>500</v>
      </c>
      <c r="F17" s="781">
        <f>IF('[1]BASE'!F18=0,"",'[1]BASE'!F18)</f>
        <v>301.9</v>
      </c>
      <c r="G17" s="782">
        <f>IF('[1]BASE'!G18=0,"",'[1]BASE'!G18)</f>
      </c>
      <c r="H17" s="780">
        <f>IF('[2]BASE'!DX18=0,"",'[1]BASE'!DX18)</f>
      </c>
      <c r="I17" s="780">
        <f>IF('[2]BASE'!DY18=0,"",'[2]BASE'!DY18)</f>
      </c>
      <c r="J17" s="780">
        <f>IF('[2]BASE'!DZ18=0,"",'[2]BASE'!DZ18)</f>
      </c>
      <c r="K17" s="780">
        <f>IF('[2]BASE'!EA18=0,"",'[2]BASE'!EA18)</f>
      </c>
      <c r="L17" s="780">
        <f>IF('[2]BASE'!EB18=0,"",'[2]BASE'!EB18)</f>
      </c>
      <c r="M17" s="780">
        <f>IF('[2]BASE'!EC18=0,"",'[2]BASE'!EC18)</f>
      </c>
      <c r="N17" s="780">
        <f>IF('[2]BASE'!ED18=0,"",'[2]BASE'!ED18)</f>
        <v>1</v>
      </c>
      <c r="O17" s="780">
        <f>IF('[2]BASE'!EE18=0,"",'[2]BASE'!EE18)</f>
      </c>
      <c r="P17" s="780">
        <f>IF('[2]BASE'!EF18=0,"",'[2]BASE'!EF18)</f>
      </c>
      <c r="Q17" s="780">
        <f>IF('[2]BASE'!EG18=0,"",'[2]BASE'!EG18)</f>
      </c>
      <c r="R17" s="780">
        <f>IF('[2]BASE'!EH18=0,"",'[2]BASE'!EH18)</f>
      </c>
      <c r="S17" s="780">
        <f>IF('[2]BASE'!EI18=0,"",'[2]BASE'!EI18)</f>
      </c>
      <c r="T17" s="780">
        <f>IF('[2]BASE'!EJ18=0,"",'[2]BASE'!EJ18)</f>
      </c>
      <c r="U17" s="819"/>
      <c r="V17" s="777"/>
    </row>
    <row r="18" spans="2:22" s="772" customFormat="1" ht="19.5" customHeight="1">
      <c r="B18" s="773"/>
      <c r="C18" s="783">
        <f>IF('[1]BASE'!C19=0,"",'[1]BASE'!C19)</f>
        <v>3</v>
      </c>
      <c r="D18" s="783" t="str">
        <f>IF('[1]BASE'!D19=0,"",'[1]BASE'!D19)</f>
        <v>AGUA DEL CAJON - CHOCON OESTE</v>
      </c>
      <c r="E18" s="783">
        <f>IF('[1]BASE'!E19=0,"",'[1]BASE'!E19)</f>
        <v>500</v>
      </c>
      <c r="F18" s="783">
        <f>IF('[1]BASE'!F19=0,"",'[1]BASE'!F19)</f>
        <v>52</v>
      </c>
      <c r="G18" s="784">
        <f>IF('[1]BASE'!G19=0,"",'[1]BASE'!G19)</f>
      </c>
      <c r="H18" s="780">
        <f>IF('[2]BASE'!DX19=0,"",'[1]BASE'!DX19)</f>
      </c>
      <c r="I18" s="780">
        <f>IF('[2]BASE'!DY19=0,"",'[2]BASE'!DY19)</f>
      </c>
      <c r="J18" s="780">
        <f>IF('[2]BASE'!DZ19=0,"",'[2]BASE'!DZ19)</f>
      </c>
      <c r="K18" s="780">
        <f>IF('[2]BASE'!EA19=0,"",'[2]BASE'!EA19)</f>
      </c>
      <c r="L18" s="780">
        <f>IF('[2]BASE'!EB19=0,"",'[2]BASE'!EB19)</f>
      </c>
      <c r="M18" s="780">
        <f>IF('[2]BASE'!EC19=0,"",'[2]BASE'!EC19)</f>
      </c>
      <c r="N18" s="780">
        <f>IF('[2]BASE'!ED19=0,"",'[2]BASE'!ED19)</f>
      </c>
      <c r="O18" s="780">
        <f>IF('[2]BASE'!EE19=0,"",'[2]BASE'!EE19)</f>
      </c>
      <c r="P18" s="780">
        <f>IF('[2]BASE'!EF19=0,"",'[2]BASE'!EF19)</f>
      </c>
      <c r="Q18" s="780">
        <f>IF('[2]BASE'!EG19=0,"",'[2]BASE'!EG19)</f>
      </c>
      <c r="R18" s="780">
        <f>IF('[2]BASE'!EH19=0,"",'[2]BASE'!EH19)</f>
      </c>
      <c r="S18" s="780">
        <f>IF('[2]BASE'!EI19=0,"",'[2]BASE'!EI19)</f>
      </c>
      <c r="T18" s="780">
        <f>IF('[2]BASE'!EJ19=0,"",'[2]BASE'!EJ19)</f>
      </c>
      <c r="U18" s="819"/>
      <c r="V18" s="777"/>
    </row>
    <row r="19" spans="2:22" s="772" customFormat="1" ht="19.5" customHeight="1">
      <c r="B19" s="773"/>
      <c r="C19" s="781">
        <f>IF('[1]BASE'!C20=0,"",'[1]BASE'!C20)</f>
        <v>4</v>
      </c>
      <c r="D19" s="781" t="str">
        <f>IF('[1]BASE'!D20=0,"",'[1]BASE'!D20)</f>
        <v>ALICURA - E.T. P.del A. 1 (5LG1)</v>
      </c>
      <c r="E19" s="781">
        <f>IF('[1]BASE'!E20=0,"",'[1]BASE'!E20)</f>
        <v>500</v>
      </c>
      <c r="F19" s="781">
        <f>IF('[1]BASE'!F20=0,"",'[1]BASE'!F20)</f>
        <v>76</v>
      </c>
      <c r="G19" s="782" t="str">
        <f>IF('[1]BASE'!G20=0,"",'[1]BASE'!G20)</f>
        <v>C</v>
      </c>
      <c r="H19" s="780">
        <f>IF('[2]BASE'!DX20=0,"",'[1]BASE'!DX20)</f>
      </c>
      <c r="I19" s="780">
        <f>IF('[2]BASE'!DY20=0,"",'[2]BASE'!DY20)</f>
      </c>
      <c r="J19" s="780">
        <f>IF('[2]BASE'!DZ20=0,"",'[2]BASE'!DZ20)</f>
      </c>
      <c r="K19" s="780">
        <f>IF('[2]BASE'!EA20=0,"",'[2]BASE'!EA20)</f>
      </c>
      <c r="L19" s="780">
        <f>IF('[2]BASE'!EB20=0,"",'[2]BASE'!EB20)</f>
      </c>
      <c r="M19" s="780">
        <f>IF('[2]BASE'!EC20=0,"",'[2]BASE'!EC20)</f>
      </c>
      <c r="N19" s="780">
        <f>IF('[2]BASE'!ED20=0,"",'[2]BASE'!ED20)</f>
      </c>
      <c r="O19" s="780">
        <f>IF('[2]BASE'!EE20=0,"",'[2]BASE'!EE20)</f>
        <v>1</v>
      </c>
      <c r="P19" s="780">
        <f>IF('[2]BASE'!EF20=0,"",'[2]BASE'!EF20)</f>
      </c>
      <c r="Q19" s="780">
        <f>IF('[2]BASE'!EG20=0,"",'[2]BASE'!EG20)</f>
      </c>
      <c r="R19" s="780">
        <f>IF('[2]BASE'!EH20=0,"",'[2]BASE'!EH20)</f>
      </c>
      <c r="S19" s="780">
        <f>IF('[2]BASE'!EI20=0,"",'[2]BASE'!EI20)</f>
      </c>
      <c r="T19" s="780">
        <f>IF('[2]BASE'!EJ20=0,"",'[2]BASE'!EJ20)</f>
      </c>
      <c r="U19" s="819"/>
      <c r="V19" s="777"/>
    </row>
    <row r="20" spans="2:22" s="772" customFormat="1" ht="19.5" customHeight="1">
      <c r="B20" s="773"/>
      <c r="C20" s="783">
        <f>IF('[1]BASE'!C21=0,"",'[1]BASE'!C21)</f>
        <v>5</v>
      </c>
      <c r="D20" s="783" t="str">
        <f>IF('[1]BASE'!D21=0,"",'[1]BASE'!D21)</f>
        <v>ALICURA - E.T. P.del A. 2 (5LG2)</v>
      </c>
      <c r="E20" s="783">
        <f>IF('[1]BASE'!E21=0,"",'[1]BASE'!E21)</f>
        <v>500</v>
      </c>
      <c r="F20" s="783">
        <f>IF('[1]BASE'!F21=0,"",'[1]BASE'!F21)</f>
        <v>76</v>
      </c>
      <c r="G20" s="784" t="str">
        <f>IF('[1]BASE'!G21=0,"",'[1]BASE'!G21)</f>
        <v>C</v>
      </c>
      <c r="H20" s="780">
        <f>IF('[2]BASE'!DX21=0,"",'[1]BASE'!DX21)</f>
      </c>
      <c r="I20" s="780">
        <f>IF('[2]BASE'!DY21=0,"",'[2]BASE'!DY21)</f>
      </c>
      <c r="J20" s="780">
        <f>IF('[2]BASE'!DZ21=0,"",'[2]BASE'!DZ21)</f>
      </c>
      <c r="K20" s="780">
        <f>IF('[2]BASE'!EA21=0,"",'[2]BASE'!EA21)</f>
      </c>
      <c r="L20" s="780">
        <f>IF('[2]BASE'!EB21=0,"",'[2]BASE'!EB21)</f>
      </c>
      <c r="M20" s="780">
        <f>IF('[2]BASE'!EC21=0,"",'[2]BASE'!EC21)</f>
      </c>
      <c r="N20" s="780">
        <f>IF('[2]BASE'!ED21=0,"",'[2]BASE'!ED21)</f>
      </c>
      <c r="O20" s="780">
        <f>IF('[2]BASE'!EE21=0,"",'[2]BASE'!EE21)</f>
      </c>
      <c r="P20" s="780">
        <f>IF('[2]BASE'!EF21=0,"",'[2]BASE'!EF21)</f>
      </c>
      <c r="Q20" s="780">
        <f>IF('[2]BASE'!EG21=0,"",'[2]BASE'!EG21)</f>
      </c>
      <c r="R20" s="780">
        <f>IF('[2]BASE'!EH21=0,"",'[2]BASE'!EH21)</f>
      </c>
      <c r="S20" s="780">
        <f>IF('[2]BASE'!EI21=0,"",'[2]BASE'!EI21)</f>
      </c>
      <c r="T20" s="780">
        <f>IF('[2]BASE'!EJ21=0,"",'[2]BASE'!EJ21)</f>
      </c>
      <c r="U20" s="819"/>
      <c r="V20" s="777"/>
    </row>
    <row r="21" spans="2:22" s="772" customFormat="1" ht="19.5" customHeight="1">
      <c r="B21" s="773"/>
      <c r="C21" s="781">
        <f>IF('[1]BASE'!C22=0,"",'[1]BASE'!C22)</f>
        <v>6</v>
      </c>
      <c r="D21" s="781" t="str">
        <f>IF('[1]BASE'!D22=0,"",'[1]BASE'!D22)</f>
        <v>ALMAFUERTE - EMBALSE </v>
      </c>
      <c r="E21" s="781">
        <f>IF('[1]BASE'!E22=0,"",'[1]BASE'!E22)</f>
        <v>500</v>
      </c>
      <c r="F21" s="781">
        <f>IF('[1]BASE'!F22=0,"",'[1]BASE'!F22)</f>
        <v>12</v>
      </c>
      <c r="G21" s="782" t="str">
        <f>IF('[1]BASE'!G22=0,"",'[1]BASE'!G22)</f>
        <v>A</v>
      </c>
      <c r="H21" s="780">
        <f>IF('[2]BASE'!DX22=0,"",'[1]BASE'!DX22)</f>
      </c>
      <c r="I21" s="780">
        <f>IF('[2]BASE'!DY22=0,"",'[2]BASE'!DY22)</f>
      </c>
      <c r="J21" s="780">
        <f>IF('[2]BASE'!DZ22=0,"",'[2]BASE'!DZ22)</f>
      </c>
      <c r="K21" s="780">
        <f>IF('[2]BASE'!EA22=0,"",'[2]BASE'!EA22)</f>
      </c>
      <c r="L21" s="780">
        <f>IF('[2]BASE'!EB22=0,"",'[2]BASE'!EB22)</f>
      </c>
      <c r="M21" s="780">
        <f>IF('[2]BASE'!EC22=0,"",'[2]BASE'!EC22)</f>
      </c>
      <c r="N21" s="780">
        <f>IF('[2]BASE'!ED22=0,"",'[2]BASE'!ED22)</f>
      </c>
      <c r="O21" s="780">
        <f>IF('[2]BASE'!EE22=0,"",'[2]BASE'!EE22)</f>
      </c>
      <c r="P21" s="780">
        <f>IF('[2]BASE'!EF22=0,"",'[2]BASE'!EF22)</f>
      </c>
      <c r="Q21" s="780">
        <f>IF('[2]BASE'!EG22=0,"",'[2]BASE'!EG22)</f>
      </c>
      <c r="R21" s="780">
        <f>IF('[2]BASE'!EH22=0,"",'[2]BASE'!EH22)</f>
      </c>
      <c r="S21" s="780">
        <f>IF('[2]BASE'!EI22=0,"",'[2]BASE'!EI22)</f>
      </c>
      <c r="T21" s="780">
        <f>IF('[2]BASE'!EJ22=0,"",'[2]BASE'!EJ22)</f>
      </c>
      <c r="U21" s="819"/>
      <c r="V21" s="777"/>
    </row>
    <row r="22" spans="2:22" s="772" customFormat="1" ht="19.5" customHeight="1">
      <c r="B22" s="773"/>
      <c r="C22" s="783">
        <f>IF('[1]BASE'!C23=0,"",'[1]BASE'!C23)</f>
        <v>7</v>
      </c>
      <c r="D22" s="783" t="str">
        <f>IF('[1]BASE'!D23=0,"",'[1]BASE'!D23)</f>
        <v> ALMAFUERTE - ROSARIO OESTE</v>
      </c>
      <c r="E22" s="783">
        <f>IF('[1]BASE'!E23=0,"",'[1]BASE'!E23)</f>
        <v>500</v>
      </c>
      <c r="F22" s="783">
        <f>IF('[1]BASE'!F23=0,"",'[1]BASE'!F23)</f>
        <v>345</v>
      </c>
      <c r="G22" s="784" t="str">
        <f>IF('[1]BASE'!G23=0,"",'[1]BASE'!G23)</f>
        <v>B</v>
      </c>
      <c r="H22" s="780">
        <f>IF('[2]BASE'!DX23=0,"",'[1]BASE'!DX23)</f>
      </c>
      <c r="I22" s="780">
        <f>IF('[2]BASE'!DY23=0,"",'[2]BASE'!DY23)</f>
      </c>
      <c r="J22" s="780">
        <f>IF('[2]BASE'!DZ23=0,"",'[2]BASE'!DZ23)</f>
      </c>
      <c r="K22" s="780">
        <f>IF('[2]BASE'!EA23=0,"",'[2]BASE'!EA23)</f>
      </c>
      <c r="L22" s="780">
        <f>IF('[2]BASE'!EB23=0,"",'[2]BASE'!EB23)</f>
      </c>
      <c r="M22" s="780">
        <f>IF('[2]BASE'!EC23=0,"",'[2]BASE'!EC23)</f>
      </c>
      <c r="N22" s="780">
        <f>IF('[2]BASE'!ED23=0,"",'[2]BASE'!ED23)</f>
      </c>
      <c r="O22" s="780">
        <f>IF('[2]BASE'!EE23=0,"",'[2]BASE'!EE23)</f>
      </c>
      <c r="P22" s="780">
        <f>IF('[2]BASE'!EF23=0,"",'[2]BASE'!EF23)</f>
      </c>
      <c r="Q22" s="780">
        <f>IF('[2]BASE'!EG23=0,"",'[2]BASE'!EG23)</f>
      </c>
      <c r="R22" s="780">
        <f>IF('[2]BASE'!EH23=0,"",'[2]BASE'!EH23)</f>
        <v>4</v>
      </c>
      <c r="S22" s="780">
        <f>IF('[2]BASE'!EI23=0,"",'[2]BASE'!EI23)</f>
        <v>1</v>
      </c>
      <c r="T22" s="780">
        <f>IF('[2]BASE'!EJ23=0,"",'[2]BASE'!EJ23)</f>
      </c>
      <c r="U22" s="819"/>
      <c r="V22" s="777"/>
    </row>
    <row r="23" spans="2:22" s="772" customFormat="1" ht="19.5" customHeight="1">
      <c r="B23" s="773"/>
      <c r="C23" s="781">
        <f>IF('[1]BASE'!C24=0,"",'[1]BASE'!C24)</f>
        <v>8</v>
      </c>
      <c r="D23" s="781" t="str">
        <f>IF('[1]BASE'!D24=0,"",'[1]BASE'!D24)</f>
        <v>BAHIA BLANCA - CHOELE CHOEL 1</v>
      </c>
      <c r="E23" s="781">
        <f>IF('[1]BASE'!E24=0,"",'[1]BASE'!E24)</f>
        <v>500</v>
      </c>
      <c r="F23" s="781">
        <f>IF('[1]BASE'!F24=0,"",'[1]BASE'!F24)</f>
        <v>346</v>
      </c>
      <c r="G23" s="782" t="str">
        <f>IF('[1]BASE'!G24=0,"",'[1]BASE'!G24)</f>
        <v>B</v>
      </c>
      <c r="H23" s="780">
        <f>IF('[2]BASE'!DX24=0,"",'[1]BASE'!DX24)</f>
      </c>
      <c r="I23" s="780">
        <f>IF('[2]BASE'!DY24=0,"",'[2]BASE'!DY24)</f>
      </c>
      <c r="J23" s="780">
        <f>IF('[2]BASE'!DZ24=0,"",'[2]BASE'!DZ24)</f>
        <v>1</v>
      </c>
      <c r="K23" s="780">
        <f>IF('[2]BASE'!EA24=0,"",'[2]BASE'!EA24)</f>
      </c>
      <c r="L23" s="780">
        <f>IF('[2]BASE'!EB24=0,"",'[2]BASE'!EB24)</f>
      </c>
      <c r="M23" s="780">
        <f>IF('[2]BASE'!EC24=0,"",'[2]BASE'!EC24)</f>
      </c>
      <c r="N23" s="780">
        <f>IF('[2]BASE'!ED24=0,"",'[2]BASE'!ED24)</f>
      </c>
      <c r="O23" s="780">
        <f>IF('[2]BASE'!EE24=0,"",'[2]BASE'!EE24)</f>
      </c>
      <c r="P23" s="780">
        <f>IF('[2]BASE'!EF24=0,"",'[2]BASE'!EF24)</f>
      </c>
      <c r="Q23" s="780">
        <f>IF('[2]BASE'!EG24=0,"",'[2]BASE'!EG24)</f>
      </c>
      <c r="R23" s="780">
        <f>IF('[2]BASE'!EH24=0,"",'[2]BASE'!EH24)</f>
      </c>
      <c r="S23" s="780">
        <f>IF('[2]BASE'!EI24=0,"",'[2]BASE'!EI24)</f>
      </c>
      <c r="T23" s="780">
        <f>IF('[2]BASE'!EJ24=0,"",'[2]BASE'!EJ24)</f>
      </c>
      <c r="U23" s="819"/>
      <c r="V23" s="777"/>
    </row>
    <row r="24" spans="2:22" s="772" customFormat="1" ht="19.5" customHeight="1">
      <c r="B24" s="773"/>
      <c r="C24" s="783">
        <f>IF('[1]BASE'!C25=0,"",'[1]BASE'!C25)</f>
        <v>9</v>
      </c>
      <c r="D24" s="783" t="str">
        <f>IF('[1]BASE'!D25=0,"",'[1]BASE'!D25)</f>
        <v>BAHIA BLANCA - CHOELE CHOEL 2</v>
      </c>
      <c r="E24" s="783">
        <f>IF('[1]BASE'!E25=0,"",'[1]BASE'!E25)</f>
        <v>500</v>
      </c>
      <c r="F24" s="783">
        <f>IF('[1]BASE'!F25=0,"",'[1]BASE'!F25)</f>
        <v>348.4</v>
      </c>
      <c r="G24" s="784">
        <f>IF('[1]BASE'!G25=0,"",'[1]BASE'!G25)</f>
      </c>
      <c r="H24" s="780">
        <f>IF('[2]BASE'!DX25=0,"",'[1]BASE'!DX25)</f>
      </c>
      <c r="I24" s="780">
        <f>IF('[2]BASE'!DY25=0,"",'[2]BASE'!DY25)</f>
      </c>
      <c r="J24" s="780">
        <f>IF('[2]BASE'!DZ25=0,"",'[2]BASE'!DZ25)</f>
      </c>
      <c r="K24" s="780">
        <f>IF('[2]BASE'!EA25=0,"",'[2]BASE'!EA25)</f>
      </c>
      <c r="L24" s="780">
        <f>IF('[2]BASE'!EB25=0,"",'[2]BASE'!EB25)</f>
      </c>
      <c r="M24" s="780">
        <f>IF('[2]BASE'!EC25=0,"",'[2]BASE'!EC25)</f>
      </c>
      <c r="N24" s="780">
        <f>IF('[2]BASE'!ED25=0,"",'[2]BASE'!ED25)</f>
      </c>
      <c r="O24" s="780">
        <f>IF('[2]BASE'!EE25=0,"",'[2]BASE'!EE25)</f>
      </c>
      <c r="P24" s="780">
        <f>IF('[2]BASE'!EF25=0,"",'[2]BASE'!EF25)</f>
      </c>
      <c r="Q24" s="780">
        <f>IF('[2]BASE'!EG25=0,"",'[2]BASE'!EG25)</f>
      </c>
      <c r="R24" s="780">
        <f>IF('[2]BASE'!EH25=0,"",'[2]BASE'!EH25)</f>
      </c>
      <c r="S24" s="780">
        <f>IF('[2]BASE'!EI25=0,"",'[2]BASE'!EI25)</f>
      </c>
      <c r="T24" s="780">
        <f>IF('[2]BASE'!EJ25=0,"",'[2]BASE'!EJ25)</f>
      </c>
      <c r="U24" s="819"/>
      <c r="V24" s="777"/>
    </row>
    <row r="25" spans="2:22" s="772" customFormat="1" ht="19.5" customHeight="1">
      <c r="B25" s="773"/>
      <c r="C25" s="781">
        <f>IF('[1]BASE'!C26=0,"",'[1]BASE'!C26)</f>
        <v>10</v>
      </c>
      <c r="D25" s="781" t="str">
        <f>IF('[1]BASE'!D26=0,"",'[1]BASE'!D26)</f>
        <v>CERR. de la CTA - P.BAND. (A3)</v>
      </c>
      <c r="E25" s="781">
        <f>IF('[1]BASE'!E26=0,"",'[1]BASE'!E26)</f>
        <v>500</v>
      </c>
      <c r="F25" s="781">
        <f>IF('[1]BASE'!F26=0,"",'[1]BASE'!F26)</f>
        <v>27</v>
      </c>
      <c r="G25" s="782" t="str">
        <f>IF('[1]BASE'!G26=0,"",'[1]BASE'!G26)</f>
        <v>C</v>
      </c>
      <c r="H25" s="780">
        <f>IF('[2]BASE'!DX26=0,"",'[1]BASE'!DX26)</f>
      </c>
      <c r="I25" s="780">
        <f>IF('[2]BASE'!DY26=0,"",'[2]BASE'!DY26)</f>
      </c>
      <c r="J25" s="780">
        <f>IF('[2]BASE'!DZ26=0,"",'[2]BASE'!DZ26)</f>
      </c>
      <c r="K25" s="780">
        <f>IF('[2]BASE'!EA26=0,"",'[2]BASE'!EA26)</f>
      </c>
      <c r="L25" s="780">
        <f>IF('[2]BASE'!EB26=0,"",'[2]BASE'!EB26)</f>
      </c>
      <c r="M25" s="780">
        <f>IF('[2]BASE'!EC26=0,"",'[2]BASE'!EC26)</f>
      </c>
      <c r="N25" s="780">
        <f>IF('[2]BASE'!ED26=0,"",'[2]BASE'!ED26)</f>
        <v>1</v>
      </c>
      <c r="O25" s="780">
        <f>IF('[2]BASE'!EE26=0,"",'[2]BASE'!EE26)</f>
      </c>
      <c r="P25" s="780">
        <f>IF('[2]BASE'!EF26=0,"",'[2]BASE'!EF26)</f>
      </c>
      <c r="Q25" s="780">
        <f>IF('[2]BASE'!EG26=0,"",'[2]BASE'!EG26)</f>
      </c>
      <c r="R25" s="780">
        <f>IF('[2]BASE'!EH26=0,"",'[2]BASE'!EH26)</f>
      </c>
      <c r="S25" s="780">
        <f>IF('[2]BASE'!EI26=0,"",'[2]BASE'!EI26)</f>
      </c>
      <c r="T25" s="780">
        <f>IF('[2]BASE'!EJ26=0,"",'[2]BASE'!EJ26)</f>
        <v>2</v>
      </c>
      <c r="U25" s="819"/>
      <c r="V25" s="777"/>
    </row>
    <row r="26" spans="2:22" s="772" customFormat="1" ht="19.5" customHeight="1">
      <c r="B26" s="773"/>
      <c r="C26" s="783">
        <f>IF('[1]BASE'!C27=0,"",'[1]BASE'!C27)</f>
        <v>11</v>
      </c>
      <c r="D26" s="783" t="str">
        <f>IF('[1]BASE'!D27=0,"",'[1]BASE'!D27)</f>
        <v>COLONIA ELIA - CAMPANA</v>
      </c>
      <c r="E26" s="783">
        <f>IF('[1]BASE'!E27=0,"",'[1]BASE'!E27)</f>
        <v>500</v>
      </c>
      <c r="F26" s="783">
        <f>IF('[1]BASE'!F27=0,"",'[1]BASE'!F27)</f>
        <v>194</v>
      </c>
      <c r="G26" s="784" t="str">
        <f>IF('[1]BASE'!G27=0,"",'[1]BASE'!G27)</f>
        <v>C</v>
      </c>
      <c r="H26" s="780">
        <f>IF('[2]BASE'!DX27=0,"",'[1]BASE'!DX27)</f>
      </c>
      <c r="I26" s="780">
        <f>IF('[2]BASE'!DY27=0,"",'[2]BASE'!DY27)</f>
      </c>
      <c r="J26" s="780">
        <f>IF('[2]BASE'!DZ27=0,"",'[2]BASE'!DZ27)</f>
      </c>
      <c r="K26" s="780">
        <f>IF('[2]BASE'!EA27=0,"",'[2]BASE'!EA27)</f>
      </c>
      <c r="L26" s="780">
        <f>IF('[2]BASE'!EB27=0,"",'[2]BASE'!EB27)</f>
      </c>
      <c r="M26" s="780">
        <f>IF('[2]BASE'!EC27=0,"",'[2]BASE'!EC27)</f>
      </c>
      <c r="N26" s="780">
        <f>IF('[2]BASE'!ED27=0,"",'[2]BASE'!ED27)</f>
      </c>
      <c r="O26" s="780">
        <f>IF('[2]BASE'!EE27=0,"",'[2]BASE'!EE27)</f>
        <v>1</v>
      </c>
      <c r="P26" s="780">
        <f>IF('[2]BASE'!EF27=0,"",'[2]BASE'!EF27)</f>
      </c>
      <c r="Q26" s="780">
        <f>IF('[2]BASE'!EG27=0,"",'[2]BASE'!EG27)</f>
      </c>
      <c r="R26" s="780">
        <f>IF('[2]BASE'!EH27=0,"",'[2]BASE'!EH27)</f>
      </c>
      <c r="S26" s="780">
        <f>IF('[2]BASE'!EI27=0,"",'[2]BASE'!EI27)</f>
      </c>
      <c r="T26" s="780">
        <f>IF('[2]BASE'!EJ27=0,"",'[2]BASE'!EJ27)</f>
      </c>
      <c r="U26" s="819"/>
      <c r="V26" s="777"/>
    </row>
    <row r="27" spans="2:22" s="772" customFormat="1" ht="19.5" customHeight="1">
      <c r="B27" s="773"/>
      <c r="C27" s="781">
        <f>IF('[1]BASE'!C28=0,"",'[1]BASE'!C28)</f>
        <v>12</v>
      </c>
      <c r="D27" s="781" t="str">
        <f>IF('[1]BASE'!D28=0,"",'[1]BASE'!D28)</f>
        <v>CHO. W. - CHOELE CHOEL (5WH1)</v>
      </c>
      <c r="E27" s="781">
        <f>IF('[1]BASE'!E28=0,"",'[1]BASE'!E28)</f>
        <v>500</v>
      </c>
      <c r="F27" s="781">
        <f>IF('[1]BASE'!F28=0,"",'[1]BASE'!F28)</f>
        <v>269</v>
      </c>
      <c r="G27" s="782" t="str">
        <f>IF('[1]BASE'!G28=0,"",'[1]BASE'!G28)</f>
        <v>B</v>
      </c>
      <c r="H27" s="780">
        <f>IF('[2]BASE'!DX28=0,"",'[1]BASE'!DX28)</f>
      </c>
      <c r="I27" s="780">
        <f>IF('[2]BASE'!DY28=0,"",'[2]BASE'!DY28)</f>
      </c>
      <c r="J27" s="780">
        <f>IF('[2]BASE'!DZ28=0,"",'[2]BASE'!DZ28)</f>
      </c>
      <c r="K27" s="780">
        <f>IF('[2]BASE'!EA28=0,"",'[2]BASE'!EA28)</f>
      </c>
      <c r="L27" s="780">
        <f>IF('[2]BASE'!EB28=0,"",'[2]BASE'!EB28)</f>
      </c>
      <c r="M27" s="780">
        <f>IF('[2]BASE'!EC28=0,"",'[2]BASE'!EC28)</f>
      </c>
      <c r="N27" s="780">
        <f>IF('[2]BASE'!ED28=0,"",'[2]BASE'!ED28)</f>
      </c>
      <c r="O27" s="780">
        <f>IF('[2]BASE'!EE28=0,"",'[2]BASE'!EE28)</f>
      </c>
      <c r="P27" s="780">
        <f>IF('[2]BASE'!EF28=0,"",'[2]BASE'!EF28)</f>
      </c>
      <c r="Q27" s="780">
        <f>IF('[2]BASE'!EG28=0,"",'[2]BASE'!EG28)</f>
      </c>
      <c r="R27" s="780">
        <f>IF('[2]BASE'!EH28=0,"",'[2]BASE'!EH28)</f>
      </c>
      <c r="S27" s="780">
        <f>IF('[2]BASE'!EI28=0,"",'[2]BASE'!EI28)</f>
      </c>
      <c r="T27" s="780">
        <f>IF('[2]BASE'!EJ28=0,"",'[2]BASE'!EJ28)</f>
      </c>
      <c r="U27" s="819"/>
      <c r="V27" s="777"/>
    </row>
    <row r="28" spans="2:22" s="772" customFormat="1" ht="19.5" customHeight="1">
      <c r="B28" s="773"/>
      <c r="C28" s="783">
        <f>IF('[1]BASE'!C29=0,"",'[1]BASE'!C29)</f>
        <v>13</v>
      </c>
      <c r="D28" s="783" t="str">
        <f>IF('[1]BASE'!D29=0,"",'[1]BASE'!D29)</f>
        <v>CHO.W. - CHO. 1 (5WC1)</v>
      </c>
      <c r="E28" s="783">
        <f>IF('[1]BASE'!E29=0,"",'[1]BASE'!E29)</f>
        <v>500</v>
      </c>
      <c r="F28" s="783">
        <f>IF('[1]BASE'!F29=0,"",'[1]BASE'!F29)</f>
        <v>4.5</v>
      </c>
      <c r="G28" s="784" t="str">
        <f>IF('[1]BASE'!G29=0,"",'[1]BASE'!G29)</f>
        <v>C</v>
      </c>
      <c r="H28" s="780">
        <f>IF('[2]BASE'!DX29=0,"",'[1]BASE'!DX29)</f>
      </c>
      <c r="I28" s="780">
        <f>IF('[2]BASE'!DY29=0,"",'[2]BASE'!DY29)</f>
      </c>
      <c r="J28" s="780">
        <f>IF('[2]BASE'!DZ29=0,"",'[2]BASE'!DZ29)</f>
      </c>
      <c r="K28" s="780">
        <f>IF('[2]BASE'!EA29=0,"",'[2]BASE'!EA29)</f>
      </c>
      <c r="L28" s="780">
        <f>IF('[2]BASE'!EB29=0,"",'[2]BASE'!EB29)</f>
      </c>
      <c r="M28" s="780">
        <f>IF('[2]BASE'!EC29=0,"",'[2]BASE'!EC29)</f>
      </c>
      <c r="N28" s="780">
        <f>IF('[2]BASE'!ED29=0,"",'[2]BASE'!ED29)</f>
      </c>
      <c r="O28" s="780">
        <f>IF('[2]BASE'!EE29=0,"",'[2]BASE'!EE29)</f>
      </c>
      <c r="P28" s="780">
        <f>IF('[2]BASE'!EF29=0,"",'[2]BASE'!EF29)</f>
      </c>
      <c r="Q28" s="780">
        <f>IF('[2]BASE'!EG29=0,"",'[2]BASE'!EG29)</f>
      </c>
      <c r="R28" s="780">
        <f>IF('[2]BASE'!EH29=0,"",'[2]BASE'!EH29)</f>
      </c>
      <c r="S28" s="780">
        <f>IF('[2]BASE'!EI29=0,"",'[2]BASE'!EI29)</f>
      </c>
      <c r="T28" s="780">
        <f>IF('[2]BASE'!EJ29=0,"",'[2]BASE'!EJ29)</f>
      </c>
      <c r="U28" s="819"/>
      <c r="V28" s="777"/>
    </row>
    <row r="29" spans="2:22" s="772" customFormat="1" ht="19.5" customHeight="1">
      <c r="B29" s="773"/>
      <c r="C29" s="781">
        <f>IF('[1]BASE'!C30=0,"",'[1]BASE'!C30)</f>
        <v>14</v>
      </c>
      <c r="D29" s="781" t="str">
        <f>IF('[1]BASE'!D30=0,"",'[1]BASE'!D30)</f>
        <v>CHO.W. - CHO. 2 (5WC2)</v>
      </c>
      <c r="E29" s="781">
        <f>IF('[1]BASE'!E30=0,"",'[1]BASE'!E30)</f>
        <v>500</v>
      </c>
      <c r="F29" s="781">
        <f>IF('[1]BASE'!F30=0,"",'[1]BASE'!F30)</f>
        <v>4.5</v>
      </c>
      <c r="G29" s="782" t="str">
        <f>IF('[1]BASE'!G30=0,"",'[1]BASE'!G30)</f>
        <v>C</v>
      </c>
      <c r="H29" s="780">
        <f>IF('[2]BASE'!DX30=0,"",'[1]BASE'!DX30)</f>
      </c>
      <c r="I29" s="780">
        <f>IF('[2]BASE'!DY30=0,"",'[2]BASE'!DY30)</f>
      </c>
      <c r="J29" s="780">
        <f>IF('[2]BASE'!DZ30=0,"",'[2]BASE'!DZ30)</f>
      </c>
      <c r="K29" s="780">
        <f>IF('[2]BASE'!EA30=0,"",'[2]BASE'!EA30)</f>
      </c>
      <c r="L29" s="780">
        <f>IF('[2]BASE'!EB30=0,"",'[2]BASE'!EB30)</f>
      </c>
      <c r="M29" s="780">
        <f>IF('[2]BASE'!EC30=0,"",'[2]BASE'!EC30)</f>
      </c>
      <c r="N29" s="780">
        <f>IF('[2]BASE'!ED30=0,"",'[2]BASE'!ED30)</f>
      </c>
      <c r="O29" s="780">
        <f>IF('[2]BASE'!EE30=0,"",'[2]BASE'!EE30)</f>
      </c>
      <c r="P29" s="780">
        <f>IF('[2]BASE'!EF30=0,"",'[2]BASE'!EF30)</f>
      </c>
      <c r="Q29" s="780">
        <f>IF('[2]BASE'!EG30=0,"",'[2]BASE'!EG30)</f>
      </c>
      <c r="R29" s="780">
        <f>IF('[2]BASE'!EH30=0,"",'[2]BASE'!EH30)</f>
      </c>
      <c r="S29" s="780">
        <f>IF('[2]BASE'!EI30=0,"",'[2]BASE'!EI30)</f>
      </c>
      <c r="T29" s="780">
        <f>IF('[2]BASE'!EJ30=0,"",'[2]BASE'!EJ30)</f>
      </c>
      <c r="U29" s="819"/>
      <c r="V29" s="777"/>
    </row>
    <row r="30" spans="2:22" s="772" customFormat="1" ht="19.5" customHeight="1">
      <c r="B30" s="773"/>
      <c r="C30" s="783">
        <f>IF('[1]BASE'!C31=0,"",'[1]BASE'!C31)</f>
        <v>15</v>
      </c>
      <c r="D30" s="783" t="str">
        <f>IF('[1]BASE'!D31=0,"",'[1]BASE'!D31)</f>
        <v>CHOCON - C.H. CHOCON 1</v>
      </c>
      <c r="E30" s="783">
        <f>IF('[1]BASE'!E31=0,"",'[1]BASE'!E31)</f>
        <v>500</v>
      </c>
      <c r="F30" s="783">
        <f>IF('[1]BASE'!F31=0,"",'[1]BASE'!F31)</f>
        <v>3</v>
      </c>
      <c r="G30" s="784" t="str">
        <f>IF('[1]BASE'!G31=0,"",'[1]BASE'!G31)</f>
        <v>C</v>
      </c>
      <c r="H30" s="780">
        <f>IF('[2]BASE'!DX31=0,"",'[1]BASE'!DX31)</f>
      </c>
      <c r="I30" s="780">
        <f>IF('[2]BASE'!DY31=0,"",'[2]BASE'!DY31)</f>
      </c>
      <c r="J30" s="780">
        <f>IF('[2]BASE'!DZ31=0,"",'[2]BASE'!DZ31)</f>
      </c>
      <c r="K30" s="780">
        <f>IF('[2]BASE'!EA31=0,"",'[2]BASE'!EA31)</f>
      </c>
      <c r="L30" s="780">
        <f>IF('[2]BASE'!EB31=0,"",'[2]BASE'!EB31)</f>
      </c>
      <c r="M30" s="780">
        <f>IF('[2]BASE'!EC31=0,"",'[2]BASE'!EC31)</f>
      </c>
      <c r="N30" s="780">
        <f>IF('[2]BASE'!ED31=0,"",'[2]BASE'!ED31)</f>
      </c>
      <c r="O30" s="780">
        <f>IF('[2]BASE'!EE31=0,"",'[2]BASE'!EE31)</f>
      </c>
      <c r="P30" s="780">
        <f>IF('[2]BASE'!EF31=0,"",'[2]BASE'!EF31)</f>
      </c>
      <c r="Q30" s="780">
        <f>IF('[2]BASE'!EG31=0,"",'[2]BASE'!EG31)</f>
      </c>
      <c r="R30" s="780">
        <f>IF('[2]BASE'!EH31=0,"",'[2]BASE'!EH31)</f>
      </c>
      <c r="S30" s="780">
        <f>IF('[2]BASE'!EI31=0,"",'[2]BASE'!EI31)</f>
      </c>
      <c r="T30" s="780">
        <f>IF('[2]BASE'!EJ31=0,"",'[2]BASE'!EJ31)</f>
      </c>
      <c r="U30" s="819"/>
      <c r="V30" s="777"/>
    </row>
    <row r="31" spans="2:22" s="772" customFormat="1" ht="19.5" customHeight="1">
      <c r="B31" s="773"/>
      <c r="C31" s="781">
        <f>IF('[1]BASE'!C32=0,"",'[1]BASE'!C32)</f>
        <v>16</v>
      </c>
      <c r="D31" s="781" t="str">
        <f>IF('[1]BASE'!D32=0,"",'[1]BASE'!D32)</f>
        <v>CHOCON - C.H. CHOCON 2</v>
      </c>
      <c r="E31" s="781">
        <f>IF('[1]BASE'!E32=0,"",'[1]BASE'!E32)</f>
        <v>500</v>
      </c>
      <c r="F31" s="781">
        <f>IF('[1]BASE'!F32=0,"",'[1]BASE'!F32)</f>
        <v>3</v>
      </c>
      <c r="G31" s="782" t="str">
        <f>IF('[1]BASE'!G32=0,"",'[1]BASE'!G32)</f>
        <v>C</v>
      </c>
      <c r="H31" s="780">
        <f>IF('[2]BASE'!DX32=0,"",'[1]BASE'!DX32)</f>
      </c>
      <c r="I31" s="780">
        <f>IF('[2]BASE'!DY32=0,"",'[2]BASE'!DY32)</f>
      </c>
      <c r="J31" s="780">
        <f>IF('[2]BASE'!DZ32=0,"",'[2]BASE'!DZ32)</f>
      </c>
      <c r="K31" s="780">
        <f>IF('[2]BASE'!EA32=0,"",'[2]BASE'!EA32)</f>
      </c>
      <c r="L31" s="780">
        <f>IF('[2]BASE'!EB32=0,"",'[2]BASE'!EB32)</f>
      </c>
      <c r="M31" s="780">
        <f>IF('[2]BASE'!EC32=0,"",'[2]BASE'!EC32)</f>
      </c>
      <c r="N31" s="780">
        <f>IF('[2]BASE'!ED32=0,"",'[2]BASE'!ED32)</f>
      </c>
      <c r="O31" s="780">
        <f>IF('[2]BASE'!EE32=0,"",'[2]BASE'!EE32)</f>
      </c>
      <c r="P31" s="780">
        <f>IF('[2]BASE'!EF32=0,"",'[2]BASE'!EF32)</f>
      </c>
      <c r="Q31" s="780">
        <f>IF('[2]BASE'!EG32=0,"",'[2]BASE'!EG32)</f>
      </c>
      <c r="R31" s="780">
        <f>IF('[2]BASE'!EH32=0,"",'[2]BASE'!EH32)</f>
      </c>
      <c r="S31" s="780">
        <f>IF('[2]BASE'!EI32=0,"",'[2]BASE'!EI32)</f>
      </c>
      <c r="T31" s="780">
        <f>IF('[2]BASE'!EJ32=0,"",'[2]BASE'!EJ32)</f>
      </c>
      <c r="U31" s="819"/>
      <c r="V31" s="777"/>
    </row>
    <row r="32" spans="2:22" s="772" customFormat="1" ht="19.5" customHeight="1">
      <c r="B32" s="773"/>
      <c r="C32" s="783">
        <f>IF('[1]BASE'!C33=0,"",'[1]BASE'!C33)</f>
        <v>17</v>
      </c>
      <c r="D32" s="783" t="str">
        <f>IF('[1]BASE'!D33=0,"",'[1]BASE'!D33)</f>
        <v>CHOCON - C.H. CHOCON 3</v>
      </c>
      <c r="E32" s="783">
        <f>IF('[1]BASE'!E33=0,"",'[1]BASE'!E33)</f>
        <v>500</v>
      </c>
      <c r="F32" s="783">
        <f>IF('[1]BASE'!F33=0,"",'[1]BASE'!F33)</f>
        <v>3</v>
      </c>
      <c r="G32" s="784" t="str">
        <f>IF('[1]BASE'!G33=0,"",'[1]BASE'!G33)</f>
        <v>C</v>
      </c>
      <c r="H32" s="780">
        <f>IF('[2]BASE'!DX33=0,"",'[1]BASE'!DX33)</f>
      </c>
      <c r="I32" s="780">
        <f>IF('[2]BASE'!DY33=0,"",'[2]BASE'!DY33)</f>
      </c>
      <c r="J32" s="780">
        <f>IF('[2]BASE'!DZ33=0,"",'[2]BASE'!DZ33)</f>
      </c>
      <c r="K32" s="780">
        <f>IF('[2]BASE'!EA33=0,"",'[2]BASE'!EA33)</f>
      </c>
      <c r="L32" s="780">
        <f>IF('[2]BASE'!EB33=0,"",'[2]BASE'!EB33)</f>
      </c>
      <c r="M32" s="780">
        <f>IF('[2]BASE'!EC33=0,"",'[2]BASE'!EC33)</f>
      </c>
      <c r="N32" s="780">
        <f>IF('[2]BASE'!ED33=0,"",'[2]BASE'!ED33)</f>
      </c>
      <c r="O32" s="780">
        <f>IF('[2]BASE'!EE33=0,"",'[2]BASE'!EE33)</f>
        <v>1</v>
      </c>
      <c r="P32" s="780">
        <f>IF('[2]BASE'!EF33=0,"",'[2]BASE'!EF33)</f>
      </c>
      <c r="Q32" s="780">
        <f>IF('[2]BASE'!EG33=0,"",'[2]BASE'!EG33)</f>
      </c>
      <c r="R32" s="780">
        <f>IF('[2]BASE'!EH33=0,"",'[2]BASE'!EH33)</f>
      </c>
      <c r="S32" s="780">
        <f>IF('[2]BASE'!EI33=0,"",'[2]BASE'!EI33)</f>
      </c>
      <c r="T32" s="780">
        <f>IF('[2]BASE'!EJ33=0,"",'[2]BASE'!EJ33)</f>
      </c>
      <c r="U32" s="819"/>
      <c r="V32" s="777"/>
    </row>
    <row r="33" spans="2:22" s="772" customFormat="1" ht="19.5" customHeight="1">
      <c r="B33" s="773"/>
      <c r="C33" s="781">
        <f>IF('[1]BASE'!C34=0,"",'[1]BASE'!C34)</f>
        <v>18</v>
      </c>
      <c r="D33" s="781" t="str">
        <f>IF('[1]BASE'!D34=0,"",'[1]BASE'!D34)</f>
        <v>CHOCON - PUELCHES 1</v>
      </c>
      <c r="E33" s="781">
        <f>IF('[1]BASE'!E34=0,"",'[1]BASE'!E34)</f>
        <v>500</v>
      </c>
      <c r="F33" s="781">
        <f>IF('[1]BASE'!F34=0,"",'[1]BASE'!F34)</f>
        <v>304</v>
      </c>
      <c r="G33" s="782" t="str">
        <f>IF('[1]BASE'!G34=0,"",'[1]BASE'!G34)</f>
        <v>A</v>
      </c>
      <c r="H33" s="780">
        <f>IF('[2]BASE'!DX34=0,"",'[1]BASE'!DX34)</f>
      </c>
      <c r="I33" s="780">
        <f>IF('[2]BASE'!DY34=0,"",'[2]BASE'!DY34)</f>
      </c>
      <c r="J33" s="780">
        <f>IF('[2]BASE'!DZ34=0,"",'[2]BASE'!DZ34)</f>
      </c>
      <c r="K33" s="780">
        <f>IF('[2]BASE'!EA34=0,"",'[2]BASE'!EA34)</f>
      </c>
      <c r="L33" s="780">
        <f>IF('[2]BASE'!EB34=0,"",'[2]BASE'!EB34)</f>
      </c>
      <c r="M33" s="780">
        <f>IF('[2]BASE'!EC34=0,"",'[2]BASE'!EC34)</f>
      </c>
      <c r="N33" s="780">
        <f>IF('[2]BASE'!ED34=0,"",'[2]BASE'!ED34)</f>
      </c>
      <c r="O33" s="780">
        <f>IF('[2]BASE'!EE34=0,"",'[2]BASE'!EE34)</f>
      </c>
      <c r="P33" s="780">
        <f>IF('[2]BASE'!EF34=0,"",'[2]BASE'!EF34)</f>
      </c>
      <c r="Q33" s="780">
        <f>IF('[2]BASE'!EG34=0,"",'[2]BASE'!EG34)</f>
      </c>
      <c r="R33" s="780">
        <f>IF('[2]BASE'!EH34=0,"",'[2]BASE'!EH34)</f>
      </c>
      <c r="S33" s="780">
        <f>IF('[2]BASE'!EI34=0,"",'[2]BASE'!EI34)</f>
      </c>
      <c r="T33" s="780">
        <f>IF('[2]BASE'!EJ34=0,"",'[2]BASE'!EJ34)</f>
      </c>
      <c r="U33" s="819"/>
      <c r="V33" s="777"/>
    </row>
    <row r="34" spans="2:22" s="772" customFormat="1" ht="19.5" customHeight="1">
      <c r="B34" s="773"/>
      <c r="C34" s="783">
        <f>IF('[1]BASE'!C35=0,"",'[1]BASE'!C35)</f>
        <v>19</v>
      </c>
      <c r="D34" s="783" t="str">
        <f>IF('[1]BASE'!D35=0,"",'[1]BASE'!D35)</f>
        <v>CHOCON - PUELCHES 2</v>
      </c>
      <c r="E34" s="783">
        <f>IF('[1]BASE'!E35=0,"",'[1]BASE'!E35)</f>
        <v>500</v>
      </c>
      <c r="F34" s="783">
        <f>IF('[1]BASE'!F35=0,"",'[1]BASE'!F35)</f>
        <v>304</v>
      </c>
      <c r="G34" s="784" t="str">
        <f>IF('[1]BASE'!G35=0,"",'[1]BASE'!G35)</f>
        <v>A</v>
      </c>
      <c r="H34" s="780">
        <f>IF('[2]BASE'!DX35=0,"",'[1]BASE'!DX35)</f>
      </c>
      <c r="I34" s="780">
        <f>IF('[2]BASE'!DY35=0,"",'[2]BASE'!DY35)</f>
      </c>
      <c r="J34" s="780">
        <f>IF('[2]BASE'!DZ35=0,"",'[2]BASE'!DZ35)</f>
      </c>
      <c r="K34" s="780">
        <f>IF('[2]BASE'!EA35=0,"",'[2]BASE'!EA35)</f>
      </c>
      <c r="L34" s="780">
        <f>IF('[2]BASE'!EB35=0,"",'[2]BASE'!EB35)</f>
      </c>
      <c r="M34" s="780">
        <f>IF('[2]BASE'!EC35=0,"",'[2]BASE'!EC35)</f>
        <v>1</v>
      </c>
      <c r="N34" s="780">
        <f>IF('[2]BASE'!ED35=0,"",'[2]BASE'!ED35)</f>
      </c>
      <c r="O34" s="780">
        <f>IF('[2]BASE'!EE35=0,"",'[2]BASE'!EE35)</f>
      </c>
      <c r="P34" s="780">
        <f>IF('[2]BASE'!EF35=0,"",'[2]BASE'!EF35)</f>
      </c>
      <c r="Q34" s="780">
        <f>IF('[2]BASE'!EG35=0,"",'[2]BASE'!EG35)</f>
      </c>
      <c r="R34" s="780">
        <f>IF('[2]BASE'!EH35=0,"",'[2]BASE'!EH35)</f>
      </c>
      <c r="S34" s="780">
        <f>IF('[2]BASE'!EI35=0,"",'[2]BASE'!EI35)</f>
      </c>
      <c r="T34" s="780">
        <f>IF('[2]BASE'!EJ35=0,"",'[2]BASE'!EJ35)</f>
      </c>
      <c r="U34" s="819"/>
      <c r="V34" s="777"/>
    </row>
    <row r="35" spans="2:22" s="772" customFormat="1" ht="19.5" customHeight="1">
      <c r="B35" s="773"/>
      <c r="C35" s="781">
        <f>IF('[1]BASE'!C36=0,"",'[1]BASE'!C36)</f>
        <v>20</v>
      </c>
      <c r="D35" s="781" t="str">
        <f>IF('[1]BASE'!D36=0,"",'[1]BASE'!D36)</f>
        <v>E.T.P.del AGUILA - CENTRAL P.del A. 1</v>
      </c>
      <c r="E35" s="781">
        <f>IF('[1]BASE'!E36=0,"",'[1]BASE'!E36)</f>
        <v>500</v>
      </c>
      <c r="F35" s="781">
        <f>IF('[1]BASE'!F36=0,"",'[1]BASE'!F36)</f>
        <v>5.6</v>
      </c>
      <c r="G35" s="782" t="str">
        <f>IF('[1]BASE'!G36=0,"",'[1]BASE'!G36)</f>
        <v>C</v>
      </c>
      <c r="H35" s="780">
        <f>IF('[2]BASE'!DX36=0,"",'[1]BASE'!DX36)</f>
      </c>
      <c r="I35" s="780">
        <f>IF('[2]BASE'!DY36=0,"",'[2]BASE'!DY36)</f>
      </c>
      <c r="J35" s="780">
        <f>IF('[2]BASE'!DZ36=0,"",'[2]BASE'!DZ36)</f>
      </c>
      <c r="K35" s="780">
        <f>IF('[2]BASE'!EA36=0,"",'[2]BASE'!EA36)</f>
      </c>
      <c r="L35" s="780">
        <f>IF('[2]BASE'!EB36=0,"",'[2]BASE'!EB36)</f>
      </c>
      <c r="M35" s="780">
        <f>IF('[2]BASE'!EC36=0,"",'[2]BASE'!EC36)</f>
      </c>
      <c r="N35" s="780">
        <f>IF('[2]BASE'!ED36=0,"",'[2]BASE'!ED36)</f>
      </c>
      <c r="O35" s="780">
        <f>IF('[2]BASE'!EE36=0,"",'[2]BASE'!EE36)</f>
      </c>
      <c r="P35" s="780">
        <f>IF('[2]BASE'!EF36=0,"",'[2]BASE'!EF36)</f>
      </c>
      <c r="Q35" s="780">
        <f>IF('[2]BASE'!EG36=0,"",'[2]BASE'!EG36)</f>
      </c>
      <c r="R35" s="780">
        <f>IF('[2]BASE'!EH36=0,"",'[2]BASE'!EH36)</f>
      </c>
      <c r="S35" s="780">
        <f>IF('[2]BASE'!EI36=0,"",'[2]BASE'!EI36)</f>
      </c>
      <c r="T35" s="780">
        <f>IF('[2]BASE'!EJ36=0,"",'[2]BASE'!EJ36)</f>
      </c>
      <c r="U35" s="819"/>
      <c r="V35" s="777"/>
    </row>
    <row r="36" spans="2:22" s="772" customFormat="1" ht="19.5" customHeight="1">
      <c r="B36" s="773"/>
      <c r="C36" s="783">
        <f>IF('[1]BASE'!C37=0,"",'[1]BASE'!C37)</f>
        <v>21</v>
      </c>
      <c r="D36" s="783" t="str">
        <f>IF('[1]BASE'!D37=0,"",'[1]BASE'!D37)</f>
        <v>E.T.P.del AGUILA - CENTRAL P.del A. 2</v>
      </c>
      <c r="E36" s="783">
        <f>IF('[1]BASE'!E37=0,"",'[1]BASE'!E37)</f>
        <v>500</v>
      </c>
      <c r="F36" s="783">
        <f>IF('[1]BASE'!F37=0,"",'[1]BASE'!F37)</f>
        <v>5.6</v>
      </c>
      <c r="G36" s="784" t="str">
        <f>IF('[1]BASE'!G37=0,"",'[1]BASE'!G37)</f>
        <v>C</v>
      </c>
      <c r="H36" s="780">
        <f>IF('[2]BASE'!DX37=0,"",'[1]BASE'!DX37)</f>
      </c>
      <c r="I36" s="780">
        <f>IF('[2]BASE'!DY37=0,"",'[2]BASE'!DY37)</f>
      </c>
      <c r="J36" s="780">
        <f>IF('[2]BASE'!DZ37=0,"",'[2]BASE'!DZ37)</f>
      </c>
      <c r="K36" s="780">
        <f>IF('[2]BASE'!EA37=0,"",'[2]BASE'!EA37)</f>
      </c>
      <c r="L36" s="780">
        <f>IF('[2]BASE'!EB37=0,"",'[2]BASE'!EB37)</f>
      </c>
      <c r="M36" s="780">
        <f>IF('[2]BASE'!EC37=0,"",'[2]BASE'!EC37)</f>
      </c>
      <c r="N36" s="780">
        <f>IF('[2]BASE'!ED37=0,"",'[2]BASE'!ED37)</f>
      </c>
      <c r="O36" s="780">
        <f>IF('[2]BASE'!EE37=0,"",'[2]BASE'!EE37)</f>
      </c>
      <c r="P36" s="780">
        <f>IF('[2]BASE'!EF37=0,"",'[2]BASE'!EF37)</f>
      </c>
      <c r="Q36" s="780">
        <f>IF('[2]BASE'!EG37=0,"",'[2]BASE'!EG37)</f>
      </c>
      <c r="R36" s="780">
        <f>IF('[2]BASE'!EH37=0,"",'[2]BASE'!EH37)</f>
      </c>
      <c r="S36" s="780">
        <f>IF('[2]BASE'!EI37=0,"",'[2]BASE'!EI37)</f>
      </c>
      <c r="T36" s="780">
        <f>IF('[2]BASE'!EJ37=0,"",'[2]BASE'!EJ37)</f>
        <v>1</v>
      </c>
      <c r="U36" s="819"/>
      <c r="V36" s="777"/>
    </row>
    <row r="37" spans="2:22" s="772" customFormat="1" ht="19.5" customHeight="1">
      <c r="B37" s="773"/>
      <c r="C37" s="781">
        <f>IF('[1]BASE'!C38=0,"",'[1]BASE'!C38)</f>
        <v>22</v>
      </c>
      <c r="D37" s="781" t="str">
        <f>IF('[1]BASE'!D38=0,"",'[1]BASE'!D38)</f>
        <v>EL BRACHO - RECREO(5)</v>
      </c>
      <c r="E37" s="781">
        <f>IF('[1]BASE'!E38=0,"",'[1]BASE'!E38)</f>
        <v>500</v>
      </c>
      <c r="F37" s="781">
        <f>IF('[1]BASE'!F38=0,"",'[1]BASE'!F38)</f>
        <v>255</v>
      </c>
      <c r="G37" s="782" t="str">
        <f>IF('[1]BASE'!G38=0,"",'[1]BASE'!G38)</f>
        <v>C</v>
      </c>
      <c r="H37" s="780">
        <f>IF('[2]BASE'!DX38=0,"",'[1]BASE'!DX38)</f>
      </c>
      <c r="I37" s="780">
        <f>IF('[2]BASE'!DY38=0,"",'[2]BASE'!DY38)</f>
      </c>
      <c r="J37" s="780">
        <f>IF('[2]BASE'!DZ38=0,"",'[2]BASE'!DZ38)</f>
      </c>
      <c r="K37" s="780">
        <f>IF('[2]BASE'!EA38=0,"",'[2]BASE'!EA38)</f>
      </c>
      <c r="L37" s="780">
        <f>IF('[2]BASE'!EB38=0,"",'[2]BASE'!EB38)</f>
      </c>
      <c r="M37" s="780">
        <f>IF('[2]BASE'!EC38=0,"",'[2]BASE'!EC38)</f>
      </c>
      <c r="N37" s="780">
        <f>IF('[2]BASE'!ED38=0,"",'[2]BASE'!ED38)</f>
      </c>
      <c r="O37" s="780">
        <f>IF('[2]BASE'!EE38=0,"",'[2]BASE'!EE38)</f>
      </c>
      <c r="P37" s="780">
        <f>IF('[2]BASE'!EF38=0,"",'[2]BASE'!EF38)</f>
      </c>
      <c r="Q37" s="780">
        <f>IF('[2]BASE'!EG38=0,"",'[2]BASE'!EG38)</f>
      </c>
      <c r="R37" s="780">
        <f>IF('[2]BASE'!EH38=0,"",'[2]BASE'!EH38)</f>
      </c>
      <c r="S37" s="780">
        <f>IF('[2]BASE'!EI38=0,"",'[2]BASE'!EI38)</f>
      </c>
      <c r="T37" s="780">
        <f>IF('[2]BASE'!EJ38=0,"",'[2]BASE'!EJ38)</f>
      </c>
      <c r="U37" s="819"/>
      <c r="V37" s="777"/>
    </row>
    <row r="38" spans="2:22" s="772" customFormat="1" ht="19.5" customHeight="1">
      <c r="B38" s="773"/>
      <c r="C38" s="783">
        <f>IF('[1]BASE'!C39=0,"",'[1]BASE'!C39)</f>
        <v>23</v>
      </c>
      <c r="D38" s="783" t="str">
        <f>IF('[1]BASE'!D39=0,"",'[1]BASE'!D39)</f>
        <v>EZEIZA - ABASTO 1</v>
      </c>
      <c r="E38" s="783">
        <f>IF('[1]BASE'!E39=0,"",'[1]BASE'!E39)</f>
        <v>500</v>
      </c>
      <c r="F38" s="783">
        <f>IF('[1]BASE'!F39=0,"",'[1]BASE'!F39)</f>
        <v>58</v>
      </c>
      <c r="G38" s="784" t="str">
        <f>IF('[1]BASE'!G39=0,"",'[1]BASE'!G39)</f>
        <v>C</v>
      </c>
      <c r="H38" s="780">
        <f>IF('[2]BASE'!DX39=0,"",'[1]BASE'!DX39)</f>
      </c>
      <c r="I38" s="780">
        <f>IF('[2]BASE'!DY39=0,"",'[2]BASE'!DY39)</f>
      </c>
      <c r="J38" s="780">
        <f>IF('[2]BASE'!DZ39=0,"",'[2]BASE'!DZ39)</f>
      </c>
      <c r="K38" s="780">
        <f>IF('[2]BASE'!EA39=0,"",'[2]BASE'!EA39)</f>
      </c>
      <c r="L38" s="780">
        <f>IF('[2]BASE'!EB39=0,"",'[2]BASE'!EB39)</f>
      </c>
      <c r="M38" s="780">
        <f>IF('[2]BASE'!EC39=0,"",'[2]BASE'!EC39)</f>
      </c>
      <c r="N38" s="780">
        <f>IF('[2]BASE'!ED39=0,"",'[2]BASE'!ED39)</f>
      </c>
      <c r="O38" s="780">
        <f>IF('[2]BASE'!EE39=0,"",'[2]BASE'!EE39)</f>
      </c>
      <c r="P38" s="780">
        <f>IF('[2]BASE'!EF39=0,"",'[2]BASE'!EF39)</f>
      </c>
      <c r="Q38" s="780">
        <f>IF('[2]BASE'!EG39=0,"",'[2]BASE'!EG39)</f>
      </c>
      <c r="R38" s="780">
        <f>IF('[2]BASE'!EH39=0,"",'[2]BASE'!EH39)</f>
      </c>
      <c r="S38" s="780">
        <f>IF('[2]BASE'!EI39=0,"",'[2]BASE'!EI39)</f>
      </c>
      <c r="T38" s="780">
        <f>IF('[2]BASE'!EJ39=0,"",'[2]BASE'!EJ39)</f>
      </c>
      <c r="U38" s="819"/>
      <c r="V38" s="777"/>
    </row>
    <row r="39" spans="2:22" s="772" customFormat="1" ht="19.5" customHeight="1">
      <c r="B39" s="773"/>
      <c r="C39" s="781">
        <f>IF('[1]BASE'!C40=0,"",'[1]BASE'!C40)</f>
        <v>24</v>
      </c>
      <c r="D39" s="781" t="str">
        <f>IF('[1]BASE'!D40=0,"",'[1]BASE'!D40)</f>
        <v>EZEIZA - ABASTO 2</v>
      </c>
      <c r="E39" s="781">
        <f>IF('[1]BASE'!E40=0,"",'[1]BASE'!E40)</f>
        <v>500</v>
      </c>
      <c r="F39" s="781">
        <f>IF('[1]BASE'!F40=0,"",'[1]BASE'!F40)</f>
        <v>58</v>
      </c>
      <c r="G39" s="782" t="str">
        <f>IF('[1]BASE'!G40=0,"",'[1]BASE'!G40)</f>
        <v>C</v>
      </c>
      <c r="H39" s="780">
        <f>IF('[2]BASE'!DX40=0,"",'[1]BASE'!DX40)</f>
      </c>
      <c r="I39" s="780">
        <f>IF('[2]BASE'!DY40=0,"",'[2]BASE'!DY40)</f>
      </c>
      <c r="J39" s="780">
        <f>IF('[2]BASE'!DZ40=0,"",'[2]BASE'!DZ40)</f>
      </c>
      <c r="K39" s="780">
        <f>IF('[2]BASE'!EA40=0,"",'[2]BASE'!EA40)</f>
      </c>
      <c r="L39" s="780">
        <f>IF('[2]BASE'!EB40=0,"",'[2]BASE'!EB40)</f>
      </c>
      <c r="M39" s="780">
        <f>IF('[2]BASE'!EC40=0,"",'[2]BASE'!EC40)</f>
      </c>
      <c r="N39" s="780">
        <f>IF('[2]BASE'!ED40=0,"",'[2]BASE'!ED40)</f>
      </c>
      <c r="O39" s="780">
        <f>IF('[2]BASE'!EE40=0,"",'[2]BASE'!EE40)</f>
      </c>
      <c r="P39" s="780">
        <f>IF('[2]BASE'!EF40=0,"",'[2]BASE'!EF40)</f>
      </c>
      <c r="Q39" s="780">
        <f>IF('[2]BASE'!EG40=0,"",'[2]BASE'!EG40)</f>
      </c>
      <c r="R39" s="780">
        <f>IF('[2]BASE'!EH40=0,"",'[2]BASE'!EH40)</f>
      </c>
      <c r="S39" s="780">
        <f>IF('[2]BASE'!EI40=0,"",'[2]BASE'!EI40)</f>
        <v>1</v>
      </c>
      <c r="T39" s="780">
        <f>IF('[2]BASE'!EJ40=0,"",'[2]BASE'!EJ40)</f>
      </c>
      <c r="U39" s="819"/>
      <c r="V39" s="777"/>
    </row>
    <row r="40" spans="2:22" s="772" customFormat="1" ht="19.5" customHeight="1">
      <c r="B40" s="773"/>
      <c r="C40" s="783">
        <f>IF('[1]BASE'!C41=0,"",'[1]BASE'!C41)</f>
        <v>25</v>
      </c>
      <c r="D40" s="783" t="str">
        <f>IF('[1]BASE'!D41=0,"",'[1]BASE'!D41)</f>
        <v>EZEIZA - RODRIGUEZ 1</v>
      </c>
      <c r="E40" s="783">
        <f>IF('[1]BASE'!E41=0,"",'[1]BASE'!E41)</f>
        <v>500</v>
      </c>
      <c r="F40" s="783">
        <f>IF('[1]BASE'!F41=0,"",'[1]BASE'!F41)</f>
        <v>53</v>
      </c>
      <c r="G40" s="784" t="str">
        <f>IF('[1]BASE'!G41=0,"",'[1]BASE'!G41)</f>
        <v>C</v>
      </c>
      <c r="H40" s="780">
        <f>IF('[2]BASE'!DX41=0,"",'[1]BASE'!DX41)</f>
      </c>
      <c r="I40" s="780">
        <f>IF('[2]BASE'!DY41=0,"",'[2]BASE'!DY41)</f>
      </c>
      <c r="J40" s="780">
        <f>IF('[2]BASE'!DZ41=0,"",'[2]BASE'!DZ41)</f>
      </c>
      <c r="K40" s="780">
        <f>IF('[2]BASE'!EA41=0,"",'[2]BASE'!EA41)</f>
      </c>
      <c r="L40" s="780">
        <f>IF('[2]BASE'!EB41=0,"",'[2]BASE'!EB41)</f>
      </c>
      <c r="M40" s="780">
        <f>IF('[2]BASE'!EC41=0,"",'[2]BASE'!EC41)</f>
      </c>
      <c r="N40" s="780">
        <f>IF('[2]BASE'!ED41=0,"",'[2]BASE'!ED41)</f>
      </c>
      <c r="O40" s="780">
        <f>IF('[2]BASE'!EE41=0,"",'[2]BASE'!EE41)</f>
      </c>
      <c r="P40" s="780">
        <f>IF('[2]BASE'!EF41=0,"",'[2]BASE'!EF41)</f>
      </c>
      <c r="Q40" s="780">
        <f>IF('[2]BASE'!EG41=0,"",'[2]BASE'!EG41)</f>
      </c>
      <c r="R40" s="780">
        <f>IF('[2]BASE'!EH41=0,"",'[2]BASE'!EH41)</f>
      </c>
      <c r="S40" s="780">
        <f>IF('[2]BASE'!EI41=0,"",'[2]BASE'!EI41)</f>
      </c>
      <c r="T40" s="780">
        <f>IF('[2]BASE'!EJ41=0,"",'[2]BASE'!EJ41)</f>
      </c>
      <c r="U40" s="819"/>
      <c r="V40" s="777"/>
    </row>
    <row r="41" spans="2:22" s="772" customFormat="1" ht="19.5" customHeight="1">
      <c r="B41" s="773"/>
      <c r="C41" s="781">
        <f>IF('[1]BASE'!C42=0,"",'[1]BASE'!C42)</f>
        <v>26</v>
      </c>
      <c r="D41" s="781" t="str">
        <f>IF('[1]BASE'!D42=0,"",'[1]BASE'!D42)</f>
        <v>EZEIZA - RODRIGUEZ 2</v>
      </c>
      <c r="E41" s="781">
        <f>IF('[1]BASE'!E42=0,"",'[1]BASE'!E42)</f>
        <v>500</v>
      </c>
      <c r="F41" s="781">
        <f>IF('[1]BASE'!F42=0,"",'[1]BASE'!F42)</f>
        <v>53</v>
      </c>
      <c r="G41" s="782" t="str">
        <f>IF('[1]BASE'!G42=0,"",'[1]BASE'!G42)</f>
        <v>C</v>
      </c>
      <c r="H41" s="780">
        <f>IF('[2]BASE'!DX42=0,"",'[1]BASE'!DX42)</f>
      </c>
      <c r="I41" s="780">
        <f>IF('[2]BASE'!DY42=0,"",'[2]BASE'!DY42)</f>
      </c>
      <c r="J41" s="780">
        <f>IF('[2]BASE'!DZ42=0,"",'[2]BASE'!DZ42)</f>
      </c>
      <c r="K41" s="780">
        <f>IF('[2]BASE'!EA42=0,"",'[2]BASE'!EA42)</f>
      </c>
      <c r="L41" s="780">
        <f>IF('[2]BASE'!EB42=0,"",'[2]BASE'!EB42)</f>
      </c>
      <c r="M41" s="780">
        <f>IF('[2]BASE'!EC42=0,"",'[2]BASE'!EC42)</f>
      </c>
      <c r="N41" s="780">
        <f>IF('[2]BASE'!ED42=0,"",'[2]BASE'!ED42)</f>
      </c>
      <c r="O41" s="780">
        <f>IF('[2]BASE'!EE42=0,"",'[2]BASE'!EE42)</f>
      </c>
      <c r="P41" s="780">
        <f>IF('[2]BASE'!EF42=0,"",'[2]BASE'!EF42)</f>
      </c>
      <c r="Q41" s="780">
        <f>IF('[2]BASE'!EG42=0,"",'[2]BASE'!EG42)</f>
      </c>
      <c r="R41" s="780">
        <f>IF('[2]BASE'!EH42=0,"",'[2]BASE'!EH42)</f>
      </c>
      <c r="S41" s="780">
        <f>IF('[2]BASE'!EI42=0,"",'[2]BASE'!EI42)</f>
      </c>
      <c r="T41" s="780">
        <f>IF('[2]BASE'!EJ42=0,"",'[2]BASE'!EJ42)</f>
      </c>
      <c r="U41" s="819"/>
      <c r="V41" s="777"/>
    </row>
    <row r="42" spans="2:22" s="772" customFormat="1" ht="19.5" customHeight="1">
      <c r="B42" s="773"/>
      <c r="C42" s="783">
        <f>IF('[1]BASE'!C43=0,"",'[1]BASE'!C43)</f>
        <v>27</v>
      </c>
      <c r="D42" s="783" t="str">
        <f>IF('[1]BASE'!D43=0,"",'[1]BASE'!D43)</f>
        <v>EZEIZA- HENDERSON 1</v>
      </c>
      <c r="E42" s="783">
        <f>IF('[1]BASE'!E43=0,"",'[1]BASE'!E43)</f>
        <v>500</v>
      </c>
      <c r="F42" s="783">
        <f>IF('[1]BASE'!F43=0,"",'[1]BASE'!F43)</f>
        <v>313</v>
      </c>
      <c r="G42" s="784" t="str">
        <f>IF('[1]BASE'!G43=0,"",'[1]BASE'!G43)</f>
        <v>A</v>
      </c>
      <c r="H42" s="780">
        <f>IF('[2]BASE'!DX43=0,"",'[1]BASE'!DX43)</f>
      </c>
      <c r="I42" s="780">
        <f>IF('[2]BASE'!DY43=0,"",'[2]BASE'!DY43)</f>
      </c>
      <c r="J42" s="780">
        <f>IF('[2]BASE'!DZ43=0,"",'[2]BASE'!DZ43)</f>
      </c>
      <c r="K42" s="780">
        <f>IF('[2]BASE'!EA43=0,"",'[2]BASE'!EA43)</f>
      </c>
      <c r="L42" s="780">
        <f>IF('[2]BASE'!EB43=0,"",'[2]BASE'!EB43)</f>
      </c>
      <c r="M42" s="780">
        <f>IF('[2]BASE'!EC43=0,"",'[2]BASE'!EC43)</f>
      </c>
      <c r="N42" s="780">
        <f>IF('[2]BASE'!ED43=0,"",'[2]BASE'!ED43)</f>
        <v>1</v>
      </c>
      <c r="O42" s="780">
        <f>IF('[2]BASE'!EE43=0,"",'[2]BASE'!EE43)</f>
      </c>
      <c r="P42" s="780">
        <f>IF('[2]BASE'!EF43=0,"",'[2]BASE'!EF43)</f>
      </c>
      <c r="Q42" s="780">
        <f>IF('[2]BASE'!EG43=0,"",'[2]BASE'!EG43)</f>
      </c>
      <c r="R42" s="780">
        <f>IF('[2]BASE'!EH43=0,"",'[2]BASE'!EH43)</f>
      </c>
      <c r="S42" s="780">
        <f>IF('[2]BASE'!EI43=0,"",'[2]BASE'!EI43)</f>
      </c>
      <c r="T42" s="780">
        <f>IF('[2]BASE'!EJ43=0,"",'[2]BASE'!EJ43)</f>
      </c>
      <c r="U42" s="819"/>
      <c r="V42" s="777"/>
    </row>
    <row r="43" spans="2:22" s="772" customFormat="1" ht="19.5" customHeight="1">
      <c r="B43" s="773"/>
      <c r="C43" s="781">
        <f>IF('[1]BASE'!C44=0,"",'[1]BASE'!C44)</f>
        <v>28</v>
      </c>
      <c r="D43" s="781" t="str">
        <f>IF('[1]BASE'!D44=0,"",'[1]BASE'!D44)</f>
        <v>EZEIZA - HENDERSON 2</v>
      </c>
      <c r="E43" s="781">
        <f>IF('[1]BASE'!E44=0,"",'[1]BASE'!E44)</f>
        <v>500</v>
      </c>
      <c r="F43" s="781">
        <f>IF('[1]BASE'!F44=0,"",'[1]BASE'!F44)</f>
        <v>313</v>
      </c>
      <c r="G43" s="782" t="str">
        <f>IF('[1]BASE'!G44=0,"",'[1]BASE'!G44)</f>
        <v>A</v>
      </c>
      <c r="H43" s="780">
        <f>IF('[2]BASE'!DX44=0,"",'[1]BASE'!DX44)</f>
      </c>
      <c r="I43" s="780">
        <f>IF('[2]BASE'!DY44=0,"",'[2]BASE'!DY44)</f>
      </c>
      <c r="J43" s="780">
        <f>IF('[2]BASE'!DZ44=0,"",'[2]BASE'!DZ44)</f>
      </c>
      <c r="K43" s="780">
        <f>IF('[2]BASE'!EA44=0,"",'[2]BASE'!EA44)</f>
      </c>
      <c r="L43" s="780">
        <f>IF('[2]BASE'!EB44=0,"",'[2]BASE'!EB44)</f>
      </c>
      <c r="M43" s="780">
        <f>IF('[2]BASE'!EC44=0,"",'[2]BASE'!EC44)</f>
      </c>
      <c r="N43" s="780">
        <f>IF('[2]BASE'!ED44=0,"",'[2]BASE'!ED44)</f>
      </c>
      <c r="O43" s="780">
        <f>IF('[2]BASE'!EE44=0,"",'[2]BASE'!EE44)</f>
      </c>
      <c r="P43" s="780">
        <f>IF('[2]BASE'!EF44=0,"",'[2]BASE'!EF44)</f>
      </c>
      <c r="Q43" s="780">
        <f>IF('[2]BASE'!EG44=0,"",'[2]BASE'!EG44)</f>
      </c>
      <c r="R43" s="780">
        <f>IF('[2]BASE'!EH44=0,"",'[2]BASE'!EH44)</f>
      </c>
      <c r="S43" s="780">
        <f>IF('[2]BASE'!EI44=0,"",'[2]BASE'!EI44)</f>
      </c>
      <c r="T43" s="780">
        <f>IF('[2]BASE'!EJ44=0,"",'[2]BASE'!EJ44)</f>
      </c>
      <c r="U43" s="819"/>
      <c r="V43" s="777"/>
    </row>
    <row r="44" spans="2:22" s="772" customFormat="1" ht="19.5" customHeight="1">
      <c r="B44" s="773"/>
      <c r="C44" s="783">
        <f>IF('[1]BASE'!C45=0,"",'[1]BASE'!C45)</f>
        <v>29</v>
      </c>
      <c r="D44" s="783" t="str">
        <f>IF('[1]BASE'!D45=0,"",'[1]BASE'!D45)</f>
        <v>GRAL. RODRIGUEZ - CAMPANA </v>
      </c>
      <c r="E44" s="783">
        <f>IF('[1]BASE'!E45=0,"",'[1]BASE'!E45)</f>
        <v>500</v>
      </c>
      <c r="F44" s="783">
        <f>IF('[1]BASE'!F45=0,"",'[1]BASE'!F45)</f>
        <v>42</v>
      </c>
      <c r="G44" s="784" t="str">
        <f>IF('[1]BASE'!G45=0,"",'[1]BASE'!G45)</f>
        <v>B</v>
      </c>
      <c r="H44" s="780">
        <f>IF('[2]BASE'!DX45=0,"",'[1]BASE'!DX45)</f>
      </c>
      <c r="I44" s="780">
        <f>IF('[2]BASE'!DY45=0,"",'[2]BASE'!DY45)</f>
      </c>
      <c r="J44" s="780">
        <f>IF('[2]BASE'!DZ45=0,"",'[2]BASE'!DZ45)</f>
      </c>
      <c r="K44" s="780">
        <f>IF('[2]BASE'!EA45=0,"",'[2]BASE'!EA45)</f>
      </c>
      <c r="L44" s="780">
        <f>IF('[2]BASE'!EB45=0,"",'[2]BASE'!EB45)</f>
      </c>
      <c r="M44" s="780">
        <f>IF('[2]BASE'!EC45=0,"",'[2]BASE'!EC45)</f>
      </c>
      <c r="N44" s="780">
        <f>IF('[2]BASE'!ED45=0,"",'[2]BASE'!ED45)</f>
      </c>
      <c r="O44" s="780">
        <f>IF('[2]BASE'!EE45=0,"",'[2]BASE'!EE45)</f>
      </c>
      <c r="P44" s="780">
        <f>IF('[2]BASE'!EF45=0,"",'[2]BASE'!EF45)</f>
      </c>
      <c r="Q44" s="780">
        <f>IF('[2]BASE'!EG45=0,"",'[2]BASE'!EG45)</f>
      </c>
      <c r="R44" s="780">
        <f>IF('[2]BASE'!EH45=0,"",'[2]BASE'!EH45)</f>
      </c>
      <c r="S44" s="780">
        <f>IF('[2]BASE'!EI45=0,"",'[2]BASE'!EI45)</f>
      </c>
      <c r="T44" s="780">
        <f>IF('[2]BASE'!EJ45=0,"",'[2]BASE'!EJ45)</f>
      </c>
      <c r="U44" s="819"/>
      <c r="V44" s="777"/>
    </row>
    <row r="45" spans="2:22" s="772" customFormat="1" ht="19.5" customHeight="1">
      <c r="B45" s="773"/>
      <c r="C45" s="781">
        <f>IF('[1]BASE'!C46=0,"",'[1]BASE'!C46)</f>
        <v>30</v>
      </c>
      <c r="D45" s="781" t="str">
        <f>IF('[1]BASE'!D46=0,"",'[1]BASE'!D46)</f>
        <v>GRAL. RODRIGUEZ- ROSARIO OESTE </v>
      </c>
      <c r="E45" s="781">
        <f>IF('[1]BASE'!E46=0,"",'[1]BASE'!E46)</f>
        <v>500</v>
      </c>
      <c r="F45" s="781">
        <f>IF('[1]BASE'!F46=0,"",'[1]BASE'!F46)</f>
        <v>258</v>
      </c>
      <c r="G45" s="782" t="str">
        <f>IF('[1]BASE'!G46=0,"",'[1]BASE'!G46)</f>
        <v>C</v>
      </c>
      <c r="H45" s="780" t="str">
        <f>IF('[2]BASE'!DX46=0,"",'[1]BASE'!DX46)</f>
        <v>XXXX</v>
      </c>
      <c r="I45" s="780" t="str">
        <f>IF('[2]BASE'!DY46=0,"",'[2]BASE'!DY46)</f>
        <v>XXXX</v>
      </c>
      <c r="J45" s="780" t="str">
        <f>IF('[2]BASE'!DZ46=0,"",'[2]BASE'!DZ46)</f>
        <v>XXXX</v>
      </c>
      <c r="K45" s="780" t="str">
        <f>IF('[2]BASE'!EA46=0,"",'[2]BASE'!EA46)</f>
        <v>XXXX</v>
      </c>
      <c r="L45" s="780" t="str">
        <f>IF('[2]BASE'!EB46=0,"",'[2]BASE'!EB46)</f>
        <v>XXXX</v>
      </c>
      <c r="M45" s="780" t="str">
        <f>IF('[2]BASE'!EC46=0,"",'[2]BASE'!EC46)</f>
        <v>XXXX</v>
      </c>
      <c r="N45" s="780" t="str">
        <f>IF('[2]BASE'!ED46=0,"",'[2]BASE'!ED46)</f>
        <v>XXXX</v>
      </c>
      <c r="O45" s="780" t="str">
        <f>IF('[2]BASE'!EE46=0,"",'[2]BASE'!EE46)</f>
        <v>XXXX</v>
      </c>
      <c r="P45" s="780" t="str">
        <f>IF('[2]BASE'!EF46=0,"",'[2]BASE'!EF46)</f>
        <v>XXXX</v>
      </c>
      <c r="Q45" s="780" t="str">
        <f>IF('[2]BASE'!EG46=0,"",'[2]BASE'!EG46)</f>
        <v>XXXX</v>
      </c>
      <c r="R45" s="780" t="str">
        <f>IF('[2]BASE'!EH46=0,"",'[2]BASE'!EH46)</f>
        <v>XXXX</v>
      </c>
      <c r="S45" s="780" t="str">
        <f>IF('[2]BASE'!EI46=0,"",'[2]BASE'!EI46)</f>
        <v>XXXX</v>
      </c>
      <c r="T45" s="780" t="str">
        <f>IF('[2]BASE'!EJ46=0,"",'[2]BASE'!EJ46)</f>
        <v>XXXX</v>
      </c>
      <c r="U45" s="819"/>
      <c r="V45" s="777"/>
    </row>
    <row r="46" spans="2:22" s="772" customFormat="1" ht="19.5" customHeight="1">
      <c r="B46" s="773"/>
      <c r="C46" s="783">
        <f>IF('[1]BASE'!C47=0,"",'[1]BASE'!C47)</f>
        <v>31</v>
      </c>
      <c r="D46" s="783" t="str">
        <f>IF('[1]BASE'!D47=0,"",'[1]BASE'!D47)</f>
        <v>MALVINAS ARG. - ALMAFUERTE </v>
      </c>
      <c r="E46" s="783">
        <f>IF('[1]BASE'!E47=0,"",'[1]BASE'!E47)</f>
        <v>500</v>
      </c>
      <c r="F46" s="783">
        <f>IF('[1]BASE'!F47=0,"",'[1]BASE'!F47)</f>
        <v>105</v>
      </c>
      <c r="G46" s="784" t="str">
        <f>IF('[1]BASE'!G47=0,"",'[1]BASE'!G47)</f>
        <v>B</v>
      </c>
      <c r="H46" s="780">
        <f>IF('[2]BASE'!DX47=0,"",'[1]BASE'!DX47)</f>
      </c>
      <c r="I46" s="780">
        <f>IF('[2]BASE'!DY47=0,"",'[2]BASE'!DY47)</f>
      </c>
      <c r="J46" s="780">
        <f>IF('[2]BASE'!DZ47=0,"",'[2]BASE'!DZ47)</f>
      </c>
      <c r="K46" s="780">
        <f>IF('[2]BASE'!EA47=0,"",'[2]BASE'!EA47)</f>
      </c>
      <c r="L46" s="780">
        <f>IF('[2]BASE'!EB47=0,"",'[2]BASE'!EB47)</f>
      </c>
      <c r="M46" s="780">
        <f>IF('[2]BASE'!EC47=0,"",'[2]BASE'!EC47)</f>
      </c>
      <c r="N46" s="780">
        <f>IF('[2]BASE'!ED47=0,"",'[2]BASE'!ED47)</f>
      </c>
      <c r="O46" s="780">
        <f>IF('[2]BASE'!EE47=0,"",'[2]BASE'!EE47)</f>
      </c>
      <c r="P46" s="780">
        <f>IF('[2]BASE'!EF47=0,"",'[2]BASE'!EF47)</f>
      </c>
      <c r="Q46" s="780">
        <f>IF('[2]BASE'!EG47=0,"",'[2]BASE'!EG47)</f>
      </c>
      <c r="R46" s="780">
        <f>IF('[2]BASE'!EH47=0,"",'[2]BASE'!EH47)</f>
      </c>
      <c r="S46" s="780">
        <f>IF('[2]BASE'!EI47=0,"",'[2]BASE'!EI47)</f>
      </c>
      <c r="T46" s="780">
        <f>IF('[2]BASE'!EJ47=0,"",'[2]BASE'!EJ47)</f>
      </c>
      <c r="U46" s="819"/>
      <c r="V46" s="777"/>
    </row>
    <row r="47" spans="2:22" s="772" customFormat="1" ht="19.5" customHeight="1">
      <c r="B47" s="773"/>
      <c r="C47" s="781">
        <f>IF('[1]BASE'!C48=0,"",'[1]BASE'!C48)</f>
        <v>32</v>
      </c>
      <c r="D47" s="781" t="str">
        <f>IF('[1]BASE'!D48=0,"",'[1]BASE'!D48)</f>
        <v>OLAVARRIA - BAHIA BLANCA 1</v>
      </c>
      <c r="E47" s="781">
        <f>IF('[1]BASE'!E48=0,"",'[1]BASE'!E48)</f>
        <v>500</v>
      </c>
      <c r="F47" s="781">
        <f>IF('[1]BASE'!F48=0,"",'[1]BASE'!F48)</f>
        <v>255</v>
      </c>
      <c r="G47" s="782" t="str">
        <f>IF('[1]BASE'!G48=0,"",'[1]BASE'!G48)</f>
        <v>B</v>
      </c>
      <c r="H47" s="780">
        <f>IF('[2]BASE'!DX48=0,"",'[1]BASE'!DX48)</f>
      </c>
      <c r="I47" s="780">
        <f>IF('[2]BASE'!DY48=0,"",'[2]BASE'!DY48)</f>
      </c>
      <c r="J47" s="780">
        <f>IF('[2]BASE'!DZ48=0,"",'[2]BASE'!DZ48)</f>
      </c>
      <c r="K47" s="780">
        <f>IF('[2]BASE'!EA48=0,"",'[2]BASE'!EA48)</f>
      </c>
      <c r="L47" s="780">
        <f>IF('[2]BASE'!EB48=0,"",'[2]BASE'!EB48)</f>
      </c>
      <c r="M47" s="780">
        <f>IF('[2]BASE'!EC48=0,"",'[2]BASE'!EC48)</f>
      </c>
      <c r="N47" s="780">
        <f>IF('[2]BASE'!ED48=0,"",'[2]BASE'!ED48)</f>
        <v>1</v>
      </c>
      <c r="O47" s="780">
        <f>IF('[2]BASE'!EE48=0,"",'[2]BASE'!EE48)</f>
      </c>
      <c r="P47" s="780">
        <f>IF('[2]BASE'!EF48=0,"",'[2]BASE'!EF48)</f>
      </c>
      <c r="Q47" s="780">
        <f>IF('[2]BASE'!EG48=0,"",'[2]BASE'!EG48)</f>
      </c>
      <c r="R47" s="780">
        <f>IF('[2]BASE'!EH48=0,"",'[2]BASE'!EH48)</f>
      </c>
      <c r="S47" s="780">
        <f>IF('[2]BASE'!EI48=0,"",'[2]BASE'!EI48)</f>
      </c>
      <c r="T47" s="780">
        <f>IF('[2]BASE'!EJ48=0,"",'[2]BASE'!EJ48)</f>
      </c>
      <c r="U47" s="819"/>
      <c r="V47" s="777"/>
    </row>
    <row r="48" spans="2:22" s="772" customFormat="1" ht="19.5" customHeight="1">
      <c r="B48" s="773"/>
      <c r="C48" s="783">
        <f>IF('[1]BASE'!C49=0,"",'[1]BASE'!C49)</f>
        <v>33</v>
      </c>
      <c r="D48" s="783" t="str">
        <f>IF('[1]BASE'!D49=0,"",'[1]BASE'!D49)</f>
        <v>OLAVARRIA - BAHIA BLANCA 2</v>
      </c>
      <c r="E48" s="783">
        <f>IF('[1]BASE'!E49=0,"",'[1]BASE'!E49)</f>
        <v>500</v>
      </c>
      <c r="F48" s="783">
        <f>IF('[1]BASE'!F49=0,"",'[1]BASE'!F49)</f>
        <v>254.8</v>
      </c>
      <c r="G48" s="784">
        <f>IF('[1]BASE'!G49=0,"",'[1]BASE'!G49)</f>
      </c>
      <c r="H48" s="780">
        <f>IF('[2]BASE'!DX49=0,"",'[1]BASE'!DX49)</f>
      </c>
      <c r="I48" s="780">
        <f>IF('[2]BASE'!DY49=0,"",'[2]BASE'!DY49)</f>
      </c>
      <c r="J48" s="780">
        <f>IF('[2]BASE'!DZ49=0,"",'[2]BASE'!DZ49)</f>
      </c>
      <c r="K48" s="780">
        <f>IF('[2]BASE'!EA49=0,"",'[2]BASE'!EA49)</f>
      </c>
      <c r="L48" s="780">
        <f>IF('[2]BASE'!EB49=0,"",'[2]BASE'!EB49)</f>
      </c>
      <c r="M48" s="780">
        <f>IF('[2]BASE'!EC49=0,"",'[2]BASE'!EC49)</f>
      </c>
      <c r="N48" s="780">
        <f>IF('[2]BASE'!ED49=0,"",'[2]BASE'!ED49)</f>
      </c>
      <c r="O48" s="780">
        <f>IF('[2]BASE'!EE49=0,"",'[2]BASE'!EE49)</f>
      </c>
      <c r="P48" s="780">
        <f>IF('[2]BASE'!EF49=0,"",'[2]BASE'!EF49)</f>
      </c>
      <c r="Q48" s="780">
        <f>IF('[2]BASE'!EG49=0,"",'[2]BASE'!EG49)</f>
      </c>
      <c r="R48" s="780">
        <f>IF('[2]BASE'!EH49=0,"",'[2]BASE'!EH49)</f>
      </c>
      <c r="S48" s="780">
        <f>IF('[2]BASE'!EI49=0,"",'[2]BASE'!EI49)</f>
      </c>
      <c r="T48" s="780">
        <f>IF('[2]BASE'!EJ49=0,"",'[2]BASE'!EJ49)</f>
      </c>
      <c r="U48" s="819"/>
      <c r="V48" s="777"/>
    </row>
    <row r="49" spans="2:22" s="772" customFormat="1" ht="19.5" customHeight="1">
      <c r="B49" s="773"/>
      <c r="C49" s="781">
        <f>IF('[1]BASE'!C50=0,"",'[1]BASE'!C50)</f>
        <v>34</v>
      </c>
      <c r="D49" s="781" t="str">
        <f>IF('[1]BASE'!D50=0,"",'[1]BASE'!D50)</f>
        <v>P.del AGUILA  - CHOELE CHOEL</v>
      </c>
      <c r="E49" s="781">
        <f>IF('[1]BASE'!E50=0,"",'[1]BASE'!E50)</f>
        <v>500</v>
      </c>
      <c r="F49" s="781">
        <f>IF('[1]BASE'!F50=0,"",'[1]BASE'!F50)</f>
        <v>386.7</v>
      </c>
      <c r="G49" s="782">
        <f>IF('[1]BASE'!G50=0,"",'[1]BASE'!G50)</f>
      </c>
      <c r="H49" s="780">
        <f>IF('[2]BASE'!DX50=0,"",'[1]BASE'!DX50)</f>
      </c>
      <c r="I49" s="780">
        <f>IF('[2]BASE'!DY50=0,"",'[2]BASE'!DY50)</f>
      </c>
      <c r="J49" s="780">
        <f>IF('[2]BASE'!DZ50=0,"",'[2]BASE'!DZ50)</f>
      </c>
      <c r="K49" s="780">
        <f>IF('[2]BASE'!EA50=0,"",'[2]BASE'!EA50)</f>
      </c>
      <c r="L49" s="780">
        <f>IF('[2]BASE'!EB50=0,"",'[2]BASE'!EB50)</f>
      </c>
      <c r="M49" s="780">
        <f>IF('[2]BASE'!EC50=0,"",'[2]BASE'!EC50)</f>
      </c>
      <c r="N49" s="780">
        <f>IF('[2]BASE'!ED50=0,"",'[2]BASE'!ED50)</f>
      </c>
      <c r="O49" s="780">
        <f>IF('[2]BASE'!EE50=0,"",'[2]BASE'!EE50)</f>
      </c>
      <c r="P49" s="780">
        <f>IF('[2]BASE'!EF50=0,"",'[2]BASE'!EF50)</f>
      </c>
      <c r="Q49" s="780">
        <f>IF('[2]BASE'!EG50=0,"",'[2]BASE'!EG50)</f>
      </c>
      <c r="R49" s="780">
        <f>IF('[2]BASE'!EH50=0,"",'[2]BASE'!EH50)</f>
      </c>
      <c r="S49" s="780">
        <f>IF('[2]BASE'!EI50=0,"",'[2]BASE'!EI50)</f>
      </c>
      <c r="T49" s="780">
        <f>IF('[2]BASE'!EJ50=0,"",'[2]BASE'!EJ50)</f>
        <v>1</v>
      </c>
      <c r="U49" s="819"/>
      <c r="V49" s="777"/>
    </row>
    <row r="50" spans="2:22" s="772" customFormat="1" ht="19.5" customHeight="1">
      <c r="B50" s="773"/>
      <c r="C50" s="783">
        <f>IF('[1]BASE'!C51=0,"",'[1]BASE'!C51)</f>
        <v>35</v>
      </c>
      <c r="D50" s="783" t="str">
        <f>IF('[1]BASE'!D51=0,"",'[1]BASE'!D51)</f>
        <v>P.del AGUILA  - CHO. W. 1 (5GW1)</v>
      </c>
      <c r="E50" s="783">
        <f>IF('[1]BASE'!E51=0,"",'[1]BASE'!E51)</f>
        <v>500</v>
      </c>
      <c r="F50" s="783">
        <f>IF('[1]BASE'!F51=0,"",'[1]BASE'!F51)</f>
        <v>165</v>
      </c>
      <c r="G50" s="784" t="str">
        <f>IF('[1]BASE'!G51=0,"",'[1]BASE'!G51)</f>
        <v>A</v>
      </c>
      <c r="H50" s="780">
        <f>IF('[2]BASE'!DX51=0,"",'[1]BASE'!DX51)</f>
      </c>
      <c r="I50" s="780">
        <f>IF('[2]BASE'!DY51=0,"",'[2]BASE'!DY51)</f>
      </c>
      <c r="J50" s="780">
        <f>IF('[2]BASE'!DZ51=0,"",'[2]BASE'!DZ51)</f>
        <v>1</v>
      </c>
      <c r="K50" s="780">
        <f>IF('[2]BASE'!EA51=0,"",'[2]BASE'!EA51)</f>
        <v>1</v>
      </c>
      <c r="L50" s="780">
        <f>IF('[2]BASE'!EB51=0,"",'[2]BASE'!EB51)</f>
      </c>
      <c r="M50" s="780">
        <f>IF('[2]BASE'!EC51=0,"",'[2]BASE'!EC51)</f>
      </c>
      <c r="N50" s="780">
        <f>IF('[2]BASE'!ED51=0,"",'[2]BASE'!ED51)</f>
      </c>
      <c r="O50" s="780">
        <f>IF('[2]BASE'!EE51=0,"",'[2]BASE'!EE51)</f>
      </c>
      <c r="P50" s="780">
        <f>IF('[2]BASE'!EF51=0,"",'[2]BASE'!EF51)</f>
      </c>
      <c r="Q50" s="780">
        <f>IF('[2]BASE'!EG51=0,"",'[2]BASE'!EG51)</f>
      </c>
      <c r="R50" s="780">
        <f>IF('[2]BASE'!EH51=0,"",'[2]BASE'!EH51)</f>
      </c>
      <c r="S50" s="780">
        <f>IF('[2]BASE'!EI51=0,"",'[2]BASE'!EI51)</f>
      </c>
      <c r="T50" s="780">
        <f>IF('[2]BASE'!EJ51=0,"",'[2]BASE'!EJ51)</f>
        <v>2</v>
      </c>
      <c r="U50" s="819"/>
      <c r="V50" s="777"/>
    </row>
    <row r="51" spans="2:22" s="772" customFormat="1" ht="19.5" customHeight="1">
      <c r="B51" s="773"/>
      <c r="C51" s="781">
        <f>IF('[1]BASE'!C52=0,"",'[1]BASE'!C52)</f>
        <v>36</v>
      </c>
      <c r="D51" s="781" t="str">
        <f>IF('[1]BASE'!D52=0,"",'[1]BASE'!D52)</f>
        <v>P.del AGUILA  - CHO. W. 2 (5GW2)</v>
      </c>
      <c r="E51" s="781">
        <f>IF('[1]BASE'!E52=0,"",'[1]BASE'!E52)</f>
        <v>500</v>
      </c>
      <c r="F51" s="781">
        <f>IF('[1]BASE'!F52=0,"",'[1]BASE'!F52)</f>
        <v>170</v>
      </c>
      <c r="G51" s="782" t="str">
        <f>IF('[1]BASE'!G52=0,"",'[1]BASE'!G52)</f>
        <v>A</v>
      </c>
      <c r="H51" s="780">
        <f>IF('[2]BASE'!DX52=0,"",'[1]BASE'!DX52)</f>
      </c>
      <c r="I51" s="780">
        <f>IF('[2]BASE'!DY52=0,"",'[2]BASE'!DY52)</f>
      </c>
      <c r="J51" s="780">
        <f>IF('[2]BASE'!DZ52=0,"",'[2]BASE'!DZ52)</f>
      </c>
      <c r="K51" s="780">
        <f>IF('[2]BASE'!EA52=0,"",'[2]BASE'!EA52)</f>
      </c>
      <c r="L51" s="780">
        <f>IF('[2]BASE'!EB52=0,"",'[2]BASE'!EB52)</f>
      </c>
      <c r="M51" s="780">
        <f>IF('[2]BASE'!EC52=0,"",'[2]BASE'!EC52)</f>
      </c>
      <c r="N51" s="780">
        <f>IF('[2]BASE'!ED52=0,"",'[2]BASE'!ED52)</f>
      </c>
      <c r="O51" s="780">
        <f>IF('[2]BASE'!EE52=0,"",'[2]BASE'!EE52)</f>
      </c>
      <c r="P51" s="780">
        <f>IF('[2]BASE'!EF52=0,"",'[2]BASE'!EF52)</f>
      </c>
      <c r="Q51" s="780">
        <f>IF('[2]BASE'!EG52=0,"",'[2]BASE'!EG52)</f>
      </c>
      <c r="R51" s="780">
        <f>IF('[2]BASE'!EH52=0,"",'[2]BASE'!EH52)</f>
      </c>
      <c r="S51" s="780">
        <f>IF('[2]BASE'!EI52=0,"",'[2]BASE'!EI52)</f>
      </c>
      <c r="T51" s="780">
        <f>IF('[2]BASE'!EJ52=0,"",'[2]BASE'!EJ52)</f>
      </c>
      <c r="U51" s="819"/>
      <c r="V51" s="777"/>
    </row>
    <row r="52" spans="2:22" s="772" customFormat="1" ht="19.5" customHeight="1">
      <c r="B52" s="773"/>
      <c r="C52" s="783">
        <f>IF('[1]BASE'!C53=0,"",'[1]BASE'!C53)</f>
        <v>37</v>
      </c>
      <c r="D52" s="783" t="str">
        <f>IF('[1]BASE'!D53=0,"",'[1]BASE'!D53)</f>
        <v>PUELCHES - HENDERSON 1 (B1)</v>
      </c>
      <c r="E52" s="783">
        <f>IF('[1]BASE'!E53=0,"",'[1]BASE'!E53)</f>
        <v>500</v>
      </c>
      <c r="F52" s="783">
        <f>IF('[1]BASE'!F53=0,"",'[1]BASE'!F53)</f>
        <v>421</v>
      </c>
      <c r="G52" s="784" t="str">
        <f>IF('[1]BASE'!G53=0,"",'[1]BASE'!G53)</f>
        <v>A</v>
      </c>
      <c r="H52" s="780">
        <f>IF('[2]BASE'!DX53=0,"",'[1]BASE'!DX53)</f>
      </c>
      <c r="I52" s="780">
        <f>IF('[2]BASE'!DY53=0,"",'[2]BASE'!DY53)</f>
      </c>
      <c r="J52" s="780">
        <f>IF('[2]BASE'!DZ53=0,"",'[2]BASE'!DZ53)</f>
      </c>
      <c r="K52" s="780">
        <f>IF('[2]BASE'!EA53=0,"",'[2]BASE'!EA53)</f>
      </c>
      <c r="L52" s="780">
        <f>IF('[2]BASE'!EB53=0,"",'[2]BASE'!EB53)</f>
      </c>
      <c r="M52" s="780">
        <f>IF('[2]BASE'!EC53=0,"",'[2]BASE'!EC53)</f>
      </c>
      <c r="N52" s="780">
        <f>IF('[2]BASE'!ED53=0,"",'[2]BASE'!ED53)</f>
      </c>
      <c r="O52" s="780">
        <f>IF('[2]BASE'!EE53=0,"",'[2]BASE'!EE53)</f>
      </c>
      <c r="P52" s="780">
        <f>IF('[2]BASE'!EF53=0,"",'[2]BASE'!EF53)</f>
      </c>
      <c r="Q52" s="780">
        <f>IF('[2]BASE'!EG53=0,"",'[2]BASE'!EG53)</f>
      </c>
      <c r="R52" s="780">
        <f>IF('[2]BASE'!EH53=0,"",'[2]BASE'!EH53)</f>
      </c>
      <c r="S52" s="780">
        <f>IF('[2]BASE'!EI53=0,"",'[2]BASE'!EI53)</f>
      </c>
      <c r="T52" s="780">
        <f>IF('[2]BASE'!EJ53=0,"",'[2]BASE'!EJ53)</f>
      </c>
      <c r="U52" s="819"/>
      <c r="V52" s="777"/>
    </row>
    <row r="53" spans="2:22" s="772" customFormat="1" ht="19.5" customHeight="1">
      <c r="B53" s="773"/>
      <c r="C53" s="781">
        <f>IF('[1]BASE'!C54=0,"",'[1]BASE'!C54)</f>
        <v>38</v>
      </c>
      <c r="D53" s="781" t="str">
        <f>IF('[1]BASE'!D54=0,"",'[1]BASE'!D54)</f>
        <v>PUELCHES - HENDERSON 2 (B2)</v>
      </c>
      <c r="E53" s="781">
        <f>IF('[1]BASE'!E54=0,"",'[1]BASE'!E54)</f>
        <v>500</v>
      </c>
      <c r="F53" s="781">
        <f>IF('[1]BASE'!F54=0,"",'[1]BASE'!F54)</f>
        <v>421</v>
      </c>
      <c r="G53" s="782" t="str">
        <f>IF('[1]BASE'!G54=0,"",'[1]BASE'!G54)</f>
        <v>A</v>
      </c>
      <c r="H53" s="780" t="str">
        <f>IF('[2]BASE'!DX54=0,"",'[1]BASE'!DX54)</f>
        <v>XXXX</v>
      </c>
      <c r="I53" s="780" t="str">
        <f>IF('[2]BASE'!DY54=0,"",'[2]BASE'!DY54)</f>
        <v>XXXX</v>
      </c>
      <c r="J53" s="780" t="str">
        <f>IF('[2]BASE'!DZ54=0,"",'[2]BASE'!DZ54)</f>
        <v>XXXX</v>
      </c>
      <c r="K53" s="780" t="str">
        <f>IF('[2]BASE'!EA54=0,"",'[2]BASE'!EA54)</f>
        <v>XXXX</v>
      </c>
      <c r="L53" s="780" t="str">
        <f>IF('[2]BASE'!EB54=0,"",'[2]BASE'!EB54)</f>
        <v>XXXX</v>
      </c>
      <c r="M53" s="780" t="str">
        <f>IF('[2]BASE'!EC54=0,"",'[2]BASE'!EC54)</f>
        <v>XXXX</v>
      </c>
      <c r="N53" s="780" t="str">
        <f>IF('[2]BASE'!ED54=0,"",'[2]BASE'!ED54)</f>
        <v>XXXX</v>
      </c>
      <c r="O53" s="780" t="str">
        <f>IF('[2]BASE'!EE54=0,"",'[2]BASE'!EE54)</f>
        <v>XXXX</v>
      </c>
      <c r="P53" s="780" t="str">
        <f>IF('[2]BASE'!EF54=0,"",'[2]BASE'!EF54)</f>
        <v>XXXX</v>
      </c>
      <c r="Q53" s="780" t="str">
        <f>IF('[2]BASE'!EG54=0,"",'[2]BASE'!EG54)</f>
        <v>XXXX</v>
      </c>
      <c r="R53" s="780" t="str">
        <f>IF('[2]BASE'!EH54=0,"",'[2]BASE'!EH54)</f>
        <v>XXXX</v>
      </c>
      <c r="S53" s="780" t="str">
        <f>IF('[2]BASE'!EI54=0,"",'[2]BASE'!EI54)</f>
        <v>XXXX</v>
      </c>
      <c r="T53" s="780" t="str">
        <f>IF('[2]BASE'!EJ54=0,"",'[2]BASE'!EJ54)</f>
        <v>XXXX</v>
      </c>
      <c r="U53" s="819"/>
      <c r="V53" s="777"/>
    </row>
    <row r="54" spans="2:22" s="772" customFormat="1" ht="19.5" customHeight="1">
      <c r="B54" s="773"/>
      <c r="C54" s="783">
        <f>IF('[1]BASE'!C55=0,"",'[1]BASE'!C55)</f>
        <v>39</v>
      </c>
      <c r="D54" s="783" t="str">
        <f>IF('[1]BASE'!D55=0,"",'[1]BASE'!D55)</f>
        <v>RECREO - MALVINAS ARG. </v>
      </c>
      <c r="E54" s="783">
        <f>IF('[1]BASE'!E55=0,"",'[1]BASE'!E55)</f>
        <v>500</v>
      </c>
      <c r="F54" s="783">
        <f>IF('[1]BASE'!F55=0,"",'[1]BASE'!F55)</f>
        <v>259</v>
      </c>
      <c r="G54" s="784" t="str">
        <f>IF('[1]BASE'!G55=0,"",'[1]BASE'!G55)</f>
        <v>C</v>
      </c>
      <c r="H54" s="780">
        <f>IF('[2]BASE'!DX55=0,"",'[1]BASE'!DX55)</f>
      </c>
      <c r="I54" s="780">
        <f>IF('[2]BASE'!DY55=0,"",'[2]BASE'!DY55)</f>
      </c>
      <c r="J54" s="780">
        <f>IF('[2]BASE'!DZ55=0,"",'[2]BASE'!DZ55)</f>
      </c>
      <c r="K54" s="780">
        <f>IF('[2]BASE'!EA55=0,"",'[2]BASE'!EA55)</f>
      </c>
      <c r="L54" s="780">
        <f>IF('[2]BASE'!EB55=0,"",'[2]BASE'!EB55)</f>
      </c>
      <c r="M54" s="780">
        <f>IF('[2]BASE'!EC55=0,"",'[2]BASE'!EC55)</f>
      </c>
      <c r="N54" s="780">
        <f>IF('[2]BASE'!ED55=0,"",'[2]BASE'!ED55)</f>
      </c>
      <c r="O54" s="780">
        <f>IF('[2]BASE'!EE55=0,"",'[2]BASE'!EE55)</f>
      </c>
      <c r="P54" s="780">
        <f>IF('[2]BASE'!EF55=0,"",'[2]BASE'!EF55)</f>
      </c>
      <c r="Q54" s="780">
        <f>IF('[2]BASE'!EG55=0,"",'[2]BASE'!EG55)</f>
      </c>
      <c r="R54" s="780">
        <f>IF('[2]BASE'!EH55=0,"",'[2]BASE'!EH55)</f>
      </c>
      <c r="S54" s="780">
        <f>IF('[2]BASE'!EI55=0,"",'[2]BASE'!EI55)</f>
      </c>
      <c r="T54" s="780">
        <f>IF('[2]BASE'!EJ55=0,"",'[2]BASE'!EJ55)</f>
      </c>
      <c r="U54" s="819"/>
      <c r="V54" s="777"/>
    </row>
    <row r="55" spans="2:22" s="772" customFormat="1" ht="19.5" customHeight="1">
      <c r="B55" s="773"/>
      <c r="C55" s="781">
        <f>IF('[1]BASE'!C56=0,"",'[1]BASE'!C56)</f>
        <v>40</v>
      </c>
      <c r="D55" s="781" t="str">
        <f>IF('[1]BASE'!D56=0,"",'[1]BASE'!D56)</f>
        <v>RIO GRANDE - EMBALSE</v>
      </c>
      <c r="E55" s="781">
        <f>IF('[1]BASE'!E56=0,"",'[1]BASE'!E56)</f>
        <v>500</v>
      </c>
      <c r="F55" s="781">
        <f>IF('[1]BASE'!F56=0,"",'[1]BASE'!F56)</f>
        <v>30</v>
      </c>
      <c r="G55" s="782" t="str">
        <f>IF('[1]BASE'!G56=0,"",'[1]BASE'!G56)</f>
        <v>B</v>
      </c>
      <c r="H55" s="780">
        <f>IF('[2]BASE'!DX56=0,"",'[1]BASE'!DX56)</f>
      </c>
      <c r="I55" s="780">
        <f>IF('[2]BASE'!DY56=0,"",'[2]BASE'!DY56)</f>
      </c>
      <c r="J55" s="780">
        <f>IF('[2]BASE'!DZ56=0,"",'[2]BASE'!DZ56)</f>
      </c>
      <c r="K55" s="780">
        <f>IF('[2]BASE'!EA56=0,"",'[2]BASE'!EA56)</f>
      </c>
      <c r="L55" s="780">
        <f>IF('[2]BASE'!EB56=0,"",'[2]BASE'!EB56)</f>
      </c>
      <c r="M55" s="780">
        <f>IF('[2]BASE'!EC56=0,"",'[2]BASE'!EC56)</f>
      </c>
      <c r="N55" s="780">
        <f>IF('[2]BASE'!ED56=0,"",'[2]BASE'!ED56)</f>
      </c>
      <c r="O55" s="780">
        <f>IF('[2]BASE'!EE56=0,"",'[2]BASE'!EE56)</f>
      </c>
      <c r="P55" s="780">
        <f>IF('[2]BASE'!EF56=0,"",'[2]BASE'!EF56)</f>
      </c>
      <c r="Q55" s="780">
        <f>IF('[2]BASE'!EG56=0,"",'[2]BASE'!EG56)</f>
      </c>
      <c r="R55" s="780">
        <f>IF('[2]BASE'!EH56=0,"",'[2]BASE'!EH56)</f>
      </c>
      <c r="S55" s="780">
        <f>IF('[2]BASE'!EI56=0,"",'[2]BASE'!EI56)</f>
      </c>
      <c r="T55" s="780">
        <f>IF('[2]BASE'!EJ56=0,"",'[2]BASE'!EJ56)</f>
      </c>
      <c r="U55" s="819"/>
      <c r="V55" s="777"/>
    </row>
    <row r="56" spans="2:22" s="772" customFormat="1" ht="19.5" customHeight="1">
      <c r="B56" s="773"/>
      <c r="C56" s="783">
        <f>IF('[1]BASE'!C57=0,"",'[1]BASE'!C57)</f>
        <v>41</v>
      </c>
      <c r="D56" s="783" t="str">
        <f>IF('[1]BASE'!D57=0,"",'[1]BASE'!D57)</f>
        <v>RIO GRANDE - GRAN MENDOZA</v>
      </c>
      <c r="E56" s="783">
        <f>IF('[1]BASE'!E57=0,"",'[1]BASE'!E57)</f>
        <v>500</v>
      </c>
      <c r="F56" s="783">
        <f>IF('[1]BASE'!F57=0,"",'[1]BASE'!F57)</f>
        <v>407</v>
      </c>
      <c r="G56" s="784" t="str">
        <f>IF('[1]BASE'!G57=0,"",'[1]BASE'!G57)</f>
        <v>B</v>
      </c>
      <c r="H56" s="780" t="str">
        <f>IF('[2]BASE'!DX57=0,"",'[1]BASE'!DX57)</f>
        <v>XXXX</v>
      </c>
      <c r="I56" s="780" t="str">
        <f>IF('[2]BASE'!DY57=0,"",'[2]BASE'!DY57)</f>
        <v>XXXX</v>
      </c>
      <c r="J56" s="780" t="str">
        <f>IF('[2]BASE'!DZ57=0,"",'[2]BASE'!DZ57)</f>
        <v>XXXX</v>
      </c>
      <c r="K56" s="780" t="str">
        <f>IF('[2]BASE'!EA57=0,"",'[2]BASE'!EA57)</f>
        <v>XXXX</v>
      </c>
      <c r="L56" s="780" t="str">
        <f>IF('[2]BASE'!EB57=0,"",'[2]BASE'!EB57)</f>
        <v>XXXX</v>
      </c>
      <c r="M56" s="780" t="str">
        <f>IF('[2]BASE'!EC57=0,"",'[2]BASE'!EC57)</f>
        <v>XXXX</v>
      </c>
      <c r="N56" s="780" t="str">
        <f>IF('[2]BASE'!ED57=0,"",'[2]BASE'!ED57)</f>
        <v>XXXX</v>
      </c>
      <c r="O56" s="780" t="str">
        <f>IF('[2]BASE'!EE57=0,"",'[2]BASE'!EE57)</f>
        <v>XXXX</v>
      </c>
      <c r="P56" s="780" t="str">
        <f>IF('[2]BASE'!EF57=0,"",'[2]BASE'!EF57)</f>
        <v>XXXX</v>
      </c>
      <c r="Q56" s="780" t="str">
        <f>IF('[2]BASE'!EG57=0,"",'[2]BASE'!EG57)</f>
        <v>XXXX</v>
      </c>
      <c r="R56" s="780" t="str">
        <f>IF('[2]BASE'!EH57=0,"",'[2]BASE'!EH57)</f>
        <v>XXXX</v>
      </c>
      <c r="S56" s="780" t="str">
        <f>IF('[2]BASE'!EI57=0,"",'[2]BASE'!EI57)</f>
        <v>XXXX</v>
      </c>
      <c r="T56" s="780" t="str">
        <f>IF('[2]BASE'!EJ57=0,"",'[2]BASE'!EJ57)</f>
        <v>XXXX</v>
      </c>
      <c r="U56" s="819"/>
      <c r="V56" s="777"/>
    </row>
    <row r="57" spans="2:22" s="772" customFormat="1" ht="19.5" customHeight="1">
      <c r="B57" s="773"/>
      <c r="C57" s="781">
        <f>IF('[1]BASE'!C58=0,"",'[1]BASE'!C58)</f>
        <v>42</v>
      </c>
      <c r="D57" s="781" t="str">
        <f>IF('[1]BASE'!D58=0,"",'[1]BASE'!D58)</f>
        <v>RIO GRANDE - LUJAN</v>
      </c>
      <c r="E57" s="781">
        <f>IF('[1]BASE'!E58=0,"",'[1]BASE'!E58)</f>
        <v>500</v>
      </c>
      <c r="F57" s="781">
        <f>IF('[1]BASE'!F58=0,"",'[1]BASE'!F58)</f>
        <v>150</v>
      </c>
      <c r="G57" s="782" t="str">
        <f>IF('[1]BASE'!G58=0,"",'[1]BASE'!G58)</f>
        <v>A</v>
      </c>
      <c r="H57" s="780">
        <f>IF('[2]BASE'!DX58=0,"",'[1]BASE'!DX58)</f>
      </c>
      <c r="I57" s="780">
        <f>IF('[2]BASE'!DY58=0,"",'[2]BASE'!DY58)</f>
      </c>
      <c r="J57" s="780">
        <f>IF('[2]BASE'!DZ58=0,"",'[2]BASE'!DZ58)</f>
      </c>
      <c r="K57" s="780">
        <f>IF('[2]BASE'!EA58=0,"",'[2]BASE'!EA58)</f>
      </c>
      <c r="L57" s="780">
        <f>IF('[2]BASE'!EB58=0,"",'[2]BASE'!EB58)</f>
      </c>
      <c r="M57" s="780">
        <f>IF('[2]BASE'!EC58=0,"",'[2]BASE'!EC58)</f>
      </c>
      <c r="N57" s="780">
        <f>IF('[2]BASE'!ED58=0,"",'[2]BASE'!ED58)</f>
      </c>
      <c r="O57" s="780">
        <f>IF('[2]BASE'!EE58=0,"",'[2]BASE'!EE58)</f>
      </c>
      <c r="P57" s="780">
        <f>IF('[2]BASE'!EF58=0,"",'[2]BASE'!EF58)</f>
      </c>
      <c r="Q57" s="780">
        <f>IF('[2]BASE'!EG58=0,"",'[2]BASE'!EG58)</f>
      </c>
      <c r="R57" s="780">
        <f>IF('[2]BASE'!EH58=0,"",'[2]BASE'!EH58)</f>
      </c>
      <c r="S57" s="780">
        <f>IF('[2]BASE'!EI58=0,"",'[2]BASE'!EI58)</f>
      </c>
      <c r="T57" s="780">
        <f>IF('[2]BASE'!EJ58=0,"",'[2]BASE'!EJ58)</f>
      </c>
      <c r="U57" s="819"/>
      <c r="V57" s="777"/>
    </row>
    <row r="58" spans="2:22" s="772" customFormat="1" ht="19.5" customHeight="1">
      <c r="B58" s="773"/>
      <c r="C58" s="783">
        <f>IF('[1]BASE'!C59=0,"",'[1]BASE'!C59)</f>
        <v>43</v>
      </c>
      <c r="D58" s="783" t="str">
        <f>IF('[1]BASE'!D59=0,"",'[1]BASE'!D59)</f>
        <v>LUJAN - GRAN MENDOZA</v>
      </c>
      <c r="E58" s="783">
        <f>IF('[1]BASE'!E59=0,"",'[1]BASE'!E59)</f>
        <v>500</v>
      </c>
      <c r="F58" s="783">
        <f>IF('[1]BASE'!F59=0,"",'[1]BASE'!F59)</f>
        <v>257</v>
      </c>
      <c r="G58" s="784" t="str">
        <f>IF('[1]BASE'!G59=0,"",'[1]BASE'!G59)</f>
        <v>B</v>
      </c>
      <c r="H58" s="780">
        <f>IF('[2]BASE'!DX59=0,"",'[1]BASE'!DX59)</f>
      </c>
      <c r="I58" s="780">
        <f>IF('[2]BASE'!DY59=0,"",'[2]BASE'!DY59)</f>
      </c>
      <c r="J58" s="780">
        <f>IF('[2]BASE'!DZ59=0,"",'[2]BASE'!DZ59)</f>
      </c>
      <c r="K58" s="780">
        <f>IF('[2]BASE'!EA59=0,"",'[2]BASE'!EA59)</f>
      </c>
      <c r="L58" s="780">
        <f>IF('[2]BASE'!EB59=0,"",'[2]BASE'!EB59)</f>
        <v>1</v>
      </c>
      <c r="M58" s="780">
        <f>IF('[2]BASE'!EC59=0,"",'[2]BASE'!EC59)</f>
      </c>
      <c r="N58" s="780">
        <f>IF('[2]BASE'!ED59=0,"",'[2]BASE'!ED59)</f>
      </c>
      <c r="O58" s="780">
        <f>IF('[2]BASE'!EE59=0,"",'[2]BASE'!EE59)</f>
      </c>
      <c r="P58" s="780">
        <f>IF('[2]BASE'!EF59=0,"",'[2]BASE'!EF59)</f>
      </c>
      <c r="Q58" s="780">
        <f>IF('[2]BASE'!EG59=0,"",'[2]BASE'!EG59)</f>
      </c>
      <c r="R58" s="780">
        <f>IF('[2]BASE'!EH59=0,"",'[2]BASE'!EH59)</f>
      </c>
      <c r="S58" s="780">
        <f>IF('[2]BASE'!EI59=0,"",'[2]BASE'!EI59)</f>
      </c>
      <c r="T58" s="780">
        <f>IF('[2]BASE'!EJ59=0,"",'[2]BASE'!EJ59)</f>
      </c>
      <c r="U58" s="819"/>
      <c r="V58" s="777"/>
    </row>
    <row r="59" spans="2:22" s="772" customFormat="1" ht="19.5" customHeight="1">
      <c r="B59" s="773"/>
      <c r="C59" s="781">
        <f>IF('[1]BASE'!C60=0,"",'[1]BASE'!C60)</f>
        <v>44</v>
      </c>
      <c r="D59" s="781" t="str">
        <f>IF('[1]BASE'!D60=0,"",'[1]BASE'!D60)</f>
        <v>ROMANG - RESISTENCIA</v>
      </c>
      <c r="E59" s="781">
        <f>IF('[1]BASE'!E60=0,"",'[1]BASE'!E60)</f>
        <v>500</v>
      </c>
      <c r="F59" s="781">
        <f>IF('[1]BASE'!F60=0,"",'[1]BASE'!F60)</f>
        <v>256</v>
      </c>
      <c r="G59" s="782" t="str">
        <f>IF('[1]BASE'!G60=0,"",'[1]BASE'!G60)</f>
        <v>A</v>
      </c>
      <c r="H59" s="780">
        <f>IF('[2]BASE'!DX60=0,"",'[1]BASE'!DX60)</f>
      </c>
      <c r="I59" s="780">
        <f>IF('[2]BASE'!DY60=0,"",'[2]BASE'!DY60)</f>
      </c>
      <c r="J59" s="780">
        <f>IF('[2]BASE'!DZ60=0,"",'[2]BASE'!DZ60)</f>
      </c>
      <c r="K59" s="780">
        <f>IF('[2]BASE'!EA60=0,"",'[2]BASE'!EA60)</f>
      </c>
      <c r="L59" s="780">
        <f>IF('[2]BASE'!EB60=0,"",'[2]BASE'!EB60)</f>
      </c>
      <c r="M59" s="780">
        <f>IF('[2]BASE'!EC60=0,"",'[2]BASE'!EC60)</f>
      </c>
      <c r="N59" s="780">
        <f>IF('[2]BASE'!ED60=0,"",'[2]BASE'!ED60)</f>
      </c>
      <c r="O59" s="780">
        <f>IF('[2]BASE'!EE60=0,"",'[2]BASE'!EE60)</f>
      </c>
      <c r="P59" s="780">
        <f>IF('[2]BASE'!EF60=0,"",'[2]BASE'!EF60)</f>
      </c>
      <c r="Q59" s="780">
        <f>IF('[2]BASE'!EG60=0,"",'[2]BASE'!EG60)</f>
      </c>
      <c r="R59" s="780">
        <f>IF('[2]BASE'!EH60=0,"",'[2]BASE'!EH60)</f>
      </c>
      <c r="S59" s="780">
        <f>IF('[2]BASE'!EI60=0,"",'[2]BASE'!EI60)</f>
      </c>
      <c r="T59" s="780">
        <f>IF('[2]BASE'!EJ60=0,"",'[2]BASE'!EJ60)</f>
      </c>
      <c r="U59" s="819"/>
      <c r="V59" s="777"/>
    </row>
    <row r="60" spans="2:22" s="772" customFormat="1" ht="19.5" customHeight="1">
      <c r="B60" s="773"/>
      <c r="C60" s="783">
        <f>IF('[1]BASE'!C61=0,"",'[1]BASE'!C61)</f>
        <v>45</v>
      </c>
      <c r="D60" s="783" t="str">
        <f>IF('[1]BASE'!D61=0,"",'[1]BASE'!D61)</f>
        <v>ROSARIO OESTE -SANTO TOME</v>
      </c>
      <c r="E60" s="783">
        <f>IF('[1]BASE'!E61=0,"",'[1]BASE'!E61)</f>
        <v>500</v>
      </c>
      <c r="F60" s="783">
        <f>IF('[1]BASE'!F61=0,"",'[1]BASE'!F61)</f>
        <v>159</v>
      </c>
      <c r="G60" s="784" t="str">
        <f>IF('[1]BASE'!G61=0,"",'[1]BASE'!G61)</f>
        <v>C</v>
      </c>
      <c r="H60" s="780">
        <f>IF('[2]BASE'!DX61=0,"",'[1]BASE'!DX61)</f>
      </c>
      <c r="I60" s="780">
        <f>IF('[2]BASE'!DY61=0,"",'[2]BASE'!DY61)</f>
      </c>
      <c r="J60" s="780">
        <f>IF('[2]BASE'!DZ61=0,"",'[2]BASE'!DZ61)</f>
      </c>
      <c r="K60" s="780">
        <f>IF('[2]BASE'!EA61=0,"",'[2]BASE'!EA61)</f>
      </c>
      <c r="L60" s="780">
        <f>IF('[2]BASE'!EB61=0,"",'[2]BASE'!EB61)</f>
      </c>
      <c r="M60" s="780">
        <f>IF('[2]BASE'!EC61=0,"",'[2]BASE'!EC61)</f>
      </c>
      <c r="N60" s="780">
        <f>IF('[2]BASE'!ED61=0,"",'[2]BASE'!ED61)</f>
        <v>1</v>
      </c>
      <c r="O60" s="780">
        <f>IF('[2]BASE'!EE61=0,"",'[2]BASE'!EE61)</f>
      </c>
      <c r="P60" s="780">
        <f>IF('[2]BASE'!EF61=0,"",'[2]BASE'!EF61)</f>
      </c>
      <c r="Q60" s="780">
        <f>IF('[2]BASE'!EG61=0,"",'[2]BASE'!EG61)</f>
      </c>
      <c r="R60" s="780">
        <f>IF('[2]BASE'!EH61=0,"",'[2]BASE'!EH61)</f>
      </c>
      <c r="S60" s="780">
        <f>IF('[2]BASE'!EI61=0,"",'[2]BASE'!EI61)</f>
        <v>1</v>
      </c>
      <c r="T60" s="780">
        <f>IF('[2]BASE'!EJ61=0,"",'[2]BASE'!EJ61)</f>
      </c>
      <c r="U60" s="819"/>
      <c r="V60" s="777"/>
    </row>
    <row r="61" spans="2:22" s="772" customFormat="1" ht="19.5" customHeight="1">
      <c r="B61" s="773"/>
      <c r="C61" s="781">
        <f>IF('[1]BASE'!C62=0,"",'[1]BASE'!C62)</f>
        <v>46</v>
      </c>
      <c r="D61" s="781" t="str">
        <f>IF('[1]BASE'!D62=0,"",'[1]BASE'!D62)</f>
        <v>SALTO GRANDE - SANTO TOME </v>
      </c>
      <c r="E61" s="781">
        <f>IF('[1]BASE'!E62=0,"",'[1]BASE'!E62)</f>
        <v>500</v>
      </c>
      <c r="F61" s="781">
        <f>IF('[1]BASE'!F62=0,"",'[1]BASE'!F62)</f>
        <v>289</v>
      </c>
      <c r="G61" s="782" t="str">
        <f>IF('[1]BASE'!G62=0,"",'[1]BASE'!G62)</f>
        <v>C</v>
      </c>
      <c r="H61" s="780">
        <f>IF('[2]BASE'!DX62=0,"",'[1]BASE'!DX62)</f>
      </c>
      <c r="I61" s="780">
        <f>IF('[2]BASE'!DY62=0,"",'[2]BASE'!DY62)</f>
      </c>
      <c r="J61" s="780">
        <f>IF('[2]BASE'!DZ62=0,"",'[2]BASE'!DZ62)</f>
      </c>
      <c r="K61" s="780">
        <f>IF('[2]BASE'!EA62=0,"",'[2]BASE'!EA62)</f>
      </c>
      <c r="L61" s="780">
        <f>IF('[2]BASE'!EB62=0,"",'[2]BASE'!EB62)</f>
      </c>
      <c r="M61" s="780">
        <f>IF('[2]BASE'!EC62=0,"",'[2]BASE'!EC62)</f>
        <v>1</v>
      </c>
      <c r="N61" s="780">
        <f>IF('[2]BASE'!ED62=0,"",'[2]BASE'!ED62)</f>
      </c>
      <c r="O61" s="780">
        <f>IF('[2]BASE'!EE62=0,"",'[2]BASE'!EE62)</f>
      </c>
      <c r="P61" s="780">
        <f>IF('[2]BASE'!EF62=0,"",'[2]BASE'!EF62)</f>
      </c>
      <c r="Q61" s="780">
        <f>IF('[2]BASE'!EG62=0,"",'[2]BASE'!EG62)</f>
      </c>
      <c r="R61" s="780">
        <f>IF('[2]BASE'!EH62=0,"",'[2]BASE'!EH62)</f>
      </c>
      <c r="S61" s="780">
        <f>IF('[2]BASE'!EI62=0,"",'[2]BASE'!EI62)</f>
        <v>2</v>
      </c>
      <c r="T61" s="780">
        <f>IF('[2]BASE'!EJ62=0,"",'[2]BASE'!EJ62)</f>
      </c>
      <c r="U61" s="819"/>
      <c r="V61" s="777"/>
    </row>
    <row r="62" spans="2:22" s="772" customFormat="1" ht="19.5" customHeight="1">
      <c r="B62" s="773"/>
      <c r="C62" s="783">
        <f>IF('[1]BASE'!C63=0,"",'[1]BASE'!C63)</f>
        <v>47</v>
      </c>
      <c r="D62" s="783" t="str">
        <f>IF('[1]BASE'!D63=0,"",'[1]BASE'!D63)</f>
        <v>SANTO TOME - ROMANG </v>
      </c>
      <c r="E62" s="783">
        <f>IF('[1]BASE'!E63=0,"",'[1]BASE'!E63)</f>
        <v>500</v>
      </c>
      <c r="F62" s="783">
        <f>IF('[1]BASE'!F63=0,"",'[1]BASE'!F63)</f>
        <v>270</v>
      </c>
      <c r="G62" s="784" t="str">
        <f>IF('[1]BASE'!G63=0,"",'[1]BASE'!G63)</f>
        <v>A</v>
      </c>
      <c r="H62" s="780">
        <f>IF('[2]BASE'!DX63=0,"",'[1]BASE'!DX63)</f>
      </c>
      <c r="I62" s="780">
        <f>IF('[2]BASE'!DY63=0,"",'[2]BASE'!DY63)</f>
      </c>
      <c r="J62" s="780">
        <f>IF('[2]BASE'!DZ63=0,"",'[2]BASE'!DZ63)</f>
      </c>
      <c r="K62" s="780">
        <f>IF('[2]BASE'!EA63=0,"",'[2]BASE'!EA63)</f>
      </c>
      <c r="L62" s="780">
        <f>IF('[2]BASE'!EB63=0,"",'[2]BASE'!EB63)</f>
      </c>
      <c r="M62" s="780">
        <f>IF('[2]BASE'!EC63=0,"",'[2]BASE'!EC63)</f>
      </c>
      <c r="N62" s="780">
        <f>IF('[2]BASE'!ED63=0,"",'[2]BASE'!ED63)</f>
      </c>
      <c r="O62" s="780">
        <f>IF('[2]BASE'!EE63=0,"",'[2]BASE'!EE63)</f>
      </c>
      <c r="P62" s="780">
        <f>IF('[2]BASE'!EF63=0,"",'[2]BASE'!EF63)</f>
      </c>
      <c r="Q62" s="780">
        <f>IF('[2]BASE'!EG63=0,"",'[2]BASE'!EG63)</f>
      </c>
      <c r="R62" s="780">
        <f>IF('[2]BASE'!EH63=0,"",'[2]BASE'!EH63)</f>
      </c>
      <c r="S62" s="780">
        <f>IF('[2]BASE'!EI63=0,"",'[2]BASE'!EI63)</f>
      </c>
      <c r="T62" s="780">
        <f>IF('[2]BASE'!EJ63=0,"",'[2]BASE'!EJ63)</f>
      </c>
      <c r="U62" s="819"/>
      <c r="V62" s="777"/>
    </row>
    <row r="63" spans="2:22" s="772" customFormat="1" ht="19.5" customHeight="1">
      <c r="B63" s="773"/>
      <c r="C63" s="781">
        <f>IF('[1]BASE'!C64=0,"",'[1]BASE'!C64)</f>
      </c>
      <c r="D63" s="781">
        <f>IF('[1]BASE'!D64=0,"",'[1]BASE'!D64)</f>
      </c>
      <c r="E63" s="781">
        <f>IF('[1]BASE'!E64=0,"",'[1]BASE'!E64)</f>
      </c>
      <c r="F63" s="781">
        <f>IF('[1]BASE'!F64=0,"",'[1]BASE'!F64)</f>
      </c>
      <c r="G63" s="782">
        <f>IF('[1]BASE'!G64=0,"",'[1]BASE'!G64)</f>
      </c>
      <c r="H63" s="780">
        <f>IF('[2]BASE'!DX64=0,"",'[1]BASE'!DX64)</f>
      </c>
      <c r="I63" s="780">
        <f>IF('[2]BASE'!DY64=0,"",'[2]BASE'!DY64)</f>
      </c>
      <c r="J63" s="780">
        <f>IF('[2]BASE'!DZ64=0,"",'[2]BASE'!DZ64)</f>
      </c>
      <c r="K63" s="780">
        <f>IF('[2]BASE'!EA64=0,"",'[2]BASE'!EA64)</f>
      </c>
      <c r="L63" s="780">
        <f>IF('[2]BASE'!EB64=0,"",'[2]BASE'!EB64)</f>
      </c>
      <c r="M63" s="780">
        <f>IF('[2]BASE'!EC64=0,"",'[2]BASE'!EC64)</f>
      </c>
      <c r="N63" s="780">
        <f>IF('[2]BASE'!ED64=0,"",'[2]BASE'!ED64)</f>
      </c>
      <c r="O63" s="780">
        <f>IF('[2]BASE'!EE64=0,"",'[2]BASE'!EE64)</f>
      </c>
      <c r="P63" s="780">
        <f>IF('[2]BASE'!EF64=0,"",'[2]BASE'!EF64)</f>
      </c>
      <c r="Q63" s="780">
        <f>IF('[2]BASE'!EG64=0,"",'[2]BASE'!EG64)</f>
      </c>
      <c r="R63" s="780">
        <f>IF('[2]BASE'!EH64=0,"",'[2]BASE'!EH64)</f>
      </c>
      <c r="S63" s="780">
        <f>IF('[2]BASE'!EI64=0,"",'[2]BASE'!EI64)</f>
      </c>
      <c r="T63" s="780">
        <f>IF('[2]BASE'!EJ64=0,"",'[2]BASE'!EJ64)</f>
      </c>
      <c r="U63" s="819"/>
      <c r="V63" s="777"/>
    </row>
    <row r="64" spans="2:22" s="772" customFormat="1" ht="19.5" customHeight="1">
      <c r="B64" s="773"/>
      <c r="C64" s="783">
        <f>IF('[1]BASE'!C65=0,"",'[1]BASE'!C65)</f>
        <v>48</v>
      </c>
      <c r="D64" s="783" t="str">
        <f>IF('[1]BASE'!D65=0,"",'[1]BASE'!D65)</f>
        <v>GRAL. RODRIGUEZ - VILLA  LIA 1</v>
      </c>
      <c r="E64" s="783">
        <f>IF('[1]BASE'!E65=0,"",'[1]BASE'!E65)</f>
        <v>220</v>
      </c>
      <c r="F64" s="783">
        <f>IF('[1]BASE'!F65=0,"",'[1]BASE'!F65)</f>
        <v>61</v>
      </c>
      <c r="G64" s="784" t="str">
        <f>IF('[1]BASE'!G65=0,"",'[1]BASE'!G65)</f>
        <v>C</v>
      </c>
      <c r="H64" s="780">
        <f>IF('[2]BASE'!DX65=0,"",'[1]BASE'!DX65)</f>
      </c>
      <c r="I64" s="780">
        <f>IF('[2]BASE'!DY65=0,"",'[2]BASE'!DY65)</f>
      </c>
      <c r="J64" s="780">
        <f>IF('[2]BASE'!DZ65=0,"",'[2]BASE'!DZ65)</f>
      </c>
      <c r="K64" s="780">
        <f>IF('[2]BASE'!EA65=0,"",'[2]BASE'!EA65)</f>
      </c>
      <c r="L64" s="780">
        <f>IF('[2]BASE'!EB65=0,"",'[2]BASE'!EB65)</f>
        <v>1</v>
      </c>
      <c r="M64" s="780">
        <f>IF('[2]BASE'!EC65=0,"",'[2]BASE'!EC65)</f>
      </c>
      <c r="N64" s="780">
        <f>IF('[2]BASE'!ED65=0,"",'[2]BASE'!ED65)</f>
      </c>
      <c r="O64" s="780">
        <f>IF('[2]BASE'!EE65=0,"",'[2]BASE'!EE65)</f>
      </c>
      <c r="P64" s="780">
        <f>IF('[2]BASE'!EF65=0,"",'[2]BASE'!EF65)</f>
      </c>
      <c r="Q64" s="780">
        <f>IF('[2]BASE'!EG65=0,"",'[2]BASE'!EG65)</f>
      </c>
      <c r="R64" s="780">
        <f>IF('[2]BASE'!EH65=0,"",'[2]BASE'!EH65)</f>
      </c>
      <c r="S64" s="780">
        <f>IF('[2]BASE'!EI65=0,"",'[2]BASE'!EI65)</f>
      </c>
      <c r="T64" s="780">
        <f>IF('[2]BASE'!EJ65=0,"",'[2]BASE'!EJ65)</f>
      </c>
      <c r="U64" s="819"/>
      <c r="V64" s="777"/>
    </row>
    <row r="65" spans="2:22" s="772" customFormat="1" ht="19.5" customHeight="1">
      <c r="B65" s="773"/>
      <c r="C65" s="781">
        <f>IF('[1]BASE'!C66=0,"",'[1]BASE'!C66)</f>
        <v>49</v>
      </c>
      <c r="D65" s="781" t="str">
        <f>IF('[1]BASE'!D66=0,"",'[1]BASE'!D66)</f>
        <v>GRAL. RODRIGUEZ - VILLA  LIA 2</v>
      </c>
      <c r="E65" s="781">
        <f>IF('[1]BASE'!E66=0,"",'[1]BASE'!E66)</f>
        <v>220</v>
      </c>
      <c r="F65" s="781">
        <f>IF('[1]BASE'!F66=0,"",'[1]BASE'!F66)</f>
        <v>61</v>
      </c>
      <c r="G65" s="782" t="str">
        <f>IF('[1]BASE'!G66=0,"",'[1]BASE'!G66)</f>
        <v>C</v>
      </c>
      <c r="H65" s="780">
        <f>IF('[2]BASE'!DX66=0,"",'[1]BASE'!DX66)</f>
      </c>
      <c r="I65" s="780">
        <f>IF('[2]BASE'!DY66=0,"",'[2]BASE'!DY66)</f>
      </c>
      <c r="J65" s="780">
        <f>IF('[2]BASE'!DZ66=0,"",'[2]BASE'!DZ66)</f>
      </c>
      <c r="K65" s="780">
        <f>IF('[2]BASE'!EA66=0,"",'[2]BASE'!EA66)</f>
      </c>
      <c r="L65" s="780">
        <f>IF('[2]BASE'!EB66=0,"",'[2]BASE'!EB66)</f>
      </c>
      <c r="M65" s="780">
        <f>IF('[2]BASE'!EC66=0,"",'[2]BASE'!EC66)</f>
      </c>
      <c r="N65" s="780">
        <f>IF('[2]BASE'!ED66=0,"",'[2]BASE'!ED66)</f>
      </c>
      <c r="O65" s="780">
        <f>IF('[2]BASE'!EE66=0,"",'[2]BASE'!EE66)</f>
      </c>
      <c r="P65" s="780">
        <f>IF('[2]BASE'!EF66=0,"",'[2]BASE'!EF66)</f>
      </c>
      <c r="Q65" s="780">
        <f>IF('[2]BASE'!EG66=0,"",'[2]BASE'!EG66)</f>
      </c>
      <c r="R65" s="780">
        <f>IF('[2]BASE'!EH66=0,"",'[2]BASE'!EH66)</f>
      </c>
      <c r="S65" s="780">
        <f>IF('[2]BASE'!EI66=0,"",'[2]BASE'!EI66)</f>
      </c>
      <c r="T65" s="780">
        <f>IF('[2]BASE'!EJ66=0,"",'[2]BASE'!EJ66)</f>
      </c>
      <c r="U65" s="819"/>
      <c r="V65" s="777"/>
    </row>
    <row r="66" spans="2:22" s="772" customFormat="1" ht="19.5" customHeight="1">
      <c r="B66" s="773"/>
      <c r="C66" s="783">
        <f>IF('[1]BASE'!C67=0,"",'[1]BASE'!C67)</f>
        <v>50</v>
      </c>
      <c r="D66" s="783" t="str">
        <f>IF('[1]BASE'!D67=0,"",'[1]BASE'!D67)</f>
        <v>RAMALLO - SAN NICOLAS (2)</v>
      </c>
      <c r="E66" s="783">
        <f>IF('[1]BASE'!E67=0,"",'[1]BASE'!E67)</f>
        <v>220</v>
      </c>
      <c r="F66" s="783">
        <f>IF('[1]BASE'!F67=0,"",'[1]BASE'!F67)</f>
        <v>6</v>
      </c>
      <c r="G66" s="784" t="str">
        <f>IF('[1]BASE'!G67=0,"",'[1]BASE'!G67)</f>
        <v>C</v>
      </c>
      <c r="H66" s="780">
        <f>IF('[2]BASE'!DX67=0,"",'[1]BASE'!DX67)</f>
      </c>
      <c r="I66" s="780">
        <f>IF('[2]BASE'!DY67=0,"",'[2]BASE'!DY67)</f>
      </c>
      <c r="J66" s="780">
        <f>IF('[2]BASE'!DZ67=0,"",'[2]BASE'!DZ67)</f>
      </c>
      <c r="K66" s="780">
        <f>IF('[2]BASE'!EA67=0,"",'[2]BASE'!EA67)</f>
      </c>
      <c r="L66" s="780">
        <f>IF('[2]BASE'!EB67=0,"",'[2]BASE'!EB67)</f>
      </c>
      <c r="M66" s="780">
        <f>IF('[2]BASE'!EC67=0,"",'[2]BASE'!EC67)</f>
      </c>
      <c r="N66" s="780">
        <f>IF('[2]BASE'!ED67=0,"",'[2]BASE'!ED67)</f>
      </c>
      <c r="O66" s="780">
        <f>IF('[2]BASE'!EE67=0,"",'[2]BASE'!EE67)</f>
      </c>
      <c r="P66" s="780">
        <f>IF('[2]BASE'!EF67=0,"",'[2]BASE'!EF67)</f>
      </c>
      <c r="Q66" s="780">
        <f>IF('[2]BASE'!EG67=0,"",'[2]BASE'!EG67)</f>
      </c>
      <c r="R66" s="780">
        <f>IF('[2]BASE'!EH67=0,"",'[2]BASE'!EH67)</f>
      </c>
      <c r="S66" s="780">
        <f>IF('[2]BASE'!EI67=0,"",'[2]BASE'!EI67)</f>
        <v>1</v>
      </c>
      <c r="T66" s="780">
        <f>IF('[2]BASE'!EJ67=0,"",'[2]BASE'!EJ67)</f>
      </c>
      <c r="U66" s="819"/>
      <c r="V66" s="777"/>
    </row>
    <row r="67" spans="2:22" s="772" customFormat="1" ht="19.5" customHeight="1">
      <c r="B67" s="773"/>
      <c r="C67" s="781">
        <f>IF('[1]BASE'!C68=0,"",'[1]BASE'!C68)</f>
        <v>51</v>
      </c>
      <c r="D67" s="781" t="str">
        <f>IF('[1]BASE'!D68=0,"",'[1]BASE'!D68)</f>
        <v>RAMALLO - SAN NICOLAS (1)</v>
      </c>
      <c r="E67" s="781">
        <f>IF('[1]BASE'!E68=0,"",'[1]BASE'!E68)</f>
        <v>220</v>
      </c>
      <c r="F67" s="781">
        <f>IF('[1]BASE'!F68=0,"",'[1]BASE'!F68)</f>
        <v>6</v>
      </c>
      <c r="G67" s="782" t="str">
        <f>IF('[1]BASE'!G68=0,"",'[1]BASE'!G68)</f>
        <v>C</v>
      </c>
      <c r="H67" s="780">
        <f>IF('[2]BASE'!DX68=0,"",'[1]BASE'!DX68)</f>
      </c>
      <c r="I67" s="780">
        <f>IF('[2]BASE'!DY68=0,"",'[2]BASE'!DY68)</f>
      </c>
      <c r="J67" s="780">
        <f>IF('[2]BASE'!DZ68=0,"",'[2]BASE'!DZ68)</f>
      </c>
      <c r="K67" s="780">
        <f>IF('[2]BASE'!EA68=0,"",'[2]BASE'!EA68)</f>
      </c>
      <c r="L67" s="780">
        <f>IF('[2]BASE'!EB68=0,"",'[2]BASE'!EB68)</f>
      </c>
      <c r="M67" s="780">
        <f>IF('[2]BASE'!EC68=0,"",'[2]BASE'!EC68)</f>
        <v>1</v>
      </c>
      <c r="N67" s="780">
        <f>IF('[2]BASE'!ED68=0,"",'[2]BASE'!ED68)</f>
      </c>
      <c r="O67" s="780">
        <f>IF('[2]BASE'!EE68=0,"",'[2]BASE'!EE68)</f>
      </c>
      <c r="P67" s="780">
        <f>IF('[2]BASE'!EF68=0,"",'[2]BASE'!EF68)</f>
      </c>
      <c r="Q67" s="780">
        <f>IF('[2]BASE'!EG68=0,"",'[2]BASE'!EG68)</f>
      </c>
      <c r="R67" s="780">
        <f>IF('[2]BASE'!EH68=0,"",'[2]BASE'!EH68)</f>
      </c>
      <c r="S67" s="780">
        <f>IF('[2]BASE'!EI68=0,"",'[2]BASE'!EI68)</f>
      </c>
      <c r="T67" s="780">
        <f>IF('[2]BASE'!EJ68=0,"",'[2]BASE'!EJ68)</f>
      </c>
      <c r="U67" s="819"/>
      <c r="V67" s="777"/>
    </row>
    <row r="68" spans="2:22" s="772" customFormat="1" ht="19.5" customHeight="1">
      <c r="B68" s="773"/>
      <c r="C68" s="783">
        <f>IF('[1]BASE'!C69=0,"",'[1]BASE'!C69)</f>
        <v>52</v>
      </c>
      <c r="D68" s="783" t="str">
        <f>IF('[1]BASE'!D69=0,"",'[1]BASE'!D69)</f>
        <v>RAMALLO - VILLA LIA  1</v>
      </c>
      <c r="E68" s="783">
        <f>IF('[1]BASE'!E69=0,"",'[1]BASE'!E69)</f>
        <v>220</v>
      </c>
      <c r="F68" s="784">
        <f>IF('[1]BASE'!F69=0,"",'[1]BASE'!F69)</f>
        <v>114</v>
      </c>
      <c r="G68" s="784" t="str">
        <f>IF('[1]BASE'!G69=0,"",'[1]BASE'!G69)</f>
        <v>C</v>
      </c>
      <c r="H68" s="780">
        <f>IF('[2]BASE'!DX69=0,"",'[1]BASE'!DX69)</f>
      </c>
      <c r="I68" s="780">
        <f>IF('[2]BASE'!DY69=0,"",'[2]BASE'!DY69)</f>
      </c>
      <c r="J68" s="780">
        <f>IF('[2]BASE'!DZ69=0,"",'[2]BASE'!DZ69)</f>
      </c>
      <c r="K68" s="780">
        <f>IF('[2]BASE'!EA69=0,"",'[2]BASE'!EA69)</f>
        <v>1</v>
      </c>
      <c r="L68" s="780">
        <f>IF('[2]BASE'!EB69=0,"",'[2]BASE'!EB69)</f>
      </c>
      <c r="M68" s="780">
        <f>IF('[2]BASE'!EC69=0,"",'[2]BASE'!EC69)</f>
      </c>
      <c r="N68" s="780">
        <f>IF('[2]BASE'!ED69=0,"",'[2]BASE'!ED69)</f>
      </c>
      <c r="O68" s="780">
        <f>IF('[2]BASE'!EE69=0,"",'[2]BASE'!EE69)</f>
      </c>
      <c r="P68" s="780">
        <f>IF('[2]BASE'!EF69=0,"",'[2]BASE'!EF69)</f>
      </c>
      <c r="Q68" s="780">
        <f>IF('[2]BASE'!EG69=0,"",'[2]BASE'!EG69)</f>
      </c>
      <c r="R68" s="780">
        <f>IF('[2]BASE'!EH69=0,"",'[2]BASE'!EH69)</f>
      </c>
      <c r="S68" s="780">
        <f>IF('[2]BASE'!EI69=0,"",'[2]BASE'!EI69)</f>
      </c>
      <c r="T68" s="780">
        <f>IF('[2]BASE'!EJ69=0,"",'[2]BASE'!EJ69)</f>
      </c>
      <c r="U68" s="819"/>
      <c r="V68" s="777"/>
    </row>
    <row r="69" spans="2:22" s="772" customFormat="1" ht="19.5" customHeight="1">
      <c r="B69" s="773"/>
      <c r="C69" s="781">
        <f>IF('[1]BASE'!C70=0,"",'[1]BASE'!C70)</f>
        <v>53</v>
      </c>
      <c r="D69" s="781" t="str">
        <f>IF('[1]BASE'!D70=0,"",'[1]BASE'!D70)</f>
        <v>RAMALLO - VILLA LIA  2</v>
      </c>
      <c r="E69" s="781">
        <f>IF('[1]BASE'!E70=0,"",'[1]BASE'!E70)</f>
        <v>220</v>
      </c>
      <c r="F69" s="782">
        <f>IF('[1]BASE'!F70=0,"",'[1]BASE'!F70)</f>
        <v>114</v>
      </c>
      <c r="G69" s="782" t="str">
        <f>IF('[1]BASE'!G70=0,"",'[1]BASE'!G70)</f>
        <v>C</v>
      </c>
      <c r="H69" s="780">
        <f>IF('[2]BASE'!DX70=0,"",'[1]BASE'!DX70)</f>
      </c>
      <c r="I69" s="780">
        <f>IF('[2]BASE'!DY70=0,"",'[2]BASE'!DY70)</f>
      </c>
      <c r="J69" s="780">
        <f>IF('[2]BASE'!DZ70=0,"",'[2]BASE'!DZ70)</f>
      </c>
      <c r="K69" s="780">
        <f>IF('[2]BASE'!EA70=0,"",'[2]BASE'!EA70)</f>
      </c>
      <c r="L69" s="780">
        <f>IF('[2]BASE'!EB70=0,"",'[2]BASE'!EB70)</f>
      </c>
      <c r="M69" s="780">
        <f>IF('[2]BASE'!EC70=0,"",'[2]BASE'!EC70)</f>
      </c>
      <c r="N69" s="780">
        <f>IF('[2]BASE'!ED70=0,"",'[2]BASE'!ED70)</f>
      </c>
      <c r="O69" s="780">
        <f>IF('[2]BASE'!EE70=0,"",'[2]BASE'!EE70)</f>
      </c>
      <c r="P69" s="780">
        <f>IF('[2]BASE'!EF70=0,"",'[2]BASE'!EF70)</f>
      </c>
      <c r="Q69" s="780">
        <f>IF('[2]BASE'!EG70=0,"",'[2]BASE'!EG70)</f>
      </c>
      <c r="R69" s="780">
        <f>IF('[2]BASE'!EH70=0,"",'[2]BASE'!EH70)</f>
      </c>
      <c r="S69" s="780">
        <f>IF('[2]BASE'!EI70=0,"",'[2]BASE'!EI70)</f>
      </c>
      <c r="T69" s="780">
        <f>IF('[2]BASE'!EJ70=0,"",'[2]BASE'!EJ70)</f>
      </c>
      <c r="U69" s="819"/>
      <c r="V69" s="777"/>
    </row>
    <row r="70" spans="2:22" s="772" customFormat="1" ht="19.5" customHeight="1">
      <c r="B70" s="773"/>
      <c r="C70" s="783">
        <f>IF('[1]BASE'!C71=0,"",'[1]BASE'!C71)</f>
        <v>54</v>
      </c>
      <c r="D70" s="783" t="str">
        <f>IF('[1]BASE'!D71=0,"",'[1]BASE'!D71)</f>
        <v>ROSARIO OESTE - RAMALLO  1</v>
      </c>
      <c r="E70" s="783">
        <f>IF('[1]BASE'!E71=0,"",'[1]BASE'!E71)</f>
        <v>220</v>
      </c>
      <c r="F70" s="784">
        <f>IF('[1]BASE'!F71=0,"",'[1]BASE'!F71)</f>
        <v>77</v>
      </c>
      <c r="G70" s="784" t="str">
        <f>IF('[1]BASE'!G71=0,"",'[1]BASE'!G71)</f>
        <v>C</v>
      </c>
      <c r="H70" s="780">
        <f>IF('[2]BASE'!DX71=0,"",'[1]BASE'!DX71)</f>
      </c>
      <c r="I70" s="780">
        <f>IF('[2]BASE'!DY71=0,"",'[2]BASE'!DY71)</f>
      </c>
      <c r="J70" s="780">
        <f>IF('[2]BASE'!DZ71=0,"",'[2]BASE'!DZ71)</f>
      </c>
      <c r="K70" s="780">
        <f>IF('[2]BASE'!EA71=0,"",'[2]BASE'!EA71)</f>
        <v>1</v>
      </c>
      <c r="L70" s="780">
        <f>IF('[2]BASE'!EB71=0,"",'[2]BASE'!EB71)</f>
      </c>
      <c r="M70" s="780">
        <f>IF('[2]BASE'!EC71=0,"",'[2]BASE'!EC71)</f>
        <v>2</v>
      </c>
      <c r="N70" s="780">
        <f>IF('[2]BASE'!ED71=0,"",'[2]BASE'!ED71)</f>
      </c>
      <c r="O70" s="780">
        <f>IF('[2]BASE'!EE71=0,"",'[2]BASE'!EE71)</f>
      </c>
      <c r="P70" s="780">
        <f>IF('[2]BASE'!EF71=0,"",'[2]BASE'!EF71)</f>
        <v>1</v>
      </c>
      <c r="Q70" s="780">
        <f>IF('[2]BASE'!EG71=0,"",'[2]BASE'!EG71)</f>
      </c>
      <c r="R70" s="780">
        <f>IF('[2]BASE'!EH71=0,"",'[2]BASE'!EH71)</f>
      </c>
      <c r="S70" s="780">
        <f>IF('[2]BASE'!EI71=0,"",'[2]BASE'!EI71)</f>
      </c>
      <c r="T70" s="780">
        <f>IF('[2]BASE'!EJ71=0,"",'[2]BASE'!EJ71)</f>
      </c>
      <c r="U70" s="819"/>
      <c r="V70" s="777"/>
    </row>
    <row r="71" spans="2:22" s="772" customFormat="1" ht="19.5" customHeight="1">
      <c r="B71" s="773"/>
      <c r="C71" s="781">
        <f>IF('[1]BASE'!C72=0,"",'[1]BASE'!C72)</f>
        <v>55</v>
      </c>
      <c r="D71" s="781" t="str">
        <f>IF('[1]BASE'!D72=0,"",'[1]BASE'!D72)</f>
        <v>ROSARIO OESTE - RAMALLO  2</v>
      </c>
      <c r="E71" s="781">
        <f>IF('[1]BASE'!E72=0,"",'[1]BASE'!E72)</f>
        <v>220</v>
      </c>
      <c r="F71" s="782">
        <f>IF('[1]BASE'!F72=0,"",'[1]BASE'!F72)</f>
        <v>77</v>
      </c>
      <c r="G71" s="782" t="str">
        <f>IF('[1]BASE'!G72=0,"",'[1]BASE'!G72)</f>
        <v>C</v>
      </c>
      <c r="H71" s="780">
        <f>IF('[2]BASE'!DX72=0,"",'[1]BASE'!DX72)</f>
      </c>
      <c r="I71" s="780">
        <f>IF('[2]BASE'!DY72=0,"",'[2]BASE'!DY72)</f>
      </c>
      <c r="J71" s="780">
        <f>IF('[2]BASE'!DZ72=0,"",'[2]BASE'!DZ72)</f>
      </c>
      <c r="K71" s="780">
        <f>IF('[2]BASE'!EA72=0,"",'[2]BASE'!EA72)</f>
      </c>
      <c r="L71" s="780">
        <f>IF('[2]BASE'!EB72=0,"",'[2]BASE'!EB72)</f>
      </c>
      <c r="M71" s="780">
        <f>IF('[2]BASE'!EC72=0,"",'[2]BASE'!EC72)</f>
      </c>
      <c r="N71" s="780">
        <f>IF('[2]BASE'!ED72=0,"",'[2]BASE'!ED72)</f>
      </c>
      <c r="O71" s="780">
        <f>IF('[2]BASE'!EE72=0,"",'[2]BASE'!EE72)</f>
      </c>
      <c r="P71" s="780">
        <f>IF('[2]BASE'!EF72=0,"",'[2]BASE'!EF72)</f>
      </c>
      <c r="Q71" s="780">
        <f>IF('[2]BASE'!EG72=0,"",'[2]BASE'!EG72)</f>
      </c>
      <c r="R71" s="780">
        <f>IF('[2]BASE'!EH72=0,"",'[2]BASE'!EH72)</f>
      </c>
      <c r="S71" s="780">
        <f>IF('[2]BASE'!EI72=0,"",'[2]BASE'!EI72)</f>
        <v>1</v>
      </c>
      <c r="T71" s="780">
        <f>IF('[2]BASE'!EJ72=0,"",'[2]BASE'!EJ72)</f>
      </c>
      <c r="U71" s="819"/>
      <c r="V71" s="777"/>
    </row>
    <row r="72" spans="2:22" s="772" customFormat="1" ht="19.5" customHeight="1">
      <c r="B72" s="773"/>
      <c r="C72" s="783">
        <f>IF('[1]BASE'!C73=0,"",'[1]BASE'!C73)</f>
        <v>56</v>
      </c>
      <c r="D72" s="783" t="str">
        <f>IF('[1]BASE'!D73=0,"",'[1]BASE'!D73)</f>
        <v>VILLA LIA - ATUCHA 1</v>
      </c>
      <c r="E72" s="783">
        <f>IF('[1]BASE'!E73=0,"",'[1]BASE'!E73)</f>
        <v>220</v>
      </c>
      <c r="F72" s="783">
        <f>IF('[1]BASE'!F73=0,"",'[1]BASE'!F73)</f>
        <v>26</v>
      </c>
      <c r="G72" s="784" t="str">
        <f>IF('[1]BASE'!G73=0,"",'[1]BASE'!G73)</f>
        <v>C</v>
      </c>
      <c r="H72" s="780">
        <f>IF('[2]BASE'!DX73=0,"",'[1]BASE'!DX73)</f>
      </c>
      <c r="I72" s="780">
        <f>IF('[2]BASE'!DY73=0,"",'[2]BASE'!DY73)</f>
      </c>
      <c r="J72" s="780">
        <f>IF('[2]BASE'!DZ73=0,"",'[2]BASE'!DZ73)</f>
      </c>
      <c r="K72" s="780">
        <f>IF('[2]BASE'!EA73=0,"",'[2]BASE'!EA73)</f>
      </c>
      <c r="L72" s="780">
        <f>IF('[2]BASE'!EB73=0,"",'[2]BASE'!EB73)</f>
      </c>
      <c r="M72" s="780">
        <f>IF('[2]BASE'!EC73=0,"",'[2]BASE'!EC73)</f>
      </c>
      <c r="N72" s="780">
        <f>IF('[2]BASE'!ED73=0,"",'[2]BASE'!ED73)</f>
      </c>
      <c r="O72" s="780">
        <f>IF('[2]BASE'!EE73=0,"",'[2]BASE'!EE73)</f>
      </c>
      <c r="P72" s="780">
        <f>IF('[2]BASE'!EF73=0,"",'[2]BASE'!EF73)</f>
      </c>
      <c r="Q72" s="780">
        <f>IF('[2]BASE'!EG73=0,"",'[2]BASE'!EG73)</f>
      </c>
      <c r="R72" s="780">
        <f>IF('[2]BASE'!EH73=0,"",'[2]BASE'!EH73)</f>
      </c>
      <c r="S72" s="780">
        <f>IF('[2]BASE'!EI73=0,"",'[2]BASE'!EI73)</f>
      </c>
      <c r="T72" s="780">
        <f>IF('[2]BASE'!EJ73=0,"",'[2]BASE'!EJ73)</f>
      </c>
      <c r="U72" s="819"/>
      <c r="V72" s="777"/>
    </row>
    <row r="73" spans="2:22" s="772" customFormat="1" ht="19.5" customHeight="1">
      <c r="B73" s="773"/>
      <c r="C73" s="781">
        <f>IF('[1]BASE'!C74=0,"",'[1]BASE'!C74)</f>
        <v>57</v>
      </c>
      <c r="D73" s="781" t="str">
        <f>IF('[1]BASE'!D74=0,"",'[1]BASE'!D74)</f>
        <v>VILLA LIA - ATUCHA 2</v>
      </c>
      <c r="E73" s="781">
        <f>IF('[1]BASE'!E74=0,"",'[1]BASE'!E74)</f>
        <v>220</v>
      </c>
      <c r="F73" s="781">
        <f>IF('[1]BASE'!F74=0,"",'[1]BASE'!F74)</f>
        <v>26</v>
      </c>
      <c r="G73" s="782" t="str">
        <f>IF('[1]BASE'!G74=0,"",'[1]BASE'!G74)</f>
        <v>C</v>
      </c>
      <c r="H73" s="780">
        <f>IF('[2]BASE'!DX74=0,"",'[1]BASE'!DX74)</f>
      </c>
      <c r="I73" s="780">
        <f>IF('[2]BASE'!DY74=0,"",'[2]BASE'!DY74)</f>
      </c>
      <c r="J73" s="780">
        <f>IF('[2]BASE'!DZ74=0,"",'[2]BASE'!DZ74)</f>
      </c>
      <c r="K73" s="780">
        <f>IF('[2]BASE'!EA74=0,"",'[2]BASE'!EA74)</f>
      </c>
      <c r="L73" s="780">
        <f>IF('[2]BASE'!EB74=0,"",'[2]BASE'!EB74)</f>
      </c>
      <c r="M73" s="780">
        <f>IF('[2]BASE'!EC74=0,"",'[2]BASE'!EC74)</f>
      </c>
      <c r="N73" s="780">
        <f>IF('[2]BASE'!ED74=0,"",'[2]BASE'!ED74)</f>
      </c>
      <c r="O73" s="780">
        <f>IF('[2]BASE'!EE74=0,"",'[2]BASE'!EE74)</f>
      </c>
      <c r="P73" s="780">
        <f>IF('[2]BASE'!EF74=0,"",'[2]BASE'!EF74)</f>
      </c>
      <c r="Q73" s="780">
        <f>IF('[2]BASE'!EG74=0,"",'[2]BASE'!EG74)</f>
      </c>
      <c r="R73" s="780">
        <f>IF('[2]BASE'!EH74=0,"",'[2]BASE'!EH74)</f>
      </c>
      <c r="S73" s="780">
        <f>IF('[2]BASE'!EI74=0,"",'[2]BASE'!EI74)</f>
      </c>
      <c r="T73" s="780">
        <f>IF('[2]BASE'!EJ74=0,"",'[2]BASE'!EJ74)</f>
      </c>
      <c r="U73" s="819"/>
      <c r="V73" s="777"/>
    </row>
    <row r="74" spans="2:22" s="772" customFormat="1" ht="19.5" customHeight="1">
      <c r="B74" s="773"/>
      <c r="C74" s="783">
        <f>IF('[1]BASE'!C75=0,"",'[1]BASE'!C75)</f>
      </c>
      <c r="D74" s="783">
        <f>IF('[1]BASE'!D75=0,"",'[1]BASE'!D75)</f>
      </c>
      <c r="E74" s="783">
        <f>IF('[1]BASE'!E75=0,"",'[1]BASE'!E75)</f>
      </c>
      <c r="F74" s="783">
        <f>IF('[1]BASE'!F75=0,"",'[1]BASE'!F75)</f>
      </c>
      <c r="G74" s="784">
        <f>IF('[1]BASE'!G75=0,"",'[1]BASE'!G75)</f>
      </c>
      <c r="H74" s="780">
        <f>IF('[2]BASE'!DX75=0,"",'[1]BASE'!DX75)</f>
      </c>
      <c r="I74" s="780">
        <f>IF('[2]BASE'!DY75=0,"",'[2]BASE'!DY75)</f>
      </c>
      <c r="J74" s="780">
        <f>IF('[2]BASE'!DZ75=0,"",'[2]BASE'!DZ75)</f>
      </c>
      <c r="K74" s="780">
        <f>IF('[2]BASE'!EA75=0,"",'[2]BASE'!EA75)</f>
      </c>
      <c r="L74" s="780">
        <f>IF('[2]BASE'!EB75=0,"",'[2]BASE'!EB75)</f>
      </c>
      <c r="M74" s="780">
        <f>IF('[2]BASE'!EC75=0,"",'[2]BASE'!EC75)</f>
      </c>
      <c r="N74" s="780">
        <f>IF('[2]BASE'!ED75=0,"",'[2]BASE'!ED75)</f>
      </c>
      <c r="O74" s="780">
        <f>IF('[2]BASE'!EE75=0,"",'[2]BASE'!EE75)</f>
      </c>
      <c r="P74" s="780">
        <f>IF('[2]BASE'!EF75=0,"",'[2]BASE'!EF75)</f>
      </c>
      <c r="Q74" s="780">
        <f>IF('[2]BASE'!EG75=0,"",'[2]BASE'!EG75)</f>
      </c>
      <c r="R74" s="780">
        <f>IF('[2]BASE'!EH75=0,"",'[2]BASE'!EH75)</f>
      </c>
      <c r="S74" s="780">
        <f>IF('[2]BASE'!EI75=0,"",'[2]BASE'!EI75)</f>
      </c>
      <c r="T74" s="780">
        <f>IF('[2]BASE'!EJ75=0,"",'[2]BASE'!EJ75)</f>
      </c>
      <c r="U74" s="819"/>
      <c r="V74" s="777"/>
    </row>
    <row r="75" spans="2:22" s="772" customFormat="1" ht="19.5" customHeight="1">
      <c r="B75" s="773"/>
      <c r="C75" s="781">
        <f>IF('[1]BASE'!C76=0,"",'[1]BASE'!C76)</f>
        <v>58</v>
      </c>
      <c r="D75" s="781" t="str">
        <f>IF('[1]BASE'!D76=0,"",'[1]BASE'!D76)</f>
        <v>GRAL RODRIGUEZ - RAMALLO</v>
      </c>
      <c r="E75" s="781">
        <f>IF('[1]BASE'!E76=0,"",'[1]BASE'!E76)</f>
        <v>500</v>
      </c>
      <c r="F75" s="782">
        <f>IF('[1]BASE'!F76=0,"",'[1]BASE'!F76)</f>
        <v>183.9</v>
      </c>
      <c r="G75" s="782" t="str">
        <f>IF('[1]BASE'!G76=0,"",'[1]BASE'!G76)</f>
        <v>C</v>
      </c>
      <c r="H75" s="780">
        <f>IF('[2]BASE'!DX76=0,"",'[1]BASE'!DX76)</f>
      </c>
      <c r="I75" s="780">
        <f>IF('[2]BASE'!DY76=0,"",'[2]BASE'!DY76)</f>
      </c>
      <c r="J75" s="780">
        <f>IF('[2]BASE'!DZ76=0,"",'[2]BASE'!DZ76)</f>
        <v>1</v>
      </c>
      <c r="K75" s="780">
        <f>IF('[2]BASE'!EA76=0,"",'[2]BASE'!EA76)</f>
        <v>1</v>
      </c>
      <c r="L75" s="780">
        <f>IF('[2]BASE'!EB76=0,"",'[2]BASE'!EB76)</f>
      </c>
      <c r="M75" s="780">
        <f>IF('[2]BASE'!EC76=0,"",'[2]BASE'!EC76)</f>
      </c>
      <c r="N75" s="780">
        <f>IF('[2]BASE'!ED76=0,"",'[2]BASE'!ED76)</f>
      </c>
      <c r="O75" s="780">
        <f>IF('[2]BASE'!EE76=0,"",'[2]BASE'!EE76)</f>
      </c>
      <c r="P75" s="780">
        <f>IF('[2]BASE'!EF76=0,"",'[2]BASE'!EF76)</f>
      </c>
      <c r="Q75" s="780">
        <f>IF('[2]BASE'!EG76=0,"",'[2]BASE'!EG76)</f>
      </c>
      <c r="R75" s="780">
        <f>IF('[2]BASE'!EH76=0,"",'[2]BASE'!EH76)</f>
      </c>
      <c r="S75" s="780">
        <f>IF('[2]BASE'!EI76=0,"",'[2]BASE'!EI76)</f>
      </c>
      <c r="T75" s="780">
        <f>IF('[2]BASE'!EJ76=0,"",'[2]BASE'!EJ76)</f>
      </c>
      <c r="U75" s="819"/>
      <c r="V75" s="777"/>
    </row>
    <row r="76" spans="2:22" s="772" customFormat="1" ht="19.5" customHeight="1">
      <c r="B76" s="773"/>
      <c r="C76" s="783">
        <f>IF('[1]BASE'!C77=0,"",'[1]BASE'!C77)</f>
        <v>59</v>
      </c>
      <c r="D76" s="783" t="str">
        <f>IF('[1]BASE'!D77=0,"",'[1]BASE'!D77)</f>
        <v>RAMALLO - ROSARIO OESTE</v>
      </c>
      <c r="E76" s="783">
        <f>IF('[1]BASE'!E77=0,"",'[1]BASE'!E77)</f>
        <v>500</v>
      </c>
      <c r="F76" s="784">
        <f>IF('[1]BASE'!F77=0,"",'[1]BASE'!F77)</f>
        <v>77</v>
      </c>
      <c r="G76" s="784" t="str">
        <f>IF('[1]BASE'!G77=0,"",'[1]BASE'!G77)</f>
        <v>C</v>
      </c>
      <c r="H76" s="780">
        <f>IF('[2]BASE'!DX77=0,"",'[1]BASE'!DX77)</f>
      </c>
      <c r="I76" s="780">
        <f>IF('[2]BASE'!DY77=0,"",'[2]BASE'!DY77)</f>
      </c>
      <c r="J76" s="780">
        <f>IF('[2]BASE'!DZ77=0,"",'[2]BASE'!DZ77)</f>
      </c>
      <c r="K76" s="780">
        <f>IF('[2]BASE'!EA77=0,"",'[2]BASE'!EA77)</f>
      </c>
      <c r="L76" s="780">
        <f>IF('[2]BASE'!EB77=0,"",'[2]BASE'!EB77)</f>
      </c>
      <c r="M76" s="780">
        <f>IF('[2]BASE'!EC77=0,"",'[2]BASE'!EC77)</f>
      </c>
      <c r="N76" s="780">
        <f>IF('[2]BASE'!ED77=0,"",'[2]BASE'!ED77)</f>
      </c>
      <c r="O76" s="780">
        <f>IF('[2]BASE'!EE77=0,"",'[2]BASE'!EE77)</f>
      </c>
      <c r="P76" s="780">
        <f>IF('[2]BASE'!EF77=0,"",'[2]BASE'!EF77)</f>
      </c>
      <c r="Q76" s="780">
        <f>IF('[2]BASE'!EG77=0,"",'[2]BASE'!EG77)</f>
      </c>
      <c r="R76" s="780">
        <f>IF('[2]BASE'!EH77=0,"",'[2]BASE'!EH77)</f>
      </c>
      <c r="S76" s="780">
        <f>IF('[2]BASE'!EI77=0,"",'[2]BASE'!EI77)</f>
      </c>
      <c r="T76" s="780">
        <f>IF('[2]BASE'!EJ77=0,"",'[2]BASE'!EJ77)</f>
      </c>
      <c r="U76" s="819"/>
      <c r="V76" s="777"/>
    </row>
    <row r="77" spans="2:22" s="772" customFormat="1" ht="19.5" customHeight="1">
      <c r="B77" s="773"/>
      <c r="C77" s="781">
        <f>IF('[1]BASE'!C78=0,"",'[1]BASE'!C78)</f>
        <v>60</v>
      </c>
      <c r="D77" s="781" t="str">
        <f>IF('[1]BASE'!D78=0,"",'[1]BASE'!D78)</f>
        <v>MACACHIN - HENDERSON</v>
      </c>
      <c r="E77" s="781">
        <f>IF('[1]BASE'!E78=0,"",'[1]BASE'!E78)</f>
        <v>500</v>
      </c>
      <c r="F77" s="782">
        <f>IF('[1]BASE'!F78=0,"",'[1]BASE'!F78)</f>
        <v>194</v>
      </c>
      <c r="G77" s="782" t="str">
        <f>IF('[1]BASE'!G78=0,"",'[1]BASE'!G78)</f>
        <v>A</v>
      </c>
      <c r="H77" s="780">
        <f>IF('[2]BASE'!DX78=0,"",'[1]BASE'!DX78)</f>
      </c>
      <c r="I77" s="780">
        <f>IF('[2]BASE'!DY78=0,"",'[2]BASE'!DY78)</f>
      </c>
      <c r="J77" s="780">
        <f>IF('[2]BASE'!DZ78=0,"",'[2]BASE'!DZ78)</f>
      </c>
      <c r="K77" s="780">
        <f>IF('[2]BASE'!EA78=0,"",'[2]BASE'!EA78)</f>
      </c>
      <c r="L77" s="780">
        <f>IF('[2]BASE'!EB78=0,"",'[2]BASE'!EB78)</f>
      </c>
      <c r="M77" s="780">
        <f>IF('[2]BASE'!EC78=0,"",'[2]BASE'!EC78)</f>
      </c>
      <c r="N77" s="780">
        <f>IF('[2]BASE'!ED78=0,"",'[2]BASE'!ED78)</f>
      </c>
      <c r="O77" s="780">
        <f>IF('[2]BASE'!EE78=0,"",'[2]BASE'!EE78)</f>
      </c>
      <c r="P77" s="780">
        <f>IF('[2]BASE'!EF78=0,"",'[2]BASE'!EF78)</f>
      </c>
      <c r="Q77" s="780">
        <f>IF('[2]BASE'!EG78=0,"",'[2]BASE'!EG78)</f>
      </c>
      <c r="R77" s="780">
        <f>IF('[2]BASE'!EH78=0,"",'[2]BASE'!EH78)</f>
      </c>
      <c r="S77" s="780">
        <f>IF('[2]BASE'!EI78=0,"",'[2]BASE'!EI78)</f>
      </c>
      <c r="T77" s="780">
        <f>IF('[2]BASE'!EJ78=0,"",'[2]BASE'!EJ78)</f>
        <v>1</v>
      </c>
      <c r="U77" s="819"/>
      <c r="V77" s="777"/>
    </row>
    <row r="78" spans="2:22" s="772" customFormat="1" ht="19.5" customHeight="1">
      <c r="B78" s="773"/>
      <c r="C78" s="783">
        <f>IF('[1]BASE'!C79=0,"",'[1]BASE'!C79)</f>
        <v>61</v>
      </c>
      <c r="D78" s="783" t="str">
        <f>IF('[1]BASE'!D79=0,"",'[1]BASE'!D79)</f>
        <v>PUELCHES - MACACHIN</v>
      </c>
      <c r="E78" s="783">
        <f>IF('[1]BASE'!E79=0,"",'[1]BASE'!E79)</f>
        <v>500</v>
      </c>
      <c r="F78" s="783">
        <f>IF('[1]BASE'!F79=0,"",'[1]BASE'!F79)</f>
        <v>227</v>
      </c>
      <c r="G78" s="784" t="str">
        <f>IF('[1]BASE'!G79=0,"",'[1]BASE'!G79)</f>
        <v>A</v>
      </c>
      <c r="H78" s="780">
        <f>IF('[2]BASE'!DX79=0,"",'[1]BASE'!DX79)</f>
      </c>
      <c r="I78" s="780">
        <f>IF('[2]BASE'!DY79=0,"",'[2]BASE'!DY79)</f>
      </c>
      <c r="J78" s="780">
        <f>IF('[2]BASE'!DZ79=0,"",'[2]BASE'!DZ79)</f>
      </c>
      <c r="K78" s="780">
        <f>IF('[2]BASE'!EA79=0,"",'[2]BASE'!EA79)</f>
      </c>
      <c r="L78" s="780">
        <f>IF('[2]BASE'!EB79=0,"",'[2]BASE'!EB79)</f>
      </c>
      <c r="M78" s="780">
        <f>IF('[2]BASE'!EC79=0,"",'[2]BASE'!EC79)</f>
      </c>
      <c r="N78" s="780">
        <f>IF('[2]BASE'!ED79=0,"",'[2]BASE'!ED79)</f>
      </c>
      <c r="O78" s="780">
        <f>IF('[2]BASE'!EE79=0,"",'[2]BASE'!EE79)</f>
      </c>
      <c r="P78" s="780">
        <f>IF('[2]BASE'!EF79=0,"",'[2]BASE'!EF79)</f>
      </c>
      <c r="Q78" s="780">
        <f>IF('[2]BASE'!EG79=0,"",'[2]BASE'!EG79)</f>
      </c>
      <c r="R78" s="780">
        <f>IF('[2]BASE'!EH79=0,"",'[2]BASE'!EH79)</f>
      </c>
      <c r="S78" s="780">
        <f>IF('[2]BASE'!EI79=0,"",'[2]BASE'!EI79)</f>
      </c>
      <c r="T78" s="780">
        <f>IF('[2]BASE'!EJ79=0,"",'[2]BASE'!EJ79)</f>
      </c>
      <c r="U78" s="819"/>
      <c r="V78" s="777"/>
    </row>
    <row r="79" spans="2:22" s="772" customFormat="1" ht="19.5" customHeight="1">
      <c r="B79" s="773"/>
      <c r="C79" s="781">
        <f>IF('[1]BASE'!C80=0,"",'[1]BASE'!C80)</f>
      </c>
      <c r="D79" s="781">
        <f>IF('[1]BASE'!D80=0,"",'[1]BASE'!D80)</f>
      </c>
      <c r="E79" s="781">
        <f>IF('[1]BASE'!E80=0,"",'[1]BASE'!E80)</f>
      </c>
      <c r="F79" s="782">
        <f>IF('[1]BASE'!F80=0,"",'[1]BASE'!F80)</f>
      </c>
      <c r="G79" s="782">
        <f>IF('[1]BASE'!G80=0,"",'[1]BASE'!G80)</f>
      </c>
      <c r="H79" s="780">
        <f>IF('[2]BASE'!DX80=0,"",'[1]BASE'!DX80)</f>
      </c>
      <c r="I79" s="780">
        <f>IF('[2]BASE'!DY80=0,"",'[2]BASE'!DY80)</f>
      </c>
      <c r="J79" s="780">
        <f>IF('[2]BASE'!DZ80=0,"",'[2]BASE'!DZ80)</f>
      </c>
      <c r="K79" s="780">
        <f>IF('[2]BASE'!EA80=0,"",'[2]BASE'!EA80)</f>
      </c>
      <c r="L79" s="780">
        <f>IF('[2]BASE'!EB80=0,"",'[2]BASE'!EB80)</f>
      </c>
      <c r="M79" s="780">
        <f>IF('[2]BASE'!EC80=0,"",'[2]BASE'!EC80)</f>
      </c>
      <c r="N79" s="780">
        <f>IF('[2]BASE'!ED80=0,"",'[2]BASE'!ED80)</f>
      </c>
      <c r="O79" s="780">
        <f>IF('[2]BASE'!EE80=0,"",'[2]BASE'!EE80)</f>
      </c>
      <c r="P79" s="780">
        <f>IF('[2]BASE'!EF80=0,"",'[2]BASE'!EF80)</f>
      </c>
      <c r="Q79" s="780">
        <f>IF('[2]BASE'!EG80=0,"",'[2]BASE'!EG80)</f>
      </c>
      <c r="R79" s="780">
        <f>IF('[2]BASE'!EH80=0,"",'[2]BASE'!EH80)</f>
      </c>
      <c r="S79" s="780">
        <f>IF('[2]BASE'!EI80=0,"",'[2]BASE'!EI80)</f>
      </c>
      <c r="T79" s="780">
        <f>IF('[2]BASE'!EJ80=0,"",'[2]BASE'!EJ80)</f>
      </c>
      <c r="U79" s="819"/>
      <c r="V79" s="777"/>
    </row>
    <row r="80" spans="2:22" s="772" customFormat="1" ht="19.5" customHeight="1">
      <c r="B80" s="773"/>
      <c r="C80" s="783">
        <f>IF('[1]BASE'!C81=0,"",'[1]BASE'!C81)</f>
      </c>
      <c r="D80" s="783">
        <f>IF('[1]BASE'!D81=0,"",'[1]BASE'!D81)</f>
      </c>
      <c r="E80" s="783">
        <f>IF('[1]BASE'!E81=0,"",'[1]BASE'!E81)</f>
      </c>
      <c r="F80" s="784">
        <f>IF('[1]BASE'!F81=0,"",'[1]BASE'!F81)</f>
      </c>
      <c r="G80" s="784">
        <f>IF('[1]BASE'!G81=0,"",'[1]BASE'!G81)</f>
      </c>
      <c r="H80" s="780">
        <f>IF('[2]BASE'!DX81=0,"",'[1]BASE'!DX81)</f>
      </c>
      <c r="I80" s="780">
        <f>IF('[2]BASE'!DY81=0,"",'[2]BASE'!DY81)</f>
      </c>
      <c r="J80" s="780">
        <f>IF('[2]BASE'!DZ81=0,"",'[2]BASE'!DZ81)</f>
      </c>
      <c r="K80" s="780">
        <f>IF('[2]BASE'!EA81=0,"",'[2]BASE'!EA81)</f>
      </c>
      <c r="L80" s="780">
        <f>IF('[2]BASE'!EB81=0,"",'[2]BASE'!EB81)</f>
      </c>
      <c r="M80" s="780">
        <f>IF('[2]BASE'!EC81=0,"",'[2]BASE'!EC81)</f>
      </c>
      <c r="N80" s="780">
        <f>IF('[2]BASE'!ED81=0,"",'[2]BASE'!ED81)</f>
      </c>
      <c r="O80" s="780">
        <f>IF('[2]BASE'!EE81=0,"",'[2]BASE'!EE81)</f>
      </c>
      <c r="P80" s="780">
        <f>IF('[2]BASE'!EF81=0,"",'[2]BASE'!EF81)</f>
      </c>
      <c r="Q80" s="780">
        <f>IF('[2]BASE'!EG81=0,"",'[2]BASE'!EG81)</f>
      </c>
      <c r="R80" s="780">
        <f>IF('[2]BASE'!EH81=0,"",'[2]BASE'!EH81)</f>
      </c>
      <c r="S80" s="780">
        <f>IF('[2]BASE'!EI81=0,"",'[2]BASE'!EI81)</f>
      </c>
      <c r="T80" s="780">
        <f>IF('[2]BASE'!EJ81=0,"",'[2]BASE'!EJ81)</f>
      </c>
      <c r="U80" s="819"/>
      <c r="V80" s="777"/>
    </row>
    <row r="81" spans="2:22" s="772" customFormat="1" ht="19.5" customHeight="1">
      <c r="B81" s="773"/>
      <c r="C81" s="781">
        <f>IF('[1]BASE'!C82=0,"",'[1]BASE'!C82)</f>
        <v>62</v>
      </c>
      <c r="D81" s="781" t="str">
        <f>IF('[1]BASE'!D82=0,"",'[1]BASE'!D82)</f>
        <v>YACYRETÁ - RINCON I</v>
      </c>
      <c r="E81" s="781">
        <f>IF('[1]BASE'!E82=0,"",'[1]BASE'!E82)</f>
        <v>500</v>
      </c>
      <c r="F81" s="782">
        <f>IF('[1]BASE'!F82=0,"",'[1]BASE'!F82)</f>
        <v>3.6</v>
      </c>
      <c r="G81" s="782" t="str">
        <f>IF('[1]BASE'!G82=0,"",'[1]BASE'!G82)</f>
        <v>B</v>
      </c>
      <c r="H81" s="780">
        <f>IF('[2]BASE'!DX82=0,"",'[1]BASE'!DX82)</f>
      </c>
      <c r="I81" s="780">
        <f>IF('[2]BASE'!DY82=0,"",'[2]BASE'!DY82)</f>
      </c>
      <c r="J81" s="780">
        <f>IF('[2]BASE'!DZ82=0,"",'[2]BASE'!DZ82)</f>
      </c>
      <c r="K81" s="780">
        <f>IF('[2]BASE'!EA82=0,"",'[2]BASE'!EA82)</f>
      </c>
      <c r="L81" s="780">
        <f>IF('[2]BASE'!EB82=0,"",'[2]BASE'!EB82)</f>
      </c>
      <c r="M81" s="780">
        <f>IF('[2]BASE'!EC82=0,"",'[2]BASE'!EC82)</f>
      </c>
      <c r="N81" s="780">
        <f>IF('[2]BASE'!ED82=0,"",'[2]BASE'!ED82)</f>
      </c>
      <c r="O81" s="780">
        <f>IF('[2]BASE'!EE82=0,"",'[2]BASE'!EE82)</f>
      </c>
      <c r="P81" s="780">
        <f>IF('[2]BASE'!EF82=0,"",'[2]BASE'!EF82)</f>
      </c>
      <c r="Q81" s="780">
        <f>IF('[2]BASE'!EG82=0,"",'[2]BASE'!EG82)</f>
      </c>
      <c r="R81" s="780">
        <f>IF('[2]BASE'!EH82=0,"",'[2]BASE'!EH82)</f>
      </c>
      <c r="S81" s="780">
        <f>IF('[2]BASE'!EI82=0,"",'[2]BASE'!EI82)</f>
      </c>
      <c r="T81" s="780">
        <f>IF('[2]BASE'!EJ82=0,"",'[2]BASE'!EJ82)</f>
      </c>
      <c r="U81" s="819"/>
      <c r="V81" s="777"/>
    </row>
    <row r="82" spans="2:22" s="772" customFormat="1" ht="19.5" customHeight="1">
      <c r="B82" s="773"/>
      <c r="C82" s="783">
        <f>IF('[1]BASE'!C83=0,"",'[1]BASE'!C83)</f>
        <v>63</v>
      </c>
      <c r="D82" s="783" t="str">
        <f>IF('[1]BASE'!D83=0,"",'[1]BASE'!D83)</f>
        <v>YACYRETÁ - RINCON II</v>
      </c>
      <c r="E82" s="783">
        <f>IF('[1]BASE'!E83=0,"",'[1]BASE'!E83)</f>
        <v>500</v>
      </c>
      <c r="F82" s="783">
        <f>IF('[1]BASE'!F83=0,"",'[1]BASE'!F83)</f>
        <v>3.6</v>
      </c>
      <c r="G82" s="784" t="str">
        <f>IF('[1]BASE'!G83=0,"",'[1]BASE'!G83)</f>
        <v>B</v>
      </c>
      <c r="H82" s="780">
        <f>IF('[2]BASE'!DX83=0,"",'[1]BASE'!DX83)</f>
      </c>
      <c r="I82" s="780">
        <f>IF('[2]BASE'!DY83=0,"",'[2]BASE'!DY83)</f>
      </c>
      <c r="J82" s="780">
        <f>IF('[2]BASE'!DZ83=0,"",'[2]BASE'!DZ83)</f>
        <v>1</v>
      </c>
      <c r="K82" s="780">
        <f>IF('[2]BASE'!EA83=0,"",'[2]BASE'!EA83)</f>
      </c>
      <c r="L82" s="780">
        <f>IF('[2]BASE'!EB83=0,"",'[2]BASE'!EB83)</f>
      </c>
      <c r="M82" s="780">
        <f>IF('[2]BASE'!EC83=0,"",'[2]BASE'!EC83)</f>
      </c>
      <c r="N82" s="780">
        <f>IF('[2]BASE'!ED83=0,"",'[2]BASE'!ED83)</f>
      </c>
      <c r="O82" s="780">
        <f>IF('[2]BASE'!EE83=0,"",'[2]BASE'!EE83)</f>
      </c>
      <c r="P82" s="780">
        <f>IF('[2]BASE'!EF83=0,"",'[2]BASE'!EF83)</f>
      </c>
      <c r="Q82" s="780">
        <f>IF('[2]BASE'!EG83=0,"",'[2]BASE'!EG83)</f>
      </c>
      <c r="R82" s="780">
        <f>IF('[2]BASE'!EH83=0,"",'[2]BASE'!EH83)</f>
      </c>
      <c r="S82" s="780">
        <f>IF('[2]BASE'!EI83=0,"",'[2]BASE'!EI83)</f>
      </c>
      <c r="T82" s="780">
        <f>IF('[2]BASE'!EJ83=0,"",'[2]BASE'!EJ83)</f>
      </c>
      <c r="U82" s="819"/>
      <c r="V82" s="777"/>
    </row>
    <row r="83" spans="2:22" s="772" customFormat="1" ht="19.5" customHeight="1">
      <c r="B83" s="773"/>
      <c r="C83" s="781">
        <f>IF('[1]BASE'!C84=0,"",'[1]BASE'!C84)</f>
        <v>64</v>
      </c>
      <c r="D83" s="781" t="str">
        <f>IF('[1]BASE'!D84=0,"",'[1]BASE'!D84)</f>
        <v>YACYRETÁ - RINCON III</v>
      </c>
      <c r="E83" s="781">
        <f>IF('[1]BASE'!E84=0,"",'[1]BASE'!E84)</f>
        <v>500</v>
      </c>
      <c r="F83" s="782">
        <f>IF('[1]BASE'!F84=0,"",'[1]BASE'!F84)</f>
        <v>3.6</v>
      </c>
      <c r="G83" s="782" t="str">
        <f>IF('[1]BASE'!G84=0,"",'[1]BASE'!G84)</f>
        <v>B</v>
      </c>
      <c r="H83" s="780">
        <f>IF('[2]BASE'!DX84=0,"",'[1]BASE'!DX84)</f>
      </c>
      <c r="I83" s="780">
        <f>IF('[2]BASE'!DY84=0,"",'[2]BASE'!DY84)</f>
      </c>
      <c r="J83" s="780">
        <f>IF('[2]BASE'!DZ84=0,"",'[2]BASE'!DZ84)</f>
      </c>
      <c r="K83" s="780">
        <f>IF('[2]BASE'!EA84=0,"",'[2]BASE'!EA84)</f>
      </c>
      <c r="L83" s="780">
        <f>IF('[2]BASE'!EB84=0,"",'[2]BASE'!EB84)</f>
      </c>
      <c r="M83" s="780">
        <f>IF('[2]BASE'!EC84=0,"",'[2]BASE'!EC84)</f>
      </c>
      <c r="N83" s="780">
        <f>IF('[2]BASE'!ED84=0,"",'[2]BASE'!ED84)</f>
      </c>
      <c r="O83" s="780">
        <f>IF('[2]BASE'!EE84=0,"",'[2]BASE'!EE84)</f>
      </c>
      <c r="P83" s="780">
        <f>IF('[2]BASE'!EF84=0,"",'[2]BASE'!EF84)</f>
      </c>
      <c r="Q83" s="780">
        <f>IF('[2]BASE'!EG84=0,"",'[2]BASE'!EG84)</f>
      </c>
      <c r="R83" s="780">
        <f>IF('[2]BASE'!EH84=0,"",'[2]BASE'!EH84)</f>
      </c>
      <c r="S83" s="780">
        <f>IF('[2]BASE'!EI84=0,"",'[2]BASE'!EI84)</f>
      </c>
      <c r="T83" s="780">
        <f>IF('[2]BASE'!EJ84=0,"",'[2]BASE'!EJ84)</f>
      </c>
      <c r="U83" s="819"/>
      <c r="V83" s="777"/>
    </row>
    <row r="84" spans="2:22" s="772" customFormat="1" ht="19.5" customHeight="1">
      <c r="B84" s="773"/>
      <c r="C84" s="783">
        <f>IF('[1]BASE'!C85=0,"",'[1]BASE'!C85)</f>
        <v>65</v>
      </c>
      <c r="D84" s="783" t="str">
        <f>IF('[1]BASE'!D85=0,"",'[1]BASE'!D85)</f>
        <v>RINCON - PASO DE LA PATRIA</v>
      </c>
      <c r="E84" s="783">
        <f>IF('[1]BASE'!E85=0,"",'[1]BASE'!E85)</f>
        <v>500</v>
      </c>
      <c r="F84" s="784">
        <f>IF('[1]BASE'!F85=0,"",'[1]BASE'!F85)</f>
        <v>227</v>
      </c>
      <c r="G84" s="784" t="str">
        <f>IF('[1]BASE'!G85=0,"",'[1]BASE'!G85)</f>
        <v>A</v>
      </c>
      <c r="H84" s="780">
        <f>IF('[2]BASE'!DX85=0,"",'[1]BASE'!DX85)</f>
      </c>
      <c r="I84" s="780">
        <f>IF('[2]BASE'!DY85=0,"",'[2]BASE'!DY85)</f>
      </c>
      <c r="J84" s="780">
        <f>IF('[2]BASE'!DZ85=0,"",'[2]BASE'!DZ85)</f>
      </c>
      <c r="K84" s="780">
        <f>IF('[2]BASE'!EA85=0,"",'[2]BASE'!EA85)</f>
      </c>
      <c r="L84" s="780">
        <f>IF('[2]BASE'!EB85=0,"",'[2]BASE'!EB85)</f>
      </c>
      <c r="M84" s="780">
        <f>IF('[2]BASE'!EC85=0,"",'[2]BASE'!EC85)</f>
      </c>
      <c r="N84" s="780">
        <f>IF('[2]BASE'!ED85=0,"",'[2]BASE'!ED85)</f>
      </c>
      <c r="O84" s="780">
        <f>IF('[2]BASE'!EE85=0,"",'[2]BASE'!EE85)</f>
        <v>1</v>
      </c>
      <c r="P84" s="780">
        <f>IF('[2]BASE'!EF85=0,"",'[2]BASE'!EF85)</f>
      </c>
      <c r="Q84" s="780">
        <f>IF('[2]BASE'!EG85=0,"",'[2]BASE'!EG85)</f>
      </c>
      <c r="R84" s="780">
        <f>IF('[2]BASE'!EH85=0,"",'[2]BASE'!EH85)</f>
      </c>
      <c r="S84" s="780">
        <f>IF('[2]BASE'!EI85=0,"",'[2]BASE'!EI85)</f>
      </c>
      <c r="T84" s="780">
        <f>IF('[2]BASE'!EJ85=0,"",'[2]BASE'!EJ85)</f>
      </c>
      <c r="U84" s="819"/>
      <c r="V84" s="777"/>
    </row>
    <row r="85" spans="2:22" s="772" customFormat="1" ht="19.5" customHeight="1">
      <c r="B85" s="773"/>
      <c r="C85" s="781">
        <f>IF('[1]BASE'!C86=0,"",'[1]BASE'!C86)</f>
        <v>66</v>
      </c>
      <c r="D85" s="781" t="str">
        <f>IF('[1]BASE'!D86=0,"",'[1]BASE'!D86)</f>
        <v>PASO DE LA PATRIA - RESISTENCIA</v>
      </c>
      <c r="E85" s="781">
        <f>IF('[1]BASE'!E86=0,"",'[1]BASE'!E86)</f>
        <v>500</v>
      </c>
      <c r="F85" s="782">
        <f>IF('[1]BASE'!F86=0,"",'[1]BASE'!F86)</f>
        <v>40</v>
      </c>
      <c r="G85" s="782" t="str">
        <f>IF('[1]BASE'!G86=0,"",'[1]BASE'!G86)</f>
        <v>C</v>
      </c>
      <c r="H85" s="780">
        <f>IF('[2]BASE'!DX86=0,"",'[1]BASE'!DX86)</f>
      </c>
      <c r="I85" s="780">
        <f>IF('[2]BASE'!DY86=0,"",'[2]BASE'!DY86)</f>
      </c>
      <c r="J85" s="780">
        <f>IF('[2]BASE'!DZ86=0,"",'[2]BASE'!DZ86)</f>
      </c>
      <c r="K85" s="780">
        <f>IF('[2]BASE'!EA86=0,"",'[2]BASE'!EA86)</f>
      </c>
      <c r="L85" s="780">
        <f>IF('[2]BASE'!EB86=0,"",'[2]BASE'!EB86)</f>
      </c>
      <c r="M85" s="780">
        <f>IF('[2]BASE'!EC86=0,"",'[2]BASE'!EC86)</f>
      </c>
      <c r="N85" s="780">
        <f>IF('[2]BASE'!ED86=0,"",'[2]BASE'!ED86)</f>
      </c>
      <c r="O85" s="780">
        <f>IF('[2]BASE'!EE86=0,"",'[2]BASE'!EE86)</f>
      </c>
      <c r="P85" s="780">
        <f>IF('[2]BASE'!EF86=0,"",'[2]BASE'!EF86)</f>
      </c>
      <c r="Q85" s="780">
        <f>IF('[2]BASE'!EG86=0,"",'[2]BASE'!EG86)</f>
      </c>
      <c r="R85" s="780">
        <f>IF('[2]BASE'!EH86=0,"",'[2]BASE'!EH86)</f>
      </c>
      <c r="S85" s="780">
        <f>IF('[2]BASE'!EI86=0,"",'[2]BASE'!EI86)</f>
      </c>
      <c r="T85" s="780">
        <f>IF('[2]BASE'!EJ86=0,"",'[2]BASE'!EJ86)</f>
      </c>
      <c r="U85" s="819"/>
      <c r="V85" s="777"/>
    </row>
    <row r="86" spans="2:22" s="772" customFormat="1" ht="19.5" customHeight="1">
      <c r="B86" s="773"/>
      <c r="C86" s="783">
        <f>IF('[1]BASE'!C87=0,"",'[1]BASE'!C87)</f>
        <v>67</v>
      </c>
      <c r="D86" s="783" t="str">
        <f>IF('[1]BASE'!D87=0,"",'[1]BASE'!D87)</f>
        <v>RINCON - RESISTENCIA</v>
      </c>
      <c r="E86" s="783">
        <f>IF('[1]BASE'!E87=0,"",'[1]BASE'!E87)</f>
        <v>500</v>
      </c>
      <c r="F86" s="783">
        <f>IF('[1]BASE'!F87=0,"",'[1]BASE'!F87)</f>
        <v>267</v>
      </c>
      <c r="G86" s="784" t="str">
        <f>IF('[1]BASE'!G87=0,"",'[1]BASE'!G87)</f>
        <v>B</v>
      </c>
      <c r="H86" s="780" t="str">
        <f>IF('[2]BASE'!DX87=0,"",'[1]BASE'!DX87)</f>
        <v>XXXX</v>
      </c>
      <c r="I86" s="780" t="str">
        <f>IF('[2]BASE'!DY87=0,"",'[2]BASE'!DY87)</f>
        <v>XXXX</v>
      </c>
      <c r="J86" s="780" t="str">
        <f>IF('[2]BASE'!DZ87=0,"",'[2]BASE'!DZ87)</f>
        <v>XXXX</v>
      </c>
      <c r="K86" s="780" t="str">
        <f>IF('[2]BASE'!EA87=0,"",'[2]BASE'!EA87)</f>
        <v>XXXX</v>
      </c>
      <c r="L86" s="780" t="str">
        <f>IF('[2]BASE'!EB87=0,"",'[2]BASE'!EB87)</f>
        <v>XXXX</v>
      </c>
      <c r="M86" s="780" t="str">
        <f>IF('[2]BASE'!EC87=0,"",'[2]BASE'!EC87)</f>
        <v>XXXX</v>
      </c>
      <c r="N86" s="780" t="str">
        <f>IF('[2]BASE'!ED87=0,"",'[2]BASE'!ED87)</f>
        <v>XXXX</v>
      </c>
      <c r="O86" s="780" t="str">
        <f>IF('[2]BASE'!EE87=0,"",'[2]BASE'!EE87)</f>
        <v>XXXX</v>
      </c>
      <c r="P86" s="780" t="str">
        <f>IF('[2]BASE'!EF87=0,"",'[2]BASE'!EF87)</f>
        <v>XXXX</v>
      </c>
      <c r="Q86" s="780" t="str">
        <f>IF('[2]BASE'!EG87=0,"",'[2]BASE'!EG87)</f>
        <v>XXXX</v>
      </c>
      <c r="R86" s="780" t="str">
        <f>IF('[2]BASE'!EH87=0,"",'[2]BASE'!EH87)</f>
        <v>XXXX</v>
      </c>
      <c r="S86" s="780" t="str">
        <f>IF('[2]BASE'!EI87=0,"",'[2]BASE'!EI87)</f>
        <v>XXXX</v>
      </c>
      <c r="T86" s="780" t="str">
        <f>IF('[2]BASE'!EJ87=0,"",'[2]BASE'!EJ87)</f>
        <v>XXXX</v>
      </c>
      <c r="U86" s="819"/>
      <c r="V86" s="777"/>
    </row>
    <row r="87" spans="2:22" s="772" customFormat="1" ht="19.5" customHeight="1">
      <c r="B87" s="773"/>
      <c r="C87" s="781">
        <f>IF('[1]BASE'!C88=0,"",'[1]BASE'!C88)</f>
      </c>
      <c r="D87" s="781">
        <f>IF('[1]BASE'!D88=0,"",'[1]BASE'!D88)</f>
      </c>
      <c r="E87" s="781">
        <f>IF('[1]BASE'!E88=0,"",'[1]BASE'!E88)</f>
      </c>
      <c r="F87" s="782">
        <f>IF('[1]BASE'!F88=0,"",'[1]BASE'!F88)</f>
      </c>
      <c r="G87" s="782">
        <f>IF('[1]BASE'!G88=0,"",'[1]BASE'!G88)</f>
      </c>
      <c r="H87" s="780">
        <f>IF('[2]BASE'!DX88=0,"",'[1]BASE'!DX88)</f>
      </c>
      <c r="I87" s="780">
        <f>IF('[2]BASE'!DY88=0,"",'[2]BASE'!DY88)</f>
      </c>
      <c r="J87" s="780">
        <f>IF('[2]BASE'!DZ88=0,"",'[2]BASE'!DZ88)</f>
      </c>
      <c r="K87" s="780">
        <f>IF('[2]BASE'!EA88=0,"",'[2]BASE'!EA88)</f>
      </c>
      <c r="L87" s="780">
        <f>IF('[2]BASE'!EB88=0,"",'[2]BASE'!EB88)</f>
      </c>
      <c r="M87" s="780">
        <f>IF('[2]BASE'!EC88=0,"",'[2]BASE'!EC88)</f>
      </c>
      <c r="N87" s="780">
        <f>IF('[2]BASE'!ED88=0,"",'[2]BASE'!ED88)</f>
      </c>
      <c r="O87" s="780">
        <f>IF('[2]BASE'!EE88=0,"",'[2]BASE'!EE88)</f>
      </c>
      <c r="P87" s="780">
        <f>IF('[2]BASE'!EF88=0,"",'[2]BASE'!EF88)</f>
      </c>
      <c r="Q87" s="780">
        <f>IF('[2]BASE'!EG88=0,"",'[2]BASE'!EG88)</f>
      </c>
      <c r="R87" s="780">
        <f>IF('[2]BASE'!EH88=0,"",'[2]BASE'!EH88)</f>
      </c>
      <c r="S87" s="780">
        <f>IF('[2]BASE'!EI88=0,"",'[2]BASE'!EI88)</f>
      </c>
      <c r="T87" s="780">
        <f>IF('[2]BASE'!EJ88=0,"",'[2]BASE'!EJ88)</f>
      </c>
      <c r="U87" s="819"/>
      <c r="V87" s="777"/>
    </row>
    <row r="88" spans="2:22" s="772" customFormat="1" ht="19.5" customHeight="1">
      <c r="B88" s="773"/>
      <c r="C88" s="783">
        <f>IF('[1]BASE'!C89=0,"",'[1]BASE'!C89)</f>
        <v>68</v>
      </c>
      <c r="D88" s="783" t="str">
        <f>IF('[1]BASE'!D89=0,"",'[1]BASE'!D89)</f>
        <v>RINCON - SALTO GRANDE</v>
      </c>
      <c r="E88" s="783">
        <f>IF('[1]BASE'!E89=0,"",'[1]BASE'!E89)</f>
        <v>500</v>
      </c>
      <c r="F88" s="784">
        <f>IF('[1]BASE'!F89=0,"",'[1]BASE'!F89)</f>
        <v>506</v>
      </c>
      <c r="G88" s="784" t="str">
        <f>IF('[1]BASE'!G89=0,"",'[1]BASE'!G89)</f>
        <v>A</v>
      </c>
      <c r="H88" s="780">
        <f>IF('[2]BASE'!DX89=0,"",'[1]BASE'!DX89)</f>
      </c>
      <c r="I88" s="780">
        <f>IF('[2]BASE'!DY89=0,"",'[2]BASE'!DY89)</f>
      </c>
      <c r="J88" s="780">
        <f>IF('[2]BASE'!DZ89=0,"",'[2]BASE'!DZ89)</f>
      </c>
      <c r="K88" s="780">
        <f>IF('[2]BASE'!EA89=0,"",'[2]BASE'!EA89)</f>
      </c>
      <c r="L88" s="780">
        <f>IF('[2]BASE'!EB89=0,"",'[2]BASE'!EB89)</f>
      </c>
      <c r="M88" s="780">
        <f>IF('[2]BASE'!EC89=0,"",'[2]BASE'!EC89)</f>
      </c>
      <c r="N88" s="780">
        <f>IF('[2]BASE'!ED89=0,"",'[2]BASE'!ED89)</f>
      </c>
      <c r="O88" s="780">
        <f>IF('[2]BASE'!EE89=0,"",'[2]BASE'!EE89)</f>
      </c>
      <c r="P88" s="780">
        <f>IF('[2]BASE'!EF89=0,"",'[2]BASE'!EF89)</f>
      </c>
      <c r="Q88" s="780">
        <f>IF('[2]BASE'!EG89=0,"",'[2]BASE'!EG89)</f>
      </c>
      <c r="R88" s="780">
        <f>IF('[2]BASE'!EH89=0,"",'[2]BASE'!EH89)</f>
      </c>
      <c r="S88" s="780">
        <f>IF('[2]BASE'!EI89=0,"",'[2]BASE'!EI89)</f>
      </c>
      <c r="T88" s="780">
        <f>IF('[2]BASE'!EJ89=0,"",'[2]BASE'!EJ89)</f>
      </c>
      <c r="U88" s="819"/>
      <c r="V88" s="777"/>
    </row>
    <row r="89" spans="2:22" s="772" customFormat="1" ht="19.5" customHeight="1">
      <c r="B89" s="773"/>
      <c r="C89" s="781">
        <f>IF('[1]BASE'!C90=0,"",'[1]BASE'!C90)</f>
        <v>69</v>
      </c>
      <c r="D89" s="781" t="str">
        <f>IF('[1]BASE'!D90=0,"",'[1]BASE'!D90)</f>
        <v>RINCON - SAN ISIDRO</v>
      </c>
      <c r="E89" s="781">
        <f>IF('[1]BASE'!E90=0,"",'[1]BASE'!E90)</f>
        <v>500</v>
      </c>
      <c r="F89" s="782">
        <f>IF('[1]BASE'!F90=0,"",'[1]BASE'!F90)</f>
        <v>85</v>
      </c>
      <c r="G89" s="782" t="str">
        <f>IF('[1]BASE'!G90=0,"",'[1]BASE'!G90)</f>
        <v>C</v>
      </c>
      <c r="H89" s="780">
        <f>IF('[2]BASE'!DX90=0,"",'[1]BASE'!DX90)</f>
      </c>
      <c r="I89" s="780">
        <f>IF('[2]BASE'!DY90=0,"",'[2]BASE'!DY90)</f>
      </c>
      <c r="J89" s="780">
        <f>IF('[2]BASE'!DZ90=0,"",'[2]BASE'!DZ90)</f>
      </c>
      <c r="K89" s="780">
        <f>IF('[2]BASE'!EA90=0,"",'[2]BASE'!EA90)</f>
      </c>
      <c r="L89" s="780">
        <f>IF('[2]BASE'!EB90=0,"",'[2]BASE'!EB90)</f>
      </c>
      <c r="M89" s="780">
        <f>IF('[2]BASE'!EC90=0,"",'[2]BASE'!EC90)</f>
      </c>
      <c r="N89" s="780">
        <f>IF('[2]BASE'!ED90=0,"",'[2]BASE'!ED90)</f>
      </c>
      <c r="O89" s="780">
        <f>IF('[2]BASE'!EE90=0,"",'[2]BASE'!EE90)</f>
      </c>
      <c r="P89" s="780">
        <f>IF('[2]BASE'!EF90=0,"",'[2]BASE'!EF90)</f>
      </c>
      <c r="Q89" s="780">
        <f>IF('[2]BASE'!EG90=0,"",'[2]BASE'!EG90)</f>
      </c>
      <c r="R89" s="780">
        <f>IF('[2]BASE'!EH90=0,"",'[2]BASE'!EH90)</f>
      </c>
      <c r="S89" s="780">
        <f>IF('[2]BASE'!EI90=0,"",'[2]BASE'!EI90)</f>
      </c>
      <c r="T89" s="780">
        <f>IF('[2]BASE'!EJ90=0,"",'[2]BASE'!EJ90)</f>
      </c>
      <c r="U89" s="819"/>
      <c r="V89" s="777"/>
    </row>
    <row r="90" spans="2:22" s="772" customFormat="1" ht="19.5" customHeight="1">
      <c r="B90" s="773"/>
      <c r="C90" s="783">
        <f>IF('[1]BASE'!C91=0,"",'[1]BASE'!C91)</f>
      </c>
      <c r="D90" s="783">
        <f>IF('[1]BASE'!D91=0,"",'[1]BASE'!D91)</f>
      </c>
      <c r="E90" s="783">
        <f>IF('[1]BASE'!E91=0,"",'[1]BASE'!E91)</f>
      </c>
      <c r="F90" s="783">
        <f>IF('[1]BASE'!F91=0,"",'[1]BASE'!F91)</f>
      </c>
      <c r="G90" s="784">
        <f>IF('[1]BASE'!G91=0,"",'[1]BASE'!G91)</f>
      </c>
      <c r="H90" s="780">
        <f>IF('[2]BASE'!DX91=0,"",'[1]BASE'!DX91)</f>
      </c>
      <c r="I90" s="780">
        <f>IF('[2]BASE'!DY91=0,"",'[2]BASE'!DY91)</f>
      </c>
      <c r="J90" s="780">
        <f>IF('[2]BASE'!DZ91=0,"",'[2]BASE'!DZ91)</f>
      </c>
      <c r="K90" s="780">
        <f>IF('[2]BASE'!EA91=0,"",'[2]BASE'!EA91)</f>
      </c>
      <c r="L90" s="780">
        <f>IF('[2]BASE'!EB91=0,"",'[2]BASE'!EB91)</f>
      </c>
      <c r="M90" s="780">
        <f>IF('[2]BASE'!EC91=0,"",'[2]BASE'!EC91)</f>
      </c>
      <c r="N90" s="780">
        <f>IF('[2]BASE'!ED91=0,"",'[2]BASE'!ED91)</f>
      </c>
      <c r="O90" s="780">
        <f>IF('[2]BASE'!EE91=0,"",'[2]BASE'!EE91)</f>
      </c>
      <c r="P90" s="780">
        <f>IF('[2]BASE'!EF91=0,"",'[2]BASE'!EF91)</f>
      </c>
      <c r="Q90" s="780">
        <f>IF('[2]BASE'!EG91=0,"",'[2]BASE'!EG91)</f>
      </c>
      <c r="R90" s="780">
        <f>IF('[2]BASE'!EH91=0,"",'[2]BASE'!EH91)</f>
      </c>
      <c r="S90" s="780">
        <f>IF('[2]BASE'!EI91=0,"",'[2]BASE'!EI91)</f>
      </c>
      <c r="T90" s="780">
        <f>IF('[2]BASE'!EJ91=0,"",'[2]BASE'!EJ91)</f>
      </c>
      <c r="U90" s="819"/>
      <c r="V90" s="777"/>
    </row>
    <row r="91" spans="2:22" s="772" customFormat="1" ht="19.5" customHeight="1" thickBot="1">
      <c r="B91" s="773"/>
      <c r="C91" s="785"/>
      <c r="D91" s="785"/>
      <c r="E91" s="785"/>
      <c r="F91" s="785"/>
      <c r="G91" s="786"/>
      <c r="H91" s="787"/>
      <c r="I91" s="787"/>
      <c r="J91" s="787"/>
      <c r="K91" s="787"/>
      <c r="L91" s="787"/>
      <c r="M91" s="787"/>
      <c r="N91" s="787"/>
      <c r="O91" s="787"/>
      <c r="P91" s="787"/>
      <c r="Q91" s="787"/>
      <c r="R91" s="787"/>
      <c r="S91" s="787"/>
      <c r="T91" s="787"/>
      <c r="U91" s="819"/>
      <c r="V91" s="777"/>
    </row>
    <row r="92" spans="2:22" s="772" customFormat="1" ht="19.5" customHeight="1" thickBot="1" thickTop="1">
      <c r="B92" s="773"/>
      <c r="C92" s="788"/>
      <c r="D92" s="789"/>
      <c r="E92" s="790" t="s">
        <v>192</v>
      </c>
      <c r="F92" s="791">
        <f>SUM(F15:F91)-F45-F56-F77-F78-F86</f>
        <v>9666.7</v>
      </c>
      <c r="G92" s="792"/>
      <c r="H92" s="793"/>
      <c r="I92" s="793"/>
      <c r="J92" s="793"/>
      <c r="K92" s="793"/>
      <c r="L92" s="793"/>
      <c r="M92" s="793"/>
      <c r="N92" s="794"/>
      <c r="O92" s="794"/>
      <c r="P92" s="794"/>
      <c r="Q92" s="794"/>
      <c r="R92" s="794"/>
      <c r="S92" s="794"/>
      <c r="T92" s="794"/>
      <c r="U92" s="819"/>
      <c r="V92" s="777"/>
    </row>
    <row r="93" spans="2:22" s="772" customFormat="1" ht="19.5" customHeight="1" thickBot="1" thickTop="1">
      <c r="B93" s="773"/>
      <c r="C93" s="795"/>
      <c r="D93" s="796"/>
      <c r="E93" s="797"/>
      <c r="F93" s="798" t="s">
        <v>193</v>
      </c>
      <c r="H93" s="799">
        <f>SUM(H16:H91)</f>
        <v>0</v>
      </c>
      <c r="I93" s="799">
        <f aca="true" t="shared" si="0" ref="I93:R93">SUM(I16:I91)</f>
        <v>0</v>
      </c>
      <c r="J93" s="799">
        <f t="shared" si="0"/>
        <v>5</v>
      </c>
      <c r="K93" s="799">
        <f t="shared" si="0"/>
        <v>4</v>
      </c>
      <c r="L93" s="799">
        <f t="shared" si="0"/>
        <v>2</v>
      </c>
      <c r="M93" s="799">
        <f t="shared" si="0"/>
        <v>5</v>
      </c>
      <c r="N93" s="799">
        <f t="shared" si="0"/>
        <v>6</v>
      </c>
      <c r="O93" s="799">
        <f t="shared" si="0"/>
        <v>4</v>
      </c>
      <c r="P93" s="799">
        <f t="shared" si="0"/>
        <v>1</v>
      </c>
      <c r="Q93" s="799">
        <f t="shared" si="0"/>
        <v>0</v>
      </c>
      <c r="R93" s="799">
        <f t="shared" si="0"/>
        <v>4</v>
      </c>
      <c r="S93" s="799">
        <f>SUM(S16:S91)</f>
        <v>7</v>
      </c>
      <c r="T93" s="799">
        <f>SUM(T16:T91)</f>
        <v>7</v>
      </c>
      <c r="U93" s="819"/>
      <c r="V93" s="777"/>
    </row>
    <row r="94" spans="2:22" s="772" customFormat="1" ht="19.5" customHeight="1" thickBot="1" thickTop="1">
      <c r="B94" s="773"/>
      <c r="E94" s="797"/>
      <c r="F94" s="798" t="s">
        <v>194</v>
      </c>
      <c r="H94" s="800">
        <f>'[2]BASE'!DX100</f>
        <v>0.6</v>
      </c>
      <c r="I94" s="800">
        <f>'[2]BASE'!DY100</f>
        <v>0.51</v>
      </c>
      <c r="J94" s="800">
        <f>'[2]BASE'!DZ100</f>
        <v>0.47</v>
      </c>
      <c r="K94" s="800">
        <f>'[2]BASE'!EA100</f>
        <v>0.49</v>
      </c>
      <c r="L94" s="800">
        <f>'[2]BASE'!EB100</f>
        <v>0.42</v>
      </c>
      <c r="M94" s="800">
        <f>'[2]BASE'!EC100</f>
        <v>0.41</v>
      </c>
      <c r="N94" s="800">
        <f>'[2]BASE'!ED100</f>
        <v>0.44</v>
      </c>
      <c r="O94" s="800">
        <f>'[2]BASE'!EE100</f>
        <v>0.48</v>
      </c>
      <c r="P94" s="800">
        <f>'[2]BASE'!EF100</f>
        <v>0.47</v>
      </c>
      <c r="Q94" s="800">
        <f>'[2]BASE'!EG100</f>
        <v>0.43</v>
      </c>
      <c r="R94" s="800">
        <f>'[2]BASE'!EH100</f>
        <v>0.37</v>
      </c>
      <c r="S94" s="800">
        <f>'[2]BASE'!EI100</f>
        <v>0.38</v>
      </c>
      <c r="T94" s="800">
        <f>'[2]BASE'!EJ100</f>
        <v>0.39</v>
      </c>
      <c r="U94" s="800">
        <f>'[2]BASE'!EK100</f>
        <v>0.47</v>
      </c>
      <c r="V94" s="777"/>
    </row>
    <row r="95" spans="2:22" s="801" customFormat="1" ht="15.75" customHeight="1" thickBot="1" thickTop="1">
      <c r="B95" s="802"/>
      <c r="C95"/>
      <c r="D95" s="803"/>
      <c r="E95" s="804"/>
      <c r="F95" s="805"/>
      <c r="G95"/>
      <c r="H95" s="806"/>
      <c r="I95" s="806"/>
      <c r="J95" s="806"/>
      <c r="K95" s="806"/>
      <c r="L95" s="806"/>
      <c r="M95" s="806"/>
      <c r="N95" s="806"/>
      <c r="O95" s="806"/>
      <c r="P95" s="806"/>
      <c r="Q95" s="806"/>
      <c r="R95" s="806"/>
      <c r="S95" s="806"/>
      <c r="T95" s="806"/>
      <c r="U95" s="806"/>
      <c r="V95" s="807"/>
    </row>
    <row r="96" spans="2:22" ht="15.75" customHeight="1" thickBot="1">
      <c r="B96" s="109"/>
      <c r="C96" s="808"/>
      <c r="D96" s="50" t="s">
        <v>195</v>
      </c>
      <c r="E96" s="14"/>
      <c r="F96" s="14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13"/>
    </row>
    <row r="97" spans="2:22" ht="21.75" thickBot="1" thickTop="1">
      <c r="B97" s="109"/>
      <c r="C97" s="2"/>
      <c r="D97" s="14"/>
      <c r="E97" s="831" t="s">
        <v>194</v>
      </c>
      <c r="F97" s="832"/>
      <c r="G97" s="809"/>
      <c r="H97" s="810">
        <f>+U94</f>
        <v>0.47</v>
      </c>
      <c r="I97" s="811" t="s">
        <v>196</v>
      </c>
      <c r="J97" s="809"/>
      <c r="K97" s="812"/>
      <c r="L97"/>
      <c r="M97" s="14"/>
      <c r="N97" s="14"/>
      <c r="O97" s="14"/>
      <c r="P97" s="14"/>
      <c r="Q97" s="14"/>
      <c r="R97" s="14"/>
      <c r="S97" s="14"/>
      <c r="T97" s="14"/>
      <c r="U97" s="14"/>
      <c r="V97" s="113"/>
    </row>
    <row r="98" spans="2:22" s="91" customFormat="1" ht="17.25" thickBot="1" thickTop="1">
      <c r="B98" s="116"/>
      <c r="C98" s="813"/>
      <c r="D98" s="118"/>
      <c r="E98" s="118"/>
      <c r="F98" s="813"/>
      <c r="G98" s="813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9"/>
    </row>
    <row r="99" spans="3:7" ht="13.5" thickTop="1">
      <c r="C99" s="65"/>
      <c r="F99" s="65"/>
      <c r="G99" s="65"/>
    </row>
    <row r="100" spans="3:195" ht="12.75">
      <c r="C100" s="65"/>
      <c r="D100" s="2"/>
      <c r="E100" s="2"/>
      <c r="F100" s="2"/>
      <c r="G100" s="2"/>
      <c r="H100" s="814"/>
      <c r="I100" s="814"/>
      <c r="J100" s="814"/>
      <c r="K100" s="814"/>
      <c r="L100" s="814"/>
      <c r="M100" s="814"/>
      <c r="N100" s="814"/>
      <c r="O100" s="814"/>
      <c r="P100" s="814"/>
      <c r="Q100" s="814"/>
      <c r="R100" s="814"/>
      <c r="S100" s="814"/>
      <c r="T100" s="814"/>
      <c r="U100" s="8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</row>
    <row r="101" spans="3:195" ht="12.75">
      <c r="C101" s="65"/>
      <c r="D101" s="2"/>
      <c r="E101" s="2"/>
      <c r="F101" s="2"/>
      <c r="G101" s="2"/>
      <c r="H101" s="814"/>
      <c r="I101" s="814"/>
      <c r="J101" s="814"/>
      <c r="K101" s="814"/>
      <c r="L101" s="814"/>
      <c r="M101" s="814"/>
      <c r="N101" s="814"/>
      <c r="O101" s="814"/>
      <c r="P101" s="814"/>
      <c r="Q101" s="814"/>
      <c r="R101" s="814"/>
      <c r="S101" s="814"/>
      <c r="T101" s="814"/>
      <c r="U101" s="8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</row>
    <row r="102" spans="3:195" ht="12.75">
      <c r="C102" s="65"/>
      <c r="D102" s="2"/>
      <c r="E102" s="2"/>
      <c r="F102" s="2"/>
      <c r="G102" s="2"/>
      <c r="H102" s="815"/>
      <c r="I102" s="815"/>
      <c r="J102" s="815"/>
      <c r="K102" s="815"/>
      <c r="L102" s="815"/>
      <c r="M102" s="815"/>
      <c r="N102" s="815"/>
      <c r="O102" s="815"/>
      <c r="P102" s="815"/>
      <c r="Q102" s="815"/>
      <c r="R102" s="815"/>
      <c r="S102" s="815"/>
      <c r="T102" s="815"/>
      <c r="U102" s="815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</row>
    <row r="103" spans="3:195" ht="12.75">
      <c r="C103" s="65"/>
      <c r="D103" s="2"/>
      <c r="E103" s="2"/>
      <c r="F103" s="2"/>
      <c r="G103" s="2"/>
      <c r="H103" s="814"/>
      <c r="I103" s="814"/>
      <c r="J103" s="814"/>
      <c r="K103" s="814"/>
      <c r="L103" s="814"/>
      <c r="M103" s="814"/>
      <c r="N103" s="814"/>
      <c r="O103" s="814"/>
      <c r="P103" s="814"/>
      <c r="Q103" s="814"/>
      <c r="R103" s="814"/>
      <c r="S103" s="814"/>
      <c r="T103" s="814"/>
      <c r="U103" s="8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</row>
    <row r="104" spans="3:195" ht="12.75">
      <c r="C104" s="65"/>
      <c r="D104" s="2"/>
      <c r="E104" s="2"/>
      <c r="F104" s="2"/>
      <c r="G104" s="2"/>
      <c r="H104" s="814"/>
      <c r="I104" s="814"/>
      <c r="J104" s="814"/>
      <c r="K104" s="814"/>
      <c r="L104" s="814"/>
      <c r="M104" s="814"/>
      <c r="N104" s="814"/>
      <c r="O104" s="814"/>
      <c r="P104" s="814"/>
      <c r="Q104" s="814"/>
      <c r="R104" s="814"/>
      <c r="S104" s="814"/>
      <c r="T104" s="814"/>
      <c r="U104" s="8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</row>
    <row r="105" spans="3:195" ht="12.75">
      <c r="C105" s="65"/>
      <c r="D105" s="2"/>
      <c r="E105" s="2"/>
      <c r="F105" s="2"/>
      <c r="G105" s="2"/>
      <c r="H105" s="814"/>
      <c r="I105" s="814"/>
      <c r="J105" s="814"/>
      <c r="K105" s="814"/>
      <c r="L105" s="814"/>
      <c r="M105" s="814"/>
      <c r="N105" s="814"/>
      <c r="O105" s="814"/>
      <c r="P105" s="814"/>
      <c r="Q105" s="814"/>
      <c r="R105" s="814"/>
      <c r="S105" s="814"/>
      <c r="T105" s="814"/>
      <c r="U105" s="8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</row>
    <row r="106" spans="3:195" ht="12.75">
      <c r="C106" s="65"/>
      <c r="D106" s="2"/>
      <c r="E106" s="2"/>
      <c r="F106" s="2"/>
      <c r="G106" s="2"/>
      <c r="H106" s="814"/>
      <c r="I106" s="814"/>
      <c r="J106" s="814"/>
      <c r="K106" s="814"/>
      <c r="L106" s="814"/>
      <c r="M106" s="814"/>
      <c r="N106" s="814"/>
      <c r="O106" s="814"/>
      <c r="P106" s="814"/>
      <c r="Q106" s="814"/>
      <c r="R106" s="814"/>
      <c r="S106" s="814"/>
      <c r="T106" s="814"/>
      <c r="U106" s="8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</row>
    <row r="107" spans="3:195" ht="12.75">
      <c r="C107" s="65"/>
      <c r="D107" s="2"/>
      <c r="E107" s="2"/>
      <c r="F107" s="2"/>
      <c r="G107" s="2"/>
      <c r="H107" s="814"/>
      <c r="I107" s="814"/>
      <c r="J107" s="814"/>
      <c r="K107" s="814"/>
      <c r="L107" s="814"/>
      <c r="M107" s="814"/>
      <c r="N107" s="814"/>
      <c r="O107" s="814"/>
      <c r="P107" s="814"/>
      <c r="Q107" s="814"/>
      <c r="R107" s="814"/>
      <c r="S107" s="814"/>
      <c r="T107" s="814"/>
      <c r="U107" s="8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</row>
    <row r="108" spans="3:195" ht="12.75">
      <c r="C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</row>
    <row r="109" spans="3:195" ht="12.75">
      <c r="C109" s="65"/>
      <c r="D109" s="14"/>
      <c r="E109" s="14"/>
      <c r="F109" s="2"/>
      <c r="G109" s="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</row>
    <row r="110" spans="3:7" ht="12.75">
      <c r="C110" s="65"/>
      <c r="F110" s="65"/>
      <c r="G110" s="65"/>
    </row>
    <row r="111" spans="3:7" ht="12.75">
      <c r="C111" s="65"/>
      <c r="F111" s="65"/>
      <c r="G111" s="65"/>
    </row>
    <row r="112" spans="3:7" ht="12.75">
      <c r="C112" s="65"/>
      <c r="F112" s="65"/>
      <c r="G112" s="65"/>
    </row>
    <row r="113" spans="6:7" ht="12.75">
      <c r="F113" s="65"/>
      <c r="G113" s="65"/>
    </row>
  </sheetData>
  <mergeCells count="1">
    <mergeCell ref="E97:F97"/>
  </mergeCells>
  <printOptions horizontalCentered="1"/>
  <pageMargins left="1.28" right="0.1968503937007874" top="0.2362204724409449" bottom="1" header="0.15748031496062992" footer="0.5118110236220472"/>
  <pageSetup horizontalDpi="300" verticalDpi="300" orientation="portrait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6"/>
  <sheetViews>
    <sheetView zoomScale="75" zoomScaleNormal="75" workbookViewId="0" topLeftCell="C1">
      <selection activeCell="AC22" sqref="AC22:AC3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7" customFormat="1" ht="26.25">
      <c r="A1" s="127"/>
      <c r="AD1" s="625"/>
    </row>
    <row r="2" spans="1:30" s="77" customFormat="1" ht="26.25">
      <c r="A2" s="127"/>
      <c r="B2" s="78" t="str">
        <f>+'tot-0501'!B2</f>
        <v>ANEXO I a la Resolución E.N.R.E. N°             586 /2007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="16" customFormat="1" ht="12.75">
      <c r="A3" s="49"/>
    </row>
    <row r="4" spans="1:2" s="84" customFormat="1" ht="11.25">
      <c r="A4" s="82" t="s">
        <v>46</v>
      </c>
      <c r="B4" s="158"/>
    </row>
    <row r="5" spans="1:2" s="84" customFormat="1" ht="11.25">
      <c r="A5" s="82" t="s">
        <v>47</v>
      </c>
      <c r="B5" s="158"/>
    </row>
    <row r="6" s="16" customFormat="1" ht="13.5" thickBot="1"/>
    <row r="7" spans="2:30" s="16" customFormat="1" ht="13.5" thickTop="1">
      <c r="B7" s="128"/>
      <c r="C7" s="129"/>
      <c r="D7" s="129"/>
      <c r="E7" s="130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31"/>
    </row>
    <row r="8" spans="2:30" s="10" customFormat="1" ht="20.25">
      <c r="B8" s="142"/>
      <c r="C8" s="11"/>
      <c r="D8" s="7" t="s">
        <v>62</v>
      </c>
      <c r="E8" s="11"/>
      <c r="F8" s="11"/>
      <c r="G8" s="11"/>
      <c r="H8" s="11"/>
      <c r="N8" s="11"/>
      <c r="O8" s="11"/>
      <c r="P8" s="143"/>
      <c r="Q8" s="14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44"/>
    </row>
    <row r="9" spans="2:30" s="16" customFormat="1" ht="12.75">
      <c r="B9" s="10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32"/>
    </row>
    <row r="10" spans="2:30" s="10" customFormat="1" ht="20.25">
      <c r="B10" s="142"/>
      <c r="C10" s="11"/>
      <c r="D10" s="143" t="s">
        <v>63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44"/>
    </row>
    <row r="11" spans="2:30" s="16" customFormat="1" ht="12.75">
      <c r="B11" s="10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32"/>
    </row>
    <row r="12" spans="2:30" s="10" customFormat="1" ht="20.25">
      <c r="B12" s="142"/>
      <c r="C12" s="11"/>
      <c r="D12" s="143" t="s">
        <v>64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43"/>
      <c r="Q12" s="14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44"/>
    </row>
    <row r="13" spans="2:30" s="16" customFormat="1" ht="12.75">
      <c r="B13" s="109"/>
      <c r="C13" s="14"/>
      <c r="D13" s="14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32"/>
    </row>
    <row r="14" spans="2:30" s="15" customFormat="1" ht="19.5">
      <c r="B14" s="97" t="str">
        <f>+'tot-0501'!B14</f>
        <v>Desde el 01 al 31 de enero de 2005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46"/>
      <c r="O14" s="146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47"/>
    </row>
    <row r="15" spans="2:30" s="16" customFormat="1" ht="16.5" customHeight="1" thickBot="1">
      <c r="B15" s="109"/>
      <c r="C15" s="14"/>
      <c r="D15" s="14"/>
      <c r="E15" s="2"/>
      <c r="F15" s="2"/>
      <c r="G15" s="14"/>
      <c r="H15" s="14"/>
      <c r="I15" s="14"/>
      <c r="J15" s="141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32"/>
    </row>
    <row r="16" spans="2:30" s="16" customFormat="1" ht="16.5" customHeight="1" thickBot="1" thickTop="1">
      <c r="B16" s="109"/>
      <c r="C16" s="14"/>
      <c r="D16" s="148" t="s">
        <v>65</v>
      </c>
      <c r="E16" s="565">
        <v>56.353</v>
      </c>
      <c r="F16" s="25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32"/>
    </row>
    <row r="17" spans="2:30" s="16" customFormat="1" ht="16.5" customHeight="1" thickBot="1" thickTop="1">
      <c r="B17" s="109"/>
      <c r="C17" s="14"/>
      <c r="D17" s="148" t="s">
        <v>66</v>
      </c>
      <c r="E17" s="565">
        <v>46.961</v>
      </c>
      <c r="F17" s="250"/>
      <c r="G17" s="14"/>
      <c r="H17" s="14"/>
      <c r="I17" s="14"/>
      <c r="J17" s="627"/>
      <c r="K17" s="62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34"/>
      <c r="W17" s="134"/>
      <c r="X17" s="134"/>
      <c r="Y17" s="134"/>
      <c r="Z17" s="134"/>
      <c r="AA17" s="134"/>
      <c r="AB17" s="134"/>
      <c r="AD17" s="132"/>
    </row>
    <row r="18" spans="2:30" s="16" customFormat="1" ht="16.5" customHeight="1" thickBot="1" thickTop="1">
      <c r="B18" s="109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3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32"/>
    </row>
    <row r="19" spans="2:30" s="16" customFormat="1" ht="33.75" customHeight="1" thickBot="1" thickTop="1">
      <c r="B19" s="109"/>
      <c r="C19" s="149" t="s">
        <v>67</v>
      </c>
      <c r="D19" s="151" t="s">
        <v>49</v>
      </c>
      <c r="E19" s="401" t="s">
        <v>68</v>
      </c>
      <c r="F19" s="155" t="s">
        <v>69</v>
      </c>
      <c r="G19" s="150" t="s">
        <v>70</v>
      </c>
      <c r="H19" s="402" t="s">
        <v>71</v>
      </c>
      <c r="I19" s="399" t="s">
        <v>72</v>
      </c>
      <c r="J19" s="151" t="s">
        <v>73</v>
      </c>
      <c r="K19" s="152" t="s">
        <v>74</v>
      </c>
      <c r="L19" s="154" t="s">
        <v>75</v>
      </c>
      <c r="M19" s="155" t="s">
        <v>76</v>
      </c>
      <c r="N19" s="154" t="s">
        <v>77</v>
      </c>
      <c r="O19" s="155" t="s">
        <v>78</v>
      </c>
      <c r="P19" s="152" t="s">
        <v>79</v>
      </c>
      <c r="Q19" s="151" t="s">
        <v>80</v>
      </c>
      <c r="R19" s="364" t="s">
        <v>81</v>
      </c>
      <c r="S19" s="367" t="s">
        <v>82</v>
      </c>
      <c r="T19" s="314" t="s">
        <v>83</v>
      </c>
      <c r="U19" s="315"/>
      <c r="V19" s="316"/>
      <c r="W19" s="371" t="s">
        <v>84</v>
      </c>
      <c r="X19" s="372"/>
      <c r="Y19" s="373"/>
      <c r="Z19" s="387" t="s">
        <v>85</v>
      </c>
      <c r="AA19" s="388" t="s">
        <v>86</v>
      </c>
      <c r="AB19" s="156" t="s">
        <v>87</v>
      </c>
      <c r="AC19" s="156" t="s">
        <v>88</v>
      </c>
      <c r="AD19" s="136"/>
    </row>
    <row r="20" spans="2:30" s="16" customFormat="1" ht="16.5" customHeight="1" hidden="1" thickTop="1">
      <c r="B20" s="109"/>
      <c r="C20" s="384"/>
      <c r="D20" s="406"/>
      <c r="E20" s="406"/>
      <c r="F20" s="384"/>
      <c r="G20" s="384"/>
      <c r="H20" s="404"/>
      <c r="I20" s="405"/>
      <c r="J20" s="384"/>
      <c r="K20" s="384"/>
      <c r="L20" s="384"/>
      <c r="M20" s="384"/>
      <c r="N20" s="384"/>
      <c r="O20" s="384"/>
      <c r="P20" s="384"/>
      <c r="Q20" s="384"/>
      <c r="R20" s="365"/>
      <c r="S20" s="368"/>
      <c r="T20" s="376"/>
      <c r="U20" s="377"/>
      <c r="V20" s="378"/>
      <c r="W20" s="379"/>
      <c r="X20" s="380"/>
      <c r="Y20" s="381"/>
      <c r="Z20" s="385"/>
      <c r="AA20" s="389"/>
      <c r="AB20" s="384"/>
      <c r="AC20" s="508"/>
      <c r="AD20" s="132"/>
    </row>
    <row r="21" spans="2:30" s="16" customFormat="1" ht="16.5" customHeight="1" thickTop="1">
      <c r="B21" s="109"/>
      <c r="C21" s="17"/>
      <c r="D21" s="17"/>
      <c r="E21" s="20"/>
      <c r="F21" s="17"/>
      <c r="G21" s="17"/>
      <c r="H21" s="397"/>
      <c r="I21" s="400"/>
      <c r="J21" s="19"/>
      <c r="K21" s="14"/>
      <c r="L21" s="17"/>
      <c r="M21" s="17"/>
      <c r="N21" s="18"/>
      <c r="O21" s="17"/>
      <c r="P21" s="17"/>
      <c r="Q21" s="17"/>
      <c r="R21" s="363"/>
      <c r="S21" s="366"/>
      <c r="T21" s="383"/>
      <c r="U21" s="369"/>
      <c r="V21" s="370"/>
      <c r="W21" s="382"/>
      <c r="X21" s="374"/>
      <c r="Y21" s="375"/>
      <c r="Z21" s="386"/>
      <c r="AA21" s="390"/>
      <c r="AB21" s="17"/>
      <c r="AC21" s="157"/>
      <c r="AD21" s="132"/>
    </row>
    <row r="22" spans="2:30" s="16" customFormat="1" ht="16.5" customHeight="1">
      <c r="B22" s="109"/>
      <c r="C22" s="639">
        <v>1</v>
      </c>
      <c r="D22" s="640" t="s">
        <v>8</v>
      </c>
      <c r="E22" s="641">
        <v>500</v>
      </c>
      <c r="F22" s="642">
        <v>58</v>
      </c>
      <c r="G22" s="641" t="s">
        <v>2</v>
      </c>
      <c r="H22" s="403">
        <f aca="true" t="shared" si="0" ref="H22:H41">IF(G22="A",200,IF(G22="B",60,20))</f>
        <v>20</v>
      </c>
      <c r="I22" s="562">
        <f aca="true" t="shared" si="1" ref="I22:I41">IF(E22=500,IF(F22&lt;100,100*$E$16/100,F22*$E$16/100),IF(F22&lt;100,100*$E$17/100,F22*$E$17/100))</f>
        <v>56.353</v>
      </c>
      <c r="J22" s="651">
        <v>38360.29652777778</v>
      </c>
      <c r="K22" s="652">
        <v>38360.6875</v>
      </c>
      <c r="L22" s="22">
        <f aca="true" t="shared" si="2" ref="L22:L41">IF(D22="","",(K22-J22)*24)</f>
        <v>9.383333333360497</v>
      </c>
      <c r="M22" s="23">
        <f aca="true" t="shared" si="3" ref="M22:M41">IF(D22="","",ROUND((K22-J22)*24*60,0))</f>
        <v>563</v>
      </c>
      <c r="N22" s="659" t="s">
        <v>175</v>
      </c>
      <c r="O22" s="660" t="str">
        <f aca="true" t="shared" si="4" ref="O22:O41">IF(D22="","","--")</f>
        <v>--</v>
      </c>
      <c r="P22" s="661" t="str">
        <f aca="true" t="shared" si="5" ref="P22:P41">IF(D22="","","NO")</f>
        <v>NO</v>
      </c>
      <c r="Q22" s="661" t="str">
        <f aca="true" t="shared" si="6" ref="Q22:Q41">IF(D22="","",IF(OR(N22="P",N22="RP"),"--","NO"))</f>
        <v>--</v>
      </c>
      <c r="R22" s="662">
        <f aca="true" t="shared" si="7" ref="R22:R41">IF(N22="P",I22*H22*ROUND(M22/60,2)*0.01,"--")</f>
        <v>105.718228</v>
      </c>
      <c r="S22" s="663" t="str">
        <f aca="true" t="shared" si="8" ref="S22:S41">IF(N22="RP",I22*H22*ROUND(M22/60,2)*0.01*O22/100,"--")</f>
        <v>--</v>
      </c>
      <c r="T22" s="664" t="str">
        <f aca="true" t="shared" si="9" ref="T22:T41">IF(AND(N22="F",Q22="NO"),I22*H22*IF(P22="SI",1.2,1),"--")</f>
        <v>--</v>
      </c>
      <c r="U22" s="665" t="str">
        <f aca="true" t="shared" si="10" ref="U22:U41">IF(AND(N22="F",M22&gt;=10),I22*H22*IF(P22="SI",1.2,1)*IF(M22&lt;=300,ROUND(M22/60,2),5),"--")</f>
        <v>--</v>
      </c>
      <c r="V22" s="666" t="str">
        <f aca="true" t="shared" si="11" ref="V22:V41">IF(AND(N22="F",M22&gt;300),(ROUND(M22/60,2)-5)*I22*H22*0.1*IF(P22="SI",1.2,1),"--")</f>
        <v>--</v>
      </c>
      <c r="W22" s="667" t="str">
        <f aca="true" t="shared" si="12" ref="W22:W41">IF(AND(N22="R",Q22="NO"),I22*H22*O22/100*IF(P22="SI",1.2,1),"--")</f>
        <v>--</v>
      </c>
      <c r="X22" s="668" t="str">
        <f aca="true" t="shared" si="13" ref="X22:X41">IF(AND(N22="R",M22&gt;=10),I22*H22*O22/100*IF(P22="SI",1.2,1)*IF(M22&lt;=300,ROUND(M22/60,2),5),"--")</f>
        <v>--</v>
      </c>
      <c r="Y22" s="669" t="str">
        <f aca="true" t="shared" si="14" ref="Y22:Y41">IF(AND(N22="R",M22&gt;300),(ROUND(M22/60,2)-5)*I22*H22*0.1*O22/100*IF(P22="SI",1.2,1),"--")</f>
        <v>--</v>
      </c>
      <c r="Z22" s="670" t="str">
        <f aca="true" t="shared" si="15" ref="Z22:Z41">IF(N22="RF",ROUND(M22/60,2)*I22*H22*0.1*IF(P22="SI",1.2,1),"--")</f>
        <v>--</v>
      </c>
      <c r="AA22" s="671" t="str">
        <f aca="true" t="shared" si="16" ref="AA22:AA41">IF(N22="RR",ROUND(M22/60,2)*I22*H22*0.1*O22/100*IF(P22="SI",1.2,1),"--")</f>
        <v>--</v>
      </c>
      <c r="AB22" s="672" t="str">
        <f aca="true" t="shared" si="17" ref="AB22:AB41">IF(D22="","","SI")</f>
        <v>SI</v>
      </c>
      <c r="AC22" s="24">
        <f aca="true" t="shared" si="18" ref="AC22:AC41">IF(D22="","",SUM(R22:AA22)*IF(AB22="SI",1,2))</f>
        <v>105.718228</v>
      </c>
      <c r="AD22" s="502"/>
    </row>
    <row r="23" spans="2:30" s="16" customFormat="1" ht="16.5" customHeight="1">
      <c r="B23" s="109"/>
      <c r="C23" s="639">
        <v>2</v>
      </c>
      <c r="D23" s="640" t="s">
        <v>9</v>
      </c>
      <c r="E23" s="641">
        <v>500</v>
      </c>
      <c r="F23" s="642">
        <v>58</v>
      </c>
      <c r="G23" s="641" t="s">
        <v>2</v>
      </c>
      <c r="H23" s="403">
        <f t="shared" si="0"/>
        <v>20</v>
      </c>
      <c r="I23" s="562">
        <f t="shared" si="1"/>
        <v>56.353</v>
      </c>
      <c r="J23" s="651">
        <v>38361.29652777778</v>
      </c>
      <c r="K23" s="652">
        <v>38361.64791666667</v>
      </c>
      <c r="L23" s="22">
        <f t="shared" si="2"/>
        <v>8.433333333407063</v>
      </c>
      <c r="M23" s="23">
        <f t="shared" si="3"/>
        <v>506</v>
      </c>
      <c r="N23" s="659" t="s">
        <v>175</v>
      </c>
      <c r="O23" s="660" t="str">
        <f t="shared" si="4"/>
        <v>--</v>
      </c>
      <c r="P23" s="661" t="str">
        <f t="shared" si="5"/>
        <v>NO</v>
      </c>
      <c r="Q23" s="661" t="str">
        <f t="shared" si="6"/>
        <v>--</v>
      </c>
      <c r="R23" s="662">
        <f t="shared" si="7"/>
        <v>95.011158</v>
      </c>
      <c r="S23" s="663" t="str">
        <f t="shared" si="8"/>
        <v>--</v>
      </c>
      <c r="T23" s="664" t="str">
        <f t="shared" si="9"/>
        <v>--</v>
      </c>
      <c r="U23" s="665" t="str">
        <f t="shared" si="10"/>
        <v>--</v>
      </c>
      <c r="V23" s="666" t="str">
        <f t="shared" si="11"/>
        <v>--</v>
      </c>
      <c r="W23" s="667" t="str">
        <f t="shared" si="12"/>
        <v>--</v>
      </c>
      <c r="X23" s="668" t="str">
        <f t="shared" si="13"/>
        <v>--</v>
      </c>
      <c r="Y23" s="669" t="str">
        <f t="shared" si="14"/>
        <v>--</v>
      </c>
      <c r="Z23" s="670" t="str">
        <f t="shared" si="15"/>
        <v>--</v>
      </c>
      <c r="AA23" s="671" t="str">
        <f t="shared" si="16"/>
        <v>--</v>
      </c>
      <c r="AB23" s="672" t="str">
        <f t="shared" si="17"/>
        <v>SI</v>
      </c>
      <c r="AC23" s="24">
        <f t="shared" si="18"/>
        <v>95.011158</v>
      </c>
      <c r="AD23" s="502"/>
    </row>
    <row r="24" spans="2:30" s="16" customFormat="1" ht="16.5" customHeight="1">
      <c r="B24" s="109"/>
      <c r="C24" s="639">
        <v>3</v>
      </c>
      <c r="D24" s="643" t="s">
        <v>12</v>
      </c>
      <c r="E24" s="644">
        <v>500</v>
      </c>
      <c r="F24" s="645">
        <v>256</v>
      </c>
      <c r="G24" s="644" t="s">
        <v>2</v>
      </c>
      <c r="H24" s="403">
        <f t="shared" si="0"/>
        <v>20</v>
      </c>
      <c r="I24" s="562">
        <f t="shared" si="1"/>
        <v>144.26368</v>
      </c>
      <c r="J24" s="653">
        <v>38367.049305555556</v>
      </c>
      <c r="K24" s="654">
        <v>38367.111805555556</v>
      </c>
      <c r="L24" s="22">
        <f t="shared" si="2"/>
        <v>1.5</v>
      </c>
      <c r="M24" s="23">
        <f t="shared" si="3"/>
        <v>90</v>
      </c>
      <c r="N24" s="659" t="s">
        <v>169</v>
      </c>
      <c r="O24" s="660" t="str">
        <f t="shared" si="4"/>
        <v>--</v>
      </c>
      <c r="P24" s="661" t="str">
        <f t="shared" si="5"/>
        <v>NO</v>
      </c>
      <c r="Q24" s="661" t="str">
        <f t="shared" si="6"/>
        <v>NO</v>
      </c>
      <c r="R24" s="662" t="str">
        <f t="shared" si="7"/>
        <v>--</v>
      </c>
      <c r="S24" s="663" t="str">
        <f t="shared" si="8"/>
        <v>--</v>
      </c>
      <c r="T24" s="664">
        <f t="shared" si="9"/>
        <v>2885.2736</v>
      </c>
      <c r="U24" s="665">
        <f t="shared" si="10"/>
        <v>4327.9104</v>
      </c>
      <c r="V24" s="666" t="str">
        <f t="shared" si="11"/>
        <v>--</v>
      </c>
      <c r="W24" s="667" t="str">
        <f t="shared" si="12"/>
        <v>--</v>
      </c>
      <c r="X24" s="668" t="str">
        <f t="shared" si="13"/>
        <v>--</v>
      </c>
      <c r="Y24" s="669" t="str">
        <f t="shared" si="14"/>
        <v>--</v>
      </c>
      <c r="Z24" s="670" t="str">
        <f t="shared" si="15"/>
        <v>--</v>
      </c>
      <c r="AA24" s="671" t="str">
        <f t="shared" si="16"/>
        <v>--</v>
      </c>
      <c r="AB24" s="672" t="str">
        <f t="shared" si="17"/>
        <v>SI</v>
      </c>
      <c r="AC24" s="24">
        <f t="shared" si="18"/>
        <v>7213.183999999999</v>
      </c>
      <c r="AD24" s="502"/>
    </row>
    <row r="25" spans="2:30" s="16" customFormat="1" ht="16.5" customHeight="1">
      <c r="B25" s="109"/>
      <c r="C25" s="639">
        <v>4</v>
      </c>
      <c r="D25" s="643" t="s">
        <v>8</v>
      </c>
      <c r="E25" s="644">
        <v>500</v>
      </c>
      <c r="F25" s="645">
        <v>58</v>
      </c>
      <c r="G25" s="644" t="s">
        <v>2</v>
      </c>
      <c r="H25" s="403">
        <f t="shared" si="0"/>
        <v>20</v>
      </c>
      <c r="I25" s="562">
        <f t="shared" si="1"/>
        <v>56.353</v>
      </c>
      <c r="J25" s="653">
        <v>38367.32430555556</v>
      </c>
      <c r="K25" s="654">
        <v>38367.77013888889</v>
      </c>
      <c r="L25" s="22">
        <f t="shared" si="2"/>
        <v>10.699999999953434</v>
      </c>
      <c r="M25" s="23">
        <f t="shared" si="3"/>
        <v>642</v>
      </c>
      <c r="N25" s="659" t="s">
        <v>175</v>
      </c>
      <c r="O25" s="660" t="str">
        <f t="shared" si="4"/>
        <v>--</v>
      </c>
      <c r="P25" s="661" t="str">
        <f t="shared" si="5"/>
        <v>NO</v>
      </c>
      <c r="Q25" s="661" t="str">
        <f t="shared" si="6"/>
        <v>--</v>
      </c>
      <c r="R25" s="662">
        <f t="shared" si="7"/>
        <v>120.59541999999999</v>
      </c>
      <c r="S25" s="663" t="str">
        <f t="shared" si="8"/>
        <v>--</v>
      </c>
      <c r="T25" s="664" t="str">
        <f t="shared" si="9"/>
        <v>--</v>
      </c>
      <c r="U25" s="665" t="str">
        <f t="shared" si="10"/>
        <v>--</v>
      </c>
      <c r="V25" s="666" t="str">
        <f t="shared" si="11"/>
        <v>--</v>
      </c>
      <c r="W25" s="667" t="str">
        <f t="shared" si="12"/>
        <v>--</v>
      </c>
      <c r="X25" s="668" t="str">
        <f t="shared" si="13"/>
        <v>--</v>
      </c>
      <c r="Y25" s="669" t="str">
        <f t="shared" si="14"/>
        <v>--</v>
      </c>
      <c r="Z25" s="670" t="str">
        <f t="shared" si="15"/>
        <v>--</v>
      </c>
      <c r="AA25" s="671" t="str">
        <f t="shared" si="16"/>
        <v>--</v>
      </c>
      <c r="AB25" s="672" t="str">
        <f t="shared" si="17"/>
        <v>SI</v>
      </c>
      <c r="AC25" s="24">
        <f t="shared" si="18"/>
        <v>120.59541999999999</v>
      </c>
      <c r="AD25" s="502"/>
    </row>
    <row r="26" spans="2:30" s="16" customFormat="1" ht="16.5" customHeight="1">
      <c r="B26" s="109"/>
      <c r="C26" s="639">
        <v>5</v>
      </c>
      <c r="D26" s="640" t="s">
        <v>7</v>
      </c>
      <c r="E26" s="641">
        <v>500</v>
      </c>
      <c r="F26" s="642">
        <v>255</v>
      </c>
      <c r="G26" s="641" t="s">
        <v>3</v>
      </c>
      <c r="H26" s="403">
        <f t="shared" si="0"/>
        <v>60</v>
      </c>
      <c r="I26" s="562">
        <f t="shared" si="1"/>
        <v>143.70015</v>
      </c>
      <c r="J26" s="651">
        <v>38368.29722222222</v>
      </c>
      <c r="K26" s="652">
        <v>38368.441666666666</v>
      </c>
      <c r="L26" s="22">
        <f t="shared" si="2"/>
        <v>3.46666666661622</v>
      </c>
      <c r="M26" s="23">
        <f t="shared" si="3"/>
        <v>208</v>
      </c>
      <c r="N26" s="659" t="s">
        <v>175</v>
      </c>
      <c r="O26" s="660" t="str">
        <f t="shared" si="4"/>
        <v>--</v>
      </c>
      <c r="P26" s="661" t="str">
        <f t="shared" si="5"/>
        <v>NO</v>
      </c>
      <c r="Q26" s="661" t="str">
        <f t="shared" si="6"/>
        <v>--</v>
      </c>
      <c r="R26" s="662">
        <f t="shared" si="7"/>
        <v>299.1837123</v>
      </c>
      <c r="S26" s="663" t="str">
        <f t="shared" si="8"/>
        <v>--</v>
      </c>
      <c r="T26" s="664" t="str">
        <f t="shared" si="9"/>
        <v>--</v>
      </c>
      <c r="U26" s="665" t="str">
        <f t="shared" si="10"/>
        <v>--</v>
      </c>
      <c r="V26" s="666" t="str">
        <f t="shared" si="11"/>
        <v>--</v>
      </c>
      <c r="W26" s="667" t="str">
        <f t="shared" si="12"/>
        <v>--</v>
      </c>
      <c r="X26" s="668" t="str">
        <f t="shared" si="13"/>
        <v>--</v>
      </c>
      <c r="Y26" s="669" t="str">
        <f t="shared" si="14"/>
        <v>--</v>
      </c>
      <c r="Z26" s="670" t="str">
        <f t="shared" si="15"/>
        <v>--</v>
      </c>
      <c r="AA26" s="671" t="str">
        <f t="shared" si="16"/>
        <v>--</v>
      </c>
      <c r="AB26" s="672" t="str">
        <f t="shared" si="17"/>
        <v>SI</v>
      </c>
      <c r="AC26" s="24">
        <f t="shared" si="18"/>
        <v>299.1837123</v>
      </c>
      <c r="AD26" s="502"/>
    </row>
    <row r="27" spans="2:30" s="16" customFormat="1" ht="16.5" customHeight="1">
      <c r="B27" s="109"/>
      <c r="C27" s="639">
        <v>6</v>
      </c>
      <c r="D27" s="640" t="s">
        <v>9</v>
      </c>
      <c r="E27" s="641">
        <v>500</v>
      </c>
      <c r="F27" s="642">
        <v>58</v>
      </c>
      <c r="G27" s="641" t="s">
        <v>2</v>
      </c>
      <c r="H27" s="403">
        <f t="shared" si="0"/>
        <v>20</v>
      </c>
      <c r="I27" s="562">
        <f t="shared" si="1"/>
        <v>56.353</v>
      </c>
      <c r="J27" s="651">
        <v>38368.30694444444</v>
      </c>
      <c r="K27" s="652">
        <v>38368.66180555556</v>
      </c>
      <c r="L27" s="22">
        <f t="shared" si="2"/>
        <v>8.51666666683741</v>
      </c>
      <c r="M27" s="23">
        <f t="shared" si="3"/>
        <v>511</v>
      </c>
      <c r="N27" s="659" t="s">
        <v>175</v>
      </c>
      <c r="O27" s="660" t="str">
        <f t="shared" si="4"/>
        <v>--</v>
      </c>
      <c r="P27" s="661" t="str">
        <f t="shared" si="5"/>
        <v>NO</v>
      </c>
      <c r="Q27" s="661" t="str">
        <f t="shared" si="6"/>
        <v>--</v>
      </c>
      <c r="R27" s="662">
        <f t="shared" si="7"/>
        <v>96.025512</v>
      </c>
      <c r="S27" s="663" t="str">
        <f t="shared" si="8"/>
        <v>--</v>
      </c>
      <c r="T27" s="664" t="str">
        <f t="shared" si="9"/>
        <v>--</v>
      </c>
      <c r="U27" s="665" t="str">
        <f t="shared" si="10"/>
        <v>--</v>
      </c>
      <c r="V27" s="666" t="str">
        <f t="shared" si="11"/>
        <v>--</v>
      </c>
      <c r="W27" s="667" t="str">
        <f t="shared" si="12"/>
        <v>--</v>
      </c>
      <c r="X27" s="668" t="str">
        <f t="shared" si="13"/>
        <v>--</v>
      </c>
      <c r="Y27" s="669" t="str">
        <f t="shared" si="14"/>
        <v>--</v>
      </c>
      <c r="Z27" s="670" t="str">
        <f t="shared" si="15"/>
        <v>--</v>
      </c>
      <c r="AA27" s="671" t="str">
        <f t="shared" si="16"/>
        <v>--</v>
      </c>
      <c r="AB27" s="672" t="str">
        <f t="shared" si="17"/>
        <v>SI</v>
      </c>
      <c r="AC27" s="24">
        <f t="shared" si="18"/>
        <v>96.025512</v>
      </c>
      <c r="AD27" s="502"/>
    </row>
    <row r="28" spans="2:30" s="16" customFormat="1" ht="16.5" customHeight="1">
      <c r="B28" s="109"/>
      <c r="C28" s="639">
        <v>7</v>
      </c>
      <c r="D28" s="639" t="s">
        <v>165</v>
      </c>
      <c r="E28" s="646">
        <v>500</v>
      </c>
      <c r="F28" s="647">
        <v>255</v>
      </c>
      <c r="G28" s="646" t="s">
        <v>3</v>
      </c>
      <c r="H28" s="403">
        <f t="shared" si="0"/>
        <v>60</v>
      </c>
      <c r="I28" s="562">
        <f t="shared" si="1"/>
        <v>143.70015</v>
      </c>
      <c r="J28" s="655">
        <v>38369.345138888886</v>
      </c>
      <c r="K28" s="656">
        <v>38378.10486111111</v>
      </c>
      <c r="L28" s="22">
        <f t="shared" si="2"/>
        <v>210.23333333339542</v>
      </c>
      <c r="M28" s="23">
        <f t="shared" si="3"/>
        <v>12614</v>
      </c>
      <c r="N28" s="659" t="s">
        <v>173</v>
      </c>
      <c r="O28" s="660">
        <v>5.88</v>
      </c>
      <c r="P28" s="661" t="str">
        <f t="shared" si="5"/>
        <v>NO</v>
      </c>
      <c r="Q28" s="661" t="str">
        <f t="shared" si="6"/>
        <v>--</v>
      </c>
      <c r="R28" s="662" t="str">
        <f t="shared" si="7"/>
        <v>--</v>
      </c>
      <c r="S28" s="663">
        <f t="shared" si="8"/>
        <v>1065.81171181716</v>
      </c>
      <c r="T28" s="664" t="str">
        <f t="shared" si="9"/>
        <v>--</v>
      </c>
      <c r="U28" s="665" t="str">
        <f t="shared" si="10"/>
        <v>--</v>
      </c>
      <c r="V28" s="666" t="str">
        <f t="shared" si="11"/>
        <v>--</v>
      </c>
      <c r="W28" s="667" t="str">
        <f t="shared" si="12"/>
        <v>--</v>
      </c>
      <c r="X28" s="668" t="str">
        <f t="shared" si="13"/>
        <v>--</v>
      </c>
      <c r="Y28" s="669" t="str">
        <f t="shared" si="14"/>
        <v>--</v>
      </c>
      <c r="Z28" s="670" t="str">
        <f t="shared" si="15"/>
        <v>--</v>
      </c>
      <c r="AA28" s="671" t="str">
        <f t="shared" si="16"/>
        <v>--</v>
      </c>
      <c r="AB28" s="672" t="str">
        <f t="shared" si="17"/>
        <v>SI</v>
      </c>
      <c r="AC28" s="24">
        <f t="shared" si="18"/>
        <v>1065.81171181716</v>
      </c>
      <c r="AD28" s="502"/>
    </row>
    <row r="29" spans="2:30" s="16" customFormat="1" ht="16.5" customHeight="1">
      <c r="B29" s="109"/>
      <c r="C29" s="639">
        <v>8</v>
      </c>
      <c r="D29" s="639" t="s">
        <v>4</v>
      </c>
      <c r="E29" s="646">
        <v>500</v>
      </c>
      <c r="F29" s="647">
        <v>269</v>
      </c>
      <c r="G29" s="646" t="s">
        <v>5</v>
      </c>
      <c r="H29" s="403">
        <f t="shared" si="0"/>
        <v>200</v>
      </c>
      <c r="I29" s="562">
        <f t="shared" si="1"/>
        <v>151.58957</v>
      </c>
      <c r="J29" s="655">
        <v>38369.345138888886</v>
      </c>
      <c r="K29" s="656">
        <v>38378.10486111111</v>
      </c>
      <c r="L29" s="22">
        <f t="shared" si="2"/>
        <v>210.23333333339542</v>
      </c>
      <c r="M29" s="23">
        <f t="shared" si="3"/>
        <v>12614</v>
      </c>
      <c r="N29" s="659" t="s">
        <v>173</v>
      </c>
      <c r="O29" s="660">
        <v>5.88</v>
      </c>
      <c r="P29" s="661" t="str">
        <f t="shared" si="5"/>
        <v>NO</v>
      </c>
      <c r="Q29" s="661" t="str">
        <f t="shared" si="6"/>
        <v>--</v>
      </c>
      <c r="R29" s="662" t="str">
        <f t="shared" si="7"/>
        <v>--</v>
      </c>
      <c r="S29" s="663">
        <f t="shared" si="8"/>
        <v>3747.7562154093594</v>
      </c>
      <c r="T29" s="664" t="str">
        <f t="shared" si="9"/>
        <v>--</v>
      </c>
      <c r="U29" s="665" t="str">
        <f t="shared" si="10"/>
        <v>--</v>
      </c>
      <c r="V29" s="666" t="str">
        <f t="shared" si="11"/>
        <v>--</v>
      </c>
      <c r="W29" s="667" t="str">
        <f t="shared" si="12"/>
        <v>--</v>
      </c>
      <c r="X29" s="668" t="str">
        <f t="shared" si="13"/>
        <v>--</v>
      </c>
      <c r="Y29" s="669" t="str">
        <f t="shared" si="14"/>
        <v>--</v>
      </c>
      <c r="Z29" s="670" t="str">
        <f t="shared" si="15"/>
        <v>--</v>
      </c>
      <c r="AA29" s="671" t="str">
        <f t="shared" si="16"/>
        <v>--</v>
      </c>
      <c r="AB29" s="672" t="str">
        <f t="shared" si="17"/>
        <v>SI</v>
      </c>
      <c r="AC29" s="24">
        <f t="shared" si="18"/>
        <v>3747.7562154093594</v>
      </c>
      <c r="AD29" s="502"/>
    </row>
    <row r="30" spans="2:30" s="16" customFormat="1" ht="16.5" customHeight="1">
      <c r="B30" s="109"/>
      <c r="C30" s="639">
        <v>9</v>
      </c>
      <c r="D30" s="639" t="s">
        <v>165</v>
      </c>
      <c r="E30" s="646">
        <v>500</v>
      </c>
      <c r="F30" s="647">
        <v>255</v>
      </c>
      <c r="G30" s="646" t="s">
        <v>3</v>
      </c>
      <c r="H30" s="403">
        <f t="shared" si="0"/>
        <v>60</v>
      </c>
      <c r="I30" s="562">
        <f t="shared" si="1"/>
        <v>143.70015</v>
      </c>
      <c r="J30" s="655">
        <v>38369.345138888886</v>
      </c>
      <c r="K30" s="656">
        <v>38378.10486111111</v>
      </c>
      <c r="L30" s="22">
        <f t="shared" si="2"/>
        <v>210.23333333339542</v>
      </c>
      <c r="M30" s="23">
        <f t="shared" si="3"/>
        <v>12614</v>
      </c>
      <c r="N30" s="659" t="s">
        <v>173</v>
      </c>
      <c r="O30" s="660">
        <v>5.88</v>
      </c>
      <c r="P30" s="661" t="str">
        <f t="shared" si="5"/>
        <v>NO</v>
      </c>
      <c r="Q30" s="661" t="str">
        <f t="shared" si="6"/>
        <v>--</v>
      </c>
      <c r="R30" s="662" t="str">
        <f t="shared" si="7"/>
        <v>--</v>
      </c>
      <c r="S30" s="663">
        <f t="shared" si="8"/>
        <v>1065.81171181716</v>
      </c>
      <c r="T30" s="664" t="str">
        <f t="shared" si="9"/>
        <v>--</v>
      </c>
      <c r="U30" s="665" t="str">
        <f t="shared" si="10"/>
        <v>--</v>
      </c>
      <c r="V30" s="666" t="str">
        <f t="shared" si="11"/>
        <v>--</v>
      </c>
      <c r="W30" s="667" t="str">
        <f t="shared" si="12"/>
        <v>--</v>
      </c>
      <c r="X30" s="668" t="str">
        <f t="shared" si="13"/>
        <v>--</v>
      </c>
      <c r="Y30" s="669" t="str">
        <f t="shared" si="14"/>
        <v>--</v>
      </c>
      <c r="Z30" s="670" t="str">
        <f t="shared" si="15"/>
        <v>--</v>
      </c>
      <c r="AA30" s="671" t="str">
        <f t="shared" si="16"/>
        <v>--</v>
      </c>
      <c r="AB30" s="672" t="str">
        <f t="shared" si="17"/>
        <v>SI</v>
      </c>
      <c r="AC30" s="24">
        <f t="shared" si="18"/>
        <v>1065.81171181716</v>
      </c>
      <c r="AD30" s="502"/>
    </row>
    <row r="31" spans="2:30" s="16" customFormat="1" ht="16.5" customHeight="1">
      <c r="B31" s="109"/>
      <c r="C31" s="639">
        <v>10</v>
      </c>
      <c r="D31" s="639" t="s">
        <v>167</v>
      </c>
      <c r="E31" s="646">
        <v>500</v>
      </c>
      <c r="F31" s="647">
        <v>291</v>
      </c>
      <c r="G31" s="646" t="s">
        <v>5</v>
      </c>
      <c r="H31" s="403">
        <f t="shared" si="0"/>
        <v>200</v>
      </c>
      <c r="I31" s="562">
        <f t="shared" si="1"/>
        <v>163.98723</v>
      </c>
      <c r="J31" s="655">
        <v>38369.345138888886</v>
      </c>
      <c r="K31" s="656">
        <v>38378.10486111111</v>
      </c>
      <c r="L31" s="22">
        <f t="shared" si="2"/>
        <v>210.23333333339542</v>
      </c>
      <c r="M31" s="23">
        <f t="shared" si="3"/>
        <v>12614</v>
      </c>
      <c r="N31" s="659" t="s">
        <v>173</v>
      </c>
      <c r="O31" s="660">
        <v>5.88</v>
      </c>
      <c r="P31" s="661" t="str">
        <f t="shared" si="5"/>
        <v>NO</v>
      </c>
      <c r="Q31" s="661" t="str">
        <f t="shared" si="6"/>
        <v>--</v>
      </c>
      <c r="R31" s="662" t="str">
        <f t="shared" si="7"/>
        <v>--</v>
      </c>
      <c r="S31" s="663">
        <f t="shared" si="8"/>
        <v>4054.26415867704</v>
      </c>
      <c r="T31" s="664" t="str">
        <f t="shared" si="9"/>
        <v>--</v>
      </c>
      <c r="U31" s="665" t="str">
        <f t="shared" si="10"/>
        <v>--</v>
      </c>
      <c r="V31" s="666" t="str">
        <f t="shared" si="11"/>
        <v>--</v>
      </c>
      <c r="W31" s="667" t="str">
        <f t="shared" si="12"/>
        <v>--</v>
      </c>
      <c r="X31" s="668" t="str">
        <f t="shared" si="13"/>
        <v>--</v>
      </c>
      <c r="Y31" s="669" t="str">
        <f t="shared" si="14"/>
        <v>--</v>
      </c>
      <c r="Z31" s="670" t="str">
        <f t="shared" si="15"/>
        <v>--</v>
      </c>
      <c r="AA31" s="671" t="str">
        <f t="shared" si="16"/>
        <v>--</v>
      </c>
      <c r="AB31" s="672" t="str">
        <f t="shared" si="17"/>
        <v>SI</v>
      </c>
      <c r="AC31" s="24">
        <f t="shared" si="18"/>
        <v>4054.26415867704</v>
      </c>
      <c r="AD31" s="502"/>
    </row>
    <row r="32" spans="2:30" s="16" customFormat="1" ht="16.5" customHeight="1">
      <c r="B32" s="109"/>
      <c r="C32" s="639">
        <v>11</v>
      </c>
      <c r="D32" s="639" t="s">
        <v>11</v>
      </c>
      <c r="E32" s="646">
        <v>500</v>
      </c>
      <c r="F32" s="647">
        <v>105</v>
      </c>
      <c r="G32" s="646" t="s">
        <v>2</v>
      </c>
      <c r="H32" s="403">
        <f t="shared" si="0"/>
        <v>20</v>
      </c>
      <c r="I32" s="562">
        <f t="shared" si="1"/>
        <v>59.17065</v>
      </c>
      <c r="J32" s="655">
        <v>38370.194444444445</v>
      </c>
      <c r="K32" s="656">
        <v>38370.31736111111</v>
      </c>
      <c r="L32" s="22">
        <f t="shared" si="2"/>
        <v>2.9500000000116415</v>
      </c>
      <c r="M32" s="23">
        <f t="shared" si="3"/>
        <v>177</v>
      </c>
      <c r="N32" s="659" t="s">
        <v>169</v>
      </c>
      <c r="O32" s="660" t="str">
        <f t="shared" si="4"/>
        <v>--</v>
      </c>
      <c r="P32" s="661" t="str">
        <f t="shared" si="5"/>
        <v>NO</v>
      </c>
      <c r="Q32" s="661" t="s">
        <v>176</v>
      </c>
      <c r="R32" s="662" t="str">
        <f t="shared" si="7"/>
        <v>--</v>
      </c>
      <c r="S32" s="663" t="str">
        <f t="shared" si="8"/>
        <v>--</v>
      </c>
      <c r="T32" s="664" t="str">
        <f t="shared" si="9"/>
        <v>--</v>
      </c>
      <c r="U32" s="665">
        <f t="shared" si="10"/>
        <v>3491.0683500000005</v>
      </c>
      <c r="V32" s="666" t="str">
        <f t="shared" si="11"/>
        <v>--</v>
      </c>
      <c r="W32" s="667" t="str">
        <f t="shared" si="12"/>
        <v>--</v>
      </c>
      <c r="X32" s="668" t="str">
        <f t="shared" si="13"/>
        <v>--</v>
      </c>
      <c r="Y32" s="669" t="str">
        <f t="shared" si="14"/>
        <v>--</v>
      </c>
      <c r="Z32" s="670" t="str">
        <f t="shared" si="15"/>
        <v>--</v>
      </c>
      <c r="AA32" s="671" t="str">
        <f t="shared" si="16"/>
        <v>--</v>
      </c>
      <c r="AB32" s="672" t="str">
        <f t="shared" si="17"/>
        <v>SI</v>
      </c>
      <c r="AC32" s="24">
        <f t="shared" si="18"/>
        <v>3491.0683500000005</v>
      </c>
      <c r="AD32" s="502"/>
    </row>
    <row r="33" spans="2:30" s="16" customFormat="1" ht="16.5" customHeight="1">
      <c r="B33" s="109"/>
      <c r="C33" s="639">
        <v>12</v>
      </c>
      <c r="D33" s="639" t="s">
        <v>10</v>
      </c>
      <c r="E33" s="646">
        <v>500</v>
      </c>
      <c r="F33" s="647">
        <v>41.8</v>
      </c>
      <c r="G33" s="646" t="s">
        <v>3</v>
      </c>
      <c r="H33" s="403">
        <f t="shared" si="0"/>
        <v>60</v>
      </c>
      <c r="I33" s="562">
        <f t="shared" si="1"/>
        <v>56.353</v>
      </c>
      <c r="J33" s="655">
        <v>38375.29583333333</v>
      </c>
      <c r="K33" s="657">
        <v>38375.44305555556</v>
      </c>
      <c r="L33" s="22">
        <f t="shared" si="2"/>
        <v>3.5333333335001953</v>
      </c>
      <c r="M33" s="23">
        <f t="shared" si="3"/>
        <v>212</v>
      </c>
      <c r="N33" s="659" t="s">
        <v>175</v>
      </c>
      <c r="O33" s="660" t="str">
        <f t="shared" si="4"/>
        <v>--</v>
      </c>
      <c r="P33" s="661" t="str">
        <f t="shared" si="5"/>
        <v>NO</v>
      </c>
      <c r="Q33" s="661" t="str">
        <f t="shared" si="6"/>
        <v>--</v>
      </c>
      <c r="R33" s="662">
        <f t="shared" si="7"/>
        <v>119.355654</v>
      </c>
      <c r="S33" s="663" t="str">
        <f t="shared" si="8"/>
        <v>--</v>
      </c>
      <c r="T33" s="664" t="str">
        <f t="shared" si="9"/>
        <v>--</v>
      </c>
      <c r="U33" s="665" t="str">
        <f t="shared" si="10"/>
        <v>--</v>
      </c>
      <c r="V33" s="666" t="str">
        <f t="shared" si="11"/>
        <v>--</v>
      </c>
      <c r="W33" s="667" t="str">
        <f t="shared" si="12"/>
        <v>--</v>
      </c>
      <c r="X33" s="668" t="str">
        <f t="shared" si="13"/>
        <v>--</v>
      </c>
      <c r="Y33" s="669" t="str">
        <f t="shared" si="14"/>
        <v>--</v>
      </c>
      <c r="Z33" s="670" t="str">
        <f t="shared" si="15"/>
        <v>--</v>
      </c>
      <c r="AA33" s="671" t="str">
        <f t="shared" si="16"/>
        <v>--</v>
      </c>
      <c r="AB33" s="672" t="str">
        <f t="shared" si="17"/>
        <v>SI</v>
      </c>
      <c r="AC33" s="24">
        <f t="shared" si="18"/>
        <v>119.355654</v>
      </c>
      <c r="AD33" s="502"/>
    </row>
    <row r="34" spans="2:30" s="16" customFormat="1" ht="16.5" customHeight="1">
      <c r="B34" s="109"/>
      <c r="C34" s="639">
        <v>13</v>
      </c>
      <c r="D34" s="639" t="s">
        <v>6</v>
      </c>
      <c r="E34" s="646">
        <v>500</v>
      </c>
      <c r="F34" s="647">
        <v>194</v>
      </c>
      <c r="G34" s="646" t="s">
        <v>2</v>
      </c>
      <c r="H34" s="403">
        <f t="shared" si="0"/>
        <v>20</v>
      </c>
      <c r="I34" s="562">
        <f t="shared" si="1"/>
        <v>109.32482</v>
      </c>
      <c r="J34" s="655">
        <v>38376.524305555555</v>
      </c>
      <c r="K34" s="657">
        <v>38376.53055555555</v>
      </c>
      <c r="L34" s="22">
        <f t="shared" si="2"/>
        <v>0.1499999999650754</v>
      </c>
      <c r="M34" s="23">
        <f t="shared" si="3"/>
        <v>9</v>
      </c>
      <c r="N34" s="659" t="s">
        <v>169</v>
      </c>
      <c r="O34" s="660" t="str">
        <f t="shared" si="4"/>
        <v>--</v>
      </c>
      <c r="P34" s="661" t="str">
        <f t="shared" si="5"/>
        <v>NO</v>
      </c>
      <c r="Q34" s="661" t="str">
        <f t="shared" si="6"/>
        <v>NO</v>
      </c>
      <c r="R34" s="662" t="str">
        <f t="shared" si="7"/>
        <v>--</v>
      </c>
      <c r="S34" s="663" t="str">
        <f t="shared" si="8"/>
        <v>--</v>
      </c>
      <c r="T34" s="664">
        <f t="shared" si="9"/>
        <v>2186.4964</v>
      </c>
      <c r="U34" s="665" t="str">
        <f t="shared" si="10"/>
        <v>--</v>
      </c>
      <c r="V34" s="666" t="str">
        <f t="shared" si="11"/>
        <v>--</v>
      </c>
      <c r="W34" s="667" t="str">
        <f t="shared" si="12"/>
        <v>--</v>
      </c>
      <c r="X34" s="668" t="str">
        <f t="shared" si="13"/>
        <v>--</v>
      </c>
      <c r="Y34" s="669" t="str">
        <f t="shared" si="14"/>
        <v>--</v>
      </c>
      <c r="Z34" s="670" t="str">
        <f t="shared" si="15"/>
        <v>--</v>
      </c>
      <c r="AA34" s="671" t="str">
        <f t="shared" si="16"/>
        <v>--</v>
      </c>
      <c r="AB34" s="672" t="str">
        <f t="shared" si="17"/>
        <v>SI</v>
      </c>
      <c r="AC34" s="24">
        <f t="shared" si="18"/>
        <v>2186.4964</v>
      </c>
      <c r="AD34" s="502"/>
    </row>
    <row r="35" spans="2:30" s="16" customFormat="1" ht="16.5" customHeight="1">
      <c r="B35" s="109"/>
      <c r="C35" s="639">
        <v>14</v>
      </c>
      <c r="D35" s="639" t="s">
        <v>165</v>
      </c>
      <c r="E35" s="646">
        <v>500</v>
      </c>
      <c r="F35" s="647">
        <v>255</v>
      </c>
      <c r="G35" s="646" t="s">
        <v>3</v>
      </c>
      <c r="H35" s="403">
        <f t="shared" si="0"/>
        <v>60</v>
      </c>
      <c r="I35" s="562">
        <f t="shared" si="1"/>
        <v>143.70015</v>
      </c>
      <c r="J35" s="655">
        <v>38378.55416666667</v>
      </c>
      <c r="K35" s="657">
        <v>38383.99930555555</v>
      </c>
      <c r="L35" s="22">
        <f t="shared" si="2"/>
        <v>130.68333333323244</v>
      </c>
      <c r="M35" s="23">
        <f t="shared" si="3"/>
        <v>7841</v>
      </c>
      <c r="N35" s="659" t="s">
        <v>173</v>
      </c>
      <c r="O35" s="660">
        <v>5.88</v>
      </c>
      <c r="P35" s="661" t="str">
        <f t="shared" si="5"/>
        <v>NO</v>
      </c>
      <c r="Q35" s="661" t="str">
        <f t="shared" si="6"/>
        <v>--</v>
      </c>
      <c r="R35" s="662" t="str">
        <f t="shared" si="7"/>
        <v>--</v>
      </c>
      <c r="S35" s="663">
        <f t="shared" si="8"/>
        <v>662.51379203856</v>
      </c>
      <c r="T35" s="664" t="str">
        <f t="shared" si="9"/>
        <v>--</v>
      </c>
      <c r="U35" s="665" t="str">
        <f t="shared" si="10"/>
        <v>--</v>
      </c>
      <c r="V35" s="666" t="str">
        <f t="shared" si="11"/>
        <v>--</v>
      </c>
      <c r="W35" s="667" t="str">
        <f t="shared" si="12"/>
        <v>--</v>
      </c>
      <c r="X35" s="668" t="str">
        <f t="shared" si="13"/>
        <v>--</v>
      </c>
      <c r="Y35" s="669" t="str">
        <f t="shared" si="14"/>
        <v>--</v>
      </c>
      <c r="Z35" s="670" t="str">
        <f t="shared" si="15"/>
        <v>--</v>
      </c>
      <c r="AA35" s="671" t="str">
        <f t="shared" si="16"/>
        <v>--</v>
      </c>
      <c r="AB35" s="672" t="str">
        <f t="shared" si="17"/>
        <v>SI</v>
      </c>
      <c r="AC35" s="24">
        <f t="shared" si="18"/>
        <v>662.51379203856</v>
      </c>
      <c r="AD35" s="502"/>
    </row>
    <row r="36" spans="2:30" s="16" customFormat="1" ht="16.5" customHeight="1">
      <c r="B36" s="109"/>
      <c r="C36" s="639">
        <v>15</v>
      </c>
      <c r="D36" s="639" t="s">
        <v>4</v>
      </c>
      <c r="E36" s="646">
        <v>500</v>
      </c>
      <c r="F36" s="647">
        <v>269</v>
      </c>
      <c r="G36" s="646" t="s">
        <v>5</v>
      </c>
      <c r="H36" s="403">
        <f t="shared" si="0"/>
        <v>200</v>
      </c>
      <c r="I36" s="562">
        <f t="shared" si="1"/>
        <v>151.58957</v>
      </c>
      <c r="J36" s="655">
        <v>38378.55416666667</v>
      </c>
      <c r="K36" s="657">
        <v>38383.99930555555</v>
      </c>
      <c r="L36" s="22">
        <f t="shared" si="2"/>
        <v>130.68333333323244</v>
      </c>
      <c r="M36" s="23">
        <f t="shared" si="3"/>
        <v>7841</v>
      </c>
      <c r="N36" s="659" t="s">
        <v>173</v>
      </c>
      <c r="O36" s="660">
        <v>5.88</v>
      </c>
      <c r="P36" s="661" t="str">
        <f t="shared" si="5"/>
        <v>NO</v>
      </c>
      <c r="Q36" s="661" t="str">
        <f t="shared" si="6"/>
        <v>--</v>
      </c>
      <c r="R36" s="662" t="str">
        <f t="shared" si="7"/>
        <v>--</v>
      </c>
      <c r="S36" s="663">
        <f t="shared" si="8"/>
        <v>2329.62366089376</v>
      </c>
      <c r="T36" s="664" t="str">
        <f t="shared" si="9"/>
        <v>--</v>
      </c>
      <c r="U36" s="665" t="str">
        <f t="shared" si="10"/>
        <v>--</v>
      </c>
      <c r="V36" s="666" t="str">
        <f t="shared" si="11"/>
        <v>--</v>
      </c>
      <c r="W36" s="667" t="str">
        <f t="shared" si="12"/>
        <v>--</v>
      </c>
      <c r="X36" s="668" t="str">
        <f t="shared" si="13"/>
        <v>--</v>
      </c>
      <c r="Y36" s="669" t="str">
        <f t="shared" si="14"/>
        <v>--</v>
      </c>
      <c r="Z36" s="670" t="str">
        <f t="shared" si="15"/>
        <v>--</v>
      </c>
      <c r="AA36" s="671" t="str">
        <f t="shared" si="16"/>
        <v>--</v>
      </c>
      <c r="AB36" s="672" t="str">
        <f t="shared" si="17"/>
        <v>SI</v>
      </c>
      <c r="AC36" s="24">
        <f t="shared" si="18"/>
        <v>2329.62366089376</v>
      </c>
      <c r="AD36" s="502"/>
    </row>
    <row r="37" spans="2:30" s="16" customFormat="1" ht="16.5" customHeight="1">
      <c r="B37" s="109"/>
      <c r="C37" s="639">
        <v>16</v>
      </c>
      <c r="D37" s="639" t="s">
        <v>166</v>
      </c>
      <c r="E37" s="646">
        <v>500</v>
      </c>
      <c r="F37" s="647">
        <v>348</v>
      </c>
      <c r="G37" s="646" t="s">
        <v>5</v>
      </c>
      <c r="H37" s="403">
        <f t="shared" si="0"/>
        <v>200</v>
      </c>
      <c r="I37" s="562">
        <f t="shared" si="1"/>
        <v>196.10844</v>
      </c>
      <c r="J37" s="655">
        <v>38378.55416666667</v>
      </c>
      <c r="K37" s="657">
        <v>38383.99930555555</v>
      </c>
      <c r="L37" s="22">
        <f t="shared" si="2"/>
        <v>130.68333333323244</v>
      </c>
      <c r="M37" s="23">
        <f t="shared" si="3"/>
        <v>7841</v>
      </c>
      <c r="N37" s="659" t="s">
        <v>173</v>
      </c>
      <c r="O37" s="660">
        <v>5.88</v>
      </c>
      <c r="P37" s="661" t="str">
        <f t="shared" si="5"/>
        <v>NO</v>
      </c>
      <c r="Q37" s="661" t="str">
        <f t="shared" si="6"/>
        <v>--</v>
      </c>
      <c r="R37" s="662" t="str">
        <f t="shared" si="7"/>
        <v>--</v>
      </c>
      <c r="S37" s="663">
        <f t="shared" si="8"/>
        <v>3013.7882304499203</v>
      </c>
      <c r="T37" s="664" t="str">
        <f t="shared" si="9"/>
        <v>--</v>
      </c>
      <c r="U37" s="665" t="str">
        <f t="shared" si="10"/>
        <v>--</v>
      </c>
      <c r="V37" s="666" t="str">
        <f t="shared" si="11"/>
        <v>--</v>
      </c>
      <c r="W37" s="667" t="str">
        <f t="shared" si="12"/>
        <v>--</v>
      </c>
      <c r="X37" s="668" t="str">
        <f t="shared" si="13"/>
        <v>--</v>
      </c>
      <c r="Y37" s="669" t="str">
        <f t="shared" si="14"/>
        <v>--</v>
      </c>
      <c r="Z37" s="670" t="str">
        <f t="shared" si="15"/>
        <v>--</v>
      </c>
      <c r="AA37" s="671" t="str">
        <f t="shared" si="16"/>
        <v>--</v>
      </c>
      <c r="AB37" s="672" t="str">
        <f t="shared" si="17"/>
        <v>SI</v>
      </c>
      <c r="AC37" s="24">
        <f t="shared" si="18"/>
        <v>3013.7882304499203</v>
      </c>
      <c r="AD37" s="502"/>
    </row>
    <row r="38" spans="2:30" s="16" customFormat="1" ht="16.5" customHeight="1">
      <c r="B38" s="109"/>
      <c r="C38" s="639">
        <v>17</v>
      </c>
      <c r="D38" s="639" t="s">
        <v>167</v>
      </c>
      <c r="E38" s="646">
        <v>500</v>
      </c>
      <c r="F38" s="647">
        <v>291</v>
      </c>
      <c r="G38" s="646" t="s">
        <v>5</v>
      </c>
      <c r="H38" s="403">
        <f t="shared" si="0"/>
        <v>200</v>
      </c>
      <c r="I38" s="562">
        <f t="shared" si="1"/>
        <v>163.98723</v>
      </c>
      <c r="J38" s="655">
        <v>38378.55416666667</v>
      </c>
      <c r="K38" s="657">
        <v>38383.99930555555</v>
      </c>
      <c r="L38" s="22">
        <f t="shared" si="2"/>
        <v>130.68333333323244</v>
      </c>
      <c r="M38" s="23">
        <f t="shared" si="3"/>
        <v>7841</v>
      </c>
      <c r="N38" s="659" t="s">
        <v>173</v>
      </c>
      <c r="O38" s="660">
        <v>5.88</v>
      </c>
      <c r="P38" s="661" t="str">
        <f t="shared" si="5"/>
        <v>NO</v>
      </c>
      <c r="Q38" s="661" t="str">
        <f t="shared" si="6"/>
        <v>--</v>
      </c>
      <c r="R38" s="662" t="str">
        <f t="shared" si="7"/>
        <v>--</v>
      </c>
      <c r="S38" s="663">
        <f t="shared" si="8"/>
        <v>2520.1505030486405</v>
      </c>
      <c r="T38" s="664" t="str">
        <f t="shared" si="9"/>
        <v>--</v>
      </c>
      <c r="U38" s="665" t="str">
        <f t="shared" si="10"/>
        <v>--</v>
      </c>
      <c r="V38" s="666" t="str">
        <f t="shared" si="11"/>
        <v>--</v>
      </c>
      <c r="W38" s="667" t="str">
        <f t="shared" si="12"/>
        <v>--</v>
      </c>
      <c r="X38" s="668" t="str">
        <f t="shared" si="13"/>
        <v>--</v>
      </c>
      <c r="Y38" s="669" t="str">
        <f t="shared" si="14"/>
        <v>--</v>
      </c>
      <c r="Z38" s="670" t="str">
        <f t="shared" si="15"/>
        <v>--</v>
      </c>
      <c r="AA38" s="671" t="str">
        <f t="shared" si="16"/>
        <v>--</v>
      </c>
      <c r="AB38" s="672" t="str">
        <f t="shared" si="17"/>
        <v>SI</v>
      </c>
      <c r="AC38" s="24">
        <f t="shared" si="18"/>
        <v>2520.1505030486405</v>
      </c>
      <c r="AD38" s="502"/>
    </row>
    <row r="39" spans="2:30" s="16" customFormat="1" ht="16.5" customHeight="1">
      <c r="B39" s="109"/>
      <c r="C39" s="639">
        <v>18</v>
      </c>
      <c r="D39" s="639" t="s">
        <v>6</v>
      </c>
      <c r="E39" s="646">
        <v>500</v>
      </c>
      <c r="F39" s="647">
        <v>194</v>
      </c>
      <c r="G39" s="646" t="s">
        <v>2</v>
      </c>
      <c r="H39" s="403">
        <f t="shared" si="0"/>
        <v>20</v>
      </c>
      <c r="I39" s="562">
        <f t="shared" si="1"/>
        <v>109.32482</v>
      </c>
      <c r="J39" s="655">
        <v>38382.17291666667</v>
      </c>
      <c r="K39" s="657">
        <v>38382.17916666667</v>
      </c>
      <c r="L39" s="22">
        <f t="shared" si="2"/>
        <v>0.1499999999650754</v>
      </c>
      <c r="M39" s="23">
        <f t="shared" si="3"/>
        <v>9</v>
      </c>
      <c r="N39" s="659" t="s">
        <v>169</v>
      </c>
      <c r="O39" s="660" t="str">
        <f t="shared" si="4"/>
        <v>--</v>
      </c>
      <c r="P39" s="661" t="str">
        <f t="shared" si="5"/>
        <v>NO</v>
      </c>
      <c r="Q39" s="661" t="str">
        <f t="shared" si="6"/>
        <v>NO</v>
      </c>
      <c r="R39" s="662" t="str">
        <f t="shared" si="7"/>
        <v>--</v>
      </c>
      <c r="S39" s="663" t="str">
        <f t="shared" si="8"/>
        <v>--</v>
      </c>
      <c r="T39" s="664">
        <f t="shared" si="9"/>
        <v>2186.4964</v>
      </c>
      <c r="U39" s="665" t="str">
        <f t="shared" si="10"/>
        <v>--</v>
      </c>
      <c r="V39" s="666" t="str">
        <f t="shared" si="11"/>
        <v>--</v>
      </c>
      <c r="W39" s="667" t="str">
        <f t="shared" si="12"/>
        <v>--</v>
      </c>
      <c r="X39" s="668" t="str">
        <f t="shared" si="13"/>
        <v>--</v>
      </c>
      <c r="Y39" s="669" t="str">
        <f t="shared" si="14"/>
        <v>--</v>
      </c>
      <c r="Z39" s="670" t="str">
        <f t="shared" si="15"/>
        <v>--</v>
      </c>
      <c r="AA39" s="671" t="str">
        <f t="shared" si="16"/>
        <v>--</v>
      </c>
      <c r="AB39" s="672" t="str">
        <f t="shared" si="17"/>
        <v>SI</v>
      </c>
      <c r="AC39" s="24">
        <f t="shared" si="18"/>
        <v>2186.4964</v>
      </c>
      <c r="AD39" s="502"/>
    </row>
    <row r="40" spans="2:30" s="16" customFormat="1" ht="16.5" customHeight="1">
      <c r="B40" s="109"/>
      <c r="C40" s="639"/>
      <c r="D40" s="639"/>
      <c r="E40" s="646"/>
      <c r="F40" s="647"/>
      <c r="G40" s="646"/>
      <c r="H40" s="403">
        <f t="shared" si="0"/>
        <v>20</v>
      </c>
      <c r="I40" s="562">
        <f t="shared" si="1"/>
        <v>46.96099999999999</v>
      </c>
      <c r="J40" s="655"/>
      <c r="K40" s="657"/>
      <c r="L40" s="22">
        <f t="shared" si="2"/>
      </c>
      <c r="M40" s="23">
        <f t="shared" si="3"/>
      </c>
      <c r="N40" s="659"/>
      <c r="O40" s="660">
        <f t="shared" si="4"/>
      </c>
      <c r="P40" s="661">
        <f t="shared" si="5"/>
      </c>
      <c r="Q40" s="661">
        <f t="shared" si="6"/>
      </c>
      <c r="R40" s="662" t="str">
        <f t="shared" si="7"/>
        <v>--</v>
      </c>
      <c r="S40" s="663" t="str">
        <f t="shared" si="8"/>
        <v>--</v>
      </c>
      <c r="T40" s="664" t="str">
        <f t="shared" si="9"/>
        <v>--</v>
      </c>
      <c r="U40" s="665" t="str">
        <f t="shared" si="10"/>
        <v>--</v>
      </c>
      <c r="V40" s="666" t="str">
        <f t="shared" si="11"/>
        <v>--</v>
      </c>
      <c r="W40" s="667" t="str">
        <f t="shared" si="12"/>
        <v>--</v>
      </c>
      <c r="X40" s="668" t="str">
        <f t="shared" si="13"/>
        <v>--</v>
      </c>
      <c r="Y40" s="669" t="str">
        <f t="shared" si="14"/>
        <v>--</v>
      </c>
      <c r="Z40" s="670" t="str">
        <f t="shared" si="15"/>
        <v>--</v>
      </c>
      <c r="AA40" s="671" t="str">
        <f t="shared" si="16"/>
        <v>--</v>
      </c>
      <c r="AB40" s="672">
        <f t="shared" si="17"/>
      </c>
      <c r="AC40" s="24">
        <f t="shared" si="18"/>
      </c>
      <c r="AD40" s="502"/>
    </row>
    <row r="41" spans="2:30" s="16" customFormat="1" ht="16.5" customHeight="1">
      <c r="B41" s="109"/>
      <c r="C41" s="639"/>
      <c r="D41" s="639"/>
      <c r="E41" s="646"/>
      <c r="F41" s="647"/>
      <c r="G41" s="646"/>
      <c r="H41" s="403">
        <f t="shared" si="0"/>
        <v>20</v>
      </c>
      <c r="I41" s="562">
        <f t="shared" si="1"/>
        <v>46.96099999999999</v>
      </c>
      <c r="J41" s="655"/>
      <c r="K41" s="657"/>
      <c r="L41" s="22">
        <f t="shared" si="2"/>
      </c>
      <c r="M41" s="23">
        <f t="shared" si="3"/>
      </c>
      <c r="N41" s="659"/>
      <c r="O41" s="660">
        <f t="shared" si="4"/>
      </c>
      <c r="P41" s="661">
        <f t="shared" si="5"/>
      </c>
      <c r="Q41" s="661">
        <f t="shared" si="6"/>
      </c>
      <c r="R41" s="662" t="str">
        <f t="shared" si="7"/>
        <v>--</v>
      </c>
      <c r="S41" s="663" t="str">
        <f t="shared" si="8"/>
        <v>--</v>
      </c>
      <c r="T41" s="664" t="str">
        <f t="shared" si="9"/>
        <v>--</v>
      </c>
      <c r="U41" s="665" t="str">
        <f t="shared" si="10"/>
        <v>--</v>
      </c>
      <c r="V41" s="666" t="str">
        <f t="shared" si="11"/>
        <v>--</v>
      </c>
      <c r="W41" s="667" t="str">
        <f t="shared" si="12"/>
        <v>--</v>
      </c>
      <c r="X41" s="668" t="str">
        <f t="shared" si="13"/>
        <v>--</v>
      </c>
      <c r="Y41" s="669" t="str">
        <f t="shared" si="14"/>
        <v>--</v>
      </c>
      <c r="Z41" s="670" t="str">
        <f t="shared" si="15"/>
        <v>--</v>
      </c>
      <c r="AA41" s="671" t="str">
        <f t="shared" si="16"/>
        <v>--</v>
      </c>
      <c r="AB41" s="672">
        <f t="shared" si="17"/>
      </c>
      <c r="AC41" s="24">
        <f t="shared" si="18"/>
      </c>
      <c r="AD41" s="502"/>
    </row>
    <row r="42" spans="2:30" s="16" customFormat="1" ht="16.5" customHeight="1" thickBot="1">
      <c r="B42" s="109"/>
      <c r="C42" s="648"/>
      <c r="D42" s="648"/>
      <c r="E42" s="649"/>
      <c r="F42" s="648"/>
      <c r="G42" s="650"/>
      <c r="H42" s="398"/>
      <c r="I42" s="563"/>
      <c r="J42" s="658"/>
      <c r="K42" s="658"/>
      <c r="L42" s="27"/>
      <c r="M42" s="27"/>
      <c r="N42" s="658"/>
      <c r="O42" s="673"/>
      <c r="P42" s="658"/>
      <c r="Q42" s="658"/>
      <c r="R42" s="674"/>
      <c r="S42" s="675"/>
      <c r="T42" s="676"/>
      <c r="U42" s="677"/>
      <c r="V42" s="678"/>
      <c r="W42" s="679"/>
      <c r="X42" s="680"/>
      <c r="Y42" s="681"/>
      <c r="Z42" s="682"/>
      <c r="AA42" s="683"/>
      <c r="AB42" s="684"/>
      <c r="AC42" s="28"/>
      <c r="AD42" s="502"/>
    </row>
    <row r="43" spans="2:30" s="16" customFormat="1" ht="16.5" customHeight="1" thickBot="1" thickTop="1">
      <c r="B43" s="109"/>
      <c r="C43" s="251" t="s">
        <v>89</v>
      </c>
      <c r="D43" s="252" t="s">
        <v>90</v>
      </c>
      <c r="E43" s="29"/>
      <c r="F43" s="1"/>
      <c r="G43" s="30"/>
      <c r="H43" s="1"/>
      <c r="I43" s="31"/>
      <c r="J43" s="31"/>
      <c r="K43" s="31"/>
      <c r="L43" s="31"/>
      <c r="M43" s="31"/>
      <c r="N43" s="31"/>
      <c r="O43" s="32"/>
      <c r="P43" s="31"/>
      <c r="Q43" s="31"/>
      <c r="R43" s="391">
        <f aca="true" t="shared" si="19" ref="R43:AA43">SUM(R20:R42)</f>
        <v>835.8896843</v>
      </c>
      <c r="S43" s="392">
        <f t="shared" si="19"/>
        <v>18459.719984151598</v>
      </c>
      <c r="T43" s="393">
        <f t="shared" si="19"/>
        <v>7258.2664</v>
      </c>
      <c r="U43" s="393">
        <f t="shared" si="19"/>
        <v>7818.97875</v>
      </c>
      <c r="V43" s="393">
        <f t="shared" si="19"/>
        <v>0</v>
      </c>
      <c r="W43" s="394">
        <f t="shared" si="19"/>
        <v>0</v>
      </c>
      <c r="X43" s="394">
        <f t="shared" si="19"/>
        <v>0</v>
      </c>
      <c r="Y43" s="394">
        <f t="shared" si="19"/>
        <v>0</v>
      </c>
      <c r="Z43" s="395">
        <f t="shared" si="19"/>
        <v>0</v>
      </c>
      <c r="AA43" s="396">
        <f t="shared" si="19"/>
        <v>0</v>
      </c>
      <c r="AB43" s="33"/>
      <c r="AC43" s="629">
        <f>ROUND(SUM(AC20:AC42),2)</f>
        <v>34372.85</v>
      </c>
      <c r="AD43" s="502"/>
    </row>
    <row r="44" spans="2:30" s="255" customFormat="1" ht="9.75" thickTop="1">
      <c r="B44" s="256"/>
      <c r="C44" s="253"/>
      <c r="D44" s="254" t="s">
        <v>91</v>
      </c>
      <c r="E44" s="257"/>
      <c r="F44" s="258"/>
      <c r="G44" s="259"/>
      <c r="H44" s="258"/>
      <c r="I44" s="260"/>
      <c r="J44" s="260"/>
      <c r="K44" s="260"/>
      <c r="L44" s="260"/>
      <c r="M44" s="260"/>
      <c r="N44" s="260"/>
      <c r="O44" s="261"/>
      <c r="P44" s="260"/>
      <c r="Q44" s="260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3"/>
      <c r="AD44" s="264"/>
    </row>
    <row r="45" spans="2:30" s="16" customFormat="1" ht="16.5" customHeight="1" thickBo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40"/>
    </row>
    <row r="46" spans="2:30" ht="16.5" customHeight="1" thickTop="1">
      <c r="B46" s="12"/>
      <c r="AD46" s="12"/>
    </row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D46"/>
  <sheetViews>
    <sheetView zoomScale="75" zoomScaleNormal="75" workbookViewId="0" topLeftCell="D1">
      <selection activeCell="AC22" sqref="AC22:AC3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77" customFormat="1" ht="26.25">
      <c r="A1" s="127"/>
      <c r="AD1" s="625"/>
    </row>
    <row r="2" spans="1:30" s="77" customFormat="1" ht="26.25">
      <c r="A2" s="127"/>
      <c r="B2" s="78" t="s">
        <v>199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="16" customFormat="1" ht="12.75">
      <c r="A3" s="49"/>
    </row>
    <row r="4" spans="1:2" s="84" customFormat="1" ht="11.25">
      <c r="A4" s="82" t="s">
        <v>46</v>
      </c>
      <c r="B4" s="158"/>
    </row>
    <row r="5" spans="1:2" s="84" customFormat="1" ht="11.25">
      <c r="A5" s="82" t="s">
        <v>47</v>
      </c>
      <c r="B5" s="158"/>
    </row>
    <row r="6" s="16" customFormat="1" ht="13.5" thickBot="1"/>
    <row r="7" spans="2:30" s="16" customFormat="1" ht="13.5" thickTop="1">
      <c r="B7" s="128"/>
      <c r="C7" s="129"/>
      <c r="D7" s="129"/>
      <c r="E7" s="130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31"/>
    </row>
    <row r="8" spans="2:30" s="10" customFormat="1" ht="20.25">
      <c r="B8" s="142"/>
      <c r="C8" s="11"/>
      <c r="D8" s="7" t="s">
        <v>62</v>
      </c>
      <c r="E8" s="11"/>
      <c r="F8" s="11"/>
      <c r="G8" s="11"/>
      <c r="H8" s="11"/>
      <c r="N8" s="11"/>
      <c r="O8" s="11"/>
      <c r="P8" s="143"/>
      <c r="Q8" s="14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44"/>
    </row>
    <row r="9" spans="2:30" s="16" customFormat="1" ht="12.75">
      <c r="B9" s="10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32"/>
    </row>
    <row r="10" spans="2:30" s="10" customFormat="1" ht="20.25">
      <c r="B10" s="142"/>
      <c r="C10" s="11"/>
      <c r="D10" s="143" t="s">
        <v>63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44"/>
    </row>
    <row r="11" spans="2:30" s="16" customFormat="1" ht="12.75">
      <c r="B11" s="10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32"/>
    </row>
    <row r="12" spans="2:30" s="10" customFormat="1" ht="20.25">
      <c r="B12" s="142"/>
      <c r="C12" s="11"/>
      <c r="D12" s="143" t="s">
        <v>64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43"/>
      <c r="Q12" s="14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44"/>
    </row>
    <row r="13" spans="2:30" s="16" customFormat="1" ht="12.75">
      <c r="B13" s="109"/>
      <c r="C13" s="14"/>
      <c r="D13" s="14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32"/>
    </row>
    <row r="14" spans="2:30" s="15" customFormat="1" ht="19.5">
      <c r="B14" s="97" t="s">
        <v>174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46"/>
      <c r="O14" s="146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47"/>
    </row>
    <row r="15" spans="2:30" s="16" customFormat="1" ht="16.5" customHeight="1" thickBot="1">
      <c r="B15" s="109"/>
      <c r="C15" s="14"/>
      <c r="D15" s="14"/>
      <c r="E15" s="2"/>
      <c r="F15" s="2"/>
      <c r="G15" s="14"/>
      <c r="H15" s="14"/>
      <c r="I15" s="14"/>
      <c r="J15" s="141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32"/>
    </row>
    <row r="16" spans="2:30" s="16" customFormat="1" ht="16.5" customHeight="1" thickBot="1" thickTop="1">
      <c r="B16" s="109"/>
      <c r="C16" s="14"/>
      <c r="D16" s="148" t="s">
        <v>65</v>
      </c>
      <c r="E16" s="565">
        <v>56.353</v>
      </c>
      <c r="F16" s="250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32"/>
    </row>
    <row r="17" spans="2:30" s="16" customFormat="1" ht="16.5" customHeight="1" thickBot="1" thickTop="1">
      <c r="B17" s="109"/>
      <c r="C17" s="14"/>
      <c r="D17" s="148" t="s">
        <v>66</v>
      </c>
      <c r="E17" s="565">
        <v>46.961</v>
      </c>
      <c r="F17" s="250"/>
      <c r="G17" s="14"/>
      <c r="H17" s="14"/>
      <c r="I17" s="14"/>
      <c r="J17" s="627"/>
      <c r="K17" s="62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34"/>
      <c r="W17" s="134"/>
      <c r="X17" s="134"/>
      <c r="Y17" s="134"/>
      <c r="Z17" s="134"/>
      <c r="AA17" s="134"/>
      <c r="AB17" s="134"/>
      <c r="AD17" s="132"/>
    </row>
    <row r="18" spans="2:30" s="16" customFormat="1" ht="16.5" customHeight="1" thickBot="1" thickTop="1">
      <c r="B18" s="109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35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32"/>
    </row>
    <row r="19" spans="2:30" s="16" customFormat="1" ht="33.75" customHeight="1" thickBot="1" thickTop="1">
      <c r="B19" s="109"/>
      <c r="C19" s="149" t="s">
        <v>67</v>
      </c>
      <c r="D19" s="151" t="s">
        <v>49</v>
      </c>
      <c r="E19" s="401" t="s">
        <v>68</v>
      </c>
      <c r="F19" s="155" t="s">
        <v>69</v>
      </c>
      <c r="G19" s="150" t="s">
        <v>70</v>
      </c>
      <c r="H19" s="402" t="s">
        <v>71</v>
      </c>
      <c r="I19" s="399" t="s">
        <v>72</v>
      </c>
      <c r="J19" s="151" t="s">
        <v>73</v>
      </c>
      <c r="K19" s="152" t="s">
        <v>74</v>
      </c>
      <c r="L19" s="154" t="s">
        <v>75</v>
      </c>
      <c r="M19" s="155" t="s">
        <v>76</v>
      </c>
      <c r="N19" s="154" t="s">
        <v>77</v>
      </c>
      <c r="O19" s="155" t="s">
        <v>78</v>
      </c>
      <c r="P19" s="152" t="s">
        <v>79</v>
      </c>
      <c r="Q19" s="151" t="s">
        <v>80</v>
      </c>
      <c r="R19" s="364" t="s">
        <v>81</v>
      </c>
      <c r="S19" s="367" t="s">
        <v>82</v>
      </c>
      <c r="T19" s="314" t="s">
        <v>83</v>
      </c>
      <c r="U19" s="315"/>
      <c r="V19" s="316"/>
      <c r="W19" s="371" t="s">
        <v>84</v>
      </c>
      <c r="X19" s="372"/>
      <c r="Y19" s="373"/>
      <c r="Z19" s="387" t="s">
        <v>85</v>
      </c>
      <c r="AA19" s="388" t="s">
        <v>86</v>
      </c>
      <c r="AB19" s="156" t="s">
        <v>87</v>
      </c>
      <c r="AC19" s="156" t="s">
        <v>88</v>
      </c>
      <c r="AD19" s="136"/>
    </row>
    <row r="20" spans="2:30" s="16" customFormat="1" ht="16.5" customHeight="1" thickTop="1">
      <c r="B20" s="109"/>
      <c r="C20" s="384"/>
      <c r="D20" s="406"/>
      <c r="E20" s="406"/>
      <c r="F20" s="384"/>
      <c r="G20" s="384"/>
      <c r="H20" s="404"/>
      <c r="I20" s="405"/>
      <c r="J20" s="384"/>
      <c r="K20" s="384"/>
      <c r="L20" s="384"/>
      <c r="M20" s="384"/>
      <c r="N20" s="384"/>
      <c r="O20" s="384"/>
      <c r="P20" s="384"/>
      <c r="Q20" s="384"/>
      <c r="R20" s="365"/>
      <c r="S20" s="368"/>
      <c r="T20" s="376"/>
      <c r="U20" s="377"/>
      <c r="V20" s="378"/>
      <c r="W20" s="379"/>
      <c r="X20" s="380"/>
      <c r="Y20" s="381"/>
      <c r="Z20" s="385"/>
      <c r="AA20" s="389"/>
      <c r="AB20" s="384"/>
      <c r="AC20" s="508">
        <v>34372.85</v>
      </c>
      <c r="AD20" s="132"/>
    </row>
    <row r="21" spans="2:30" s="16" customFormat="1" ht="16.5" customHeight="1">
      <c r="B21" s="109"/>
      <c r="C21" s="17"/>
      <c r="D21" s="17"/>
      <c r="E21" s="20"/>
      <c r="F21" s="17"/>
      <c r="G21" s="17"/>
      <c r="H21" s="397"/>
      <c r="I21" s="400"/>
      <c r="J21" s="19"/>
      <c r="K21" s="14"/>
      <c r="L21" s="17"/>
      <c r="M21" s="17"/>
      <c r="N21" s="18"/>
      <c r="O21" s="17"/>
      <c r="P21" s="17"/>
      <c r="Q21" s="17"/>
      <c r="R21" s="363"/>
      <c r="S21" s="366"/>
      <c r="T21" s="383"/>
      <c r="U21" s="369"/>
      <c r="V21" s="370"/>
      <c r="W21" s="382"/>
      <c r="X21" s="374"/>
      <c r="Y21" s="375"/>
      <c r="Z21" s="386"/>
      <c r="AA21" s="390"/>
      <c r="AB21" s="17"/>
      <c r="AC21" s="157"/>
      <c r="AD21" s="132"/>
    </row>
    <row r="22" spans="2:30" s="16" customFormat="1" ht="16.5" customHeight="1">
      <c r="B22" s="109"/>
      <c r="C22" s="639">
        <v>19</v>
      </c>
      <c r="D22" s="36" t="s">
        <v>163</v>
      </c>
      <c r="E22" s="36">
        <v>500</v>
      </c>
      <c r="F22" s="36">
        <v>254.8</v>
      </c>
      <c r="G22" s="36" t="s">
        <v>3</v>
      </c>
      <c r="H22" s="403">
        <v>60</v>
      </c>
      <c r="I22" s="562">
        <v>143.587444</v>
      </c>
      <c r="J22" s="651">
        <v>38369.345138888886</v>
      </c>
      <c r="K22" s="652">
        <v>38378.10486111111</v>
      </c>
      <c r="L22" s="22">
        <v>210.23333333339542</v>
      </c>
      <c r="M22" s="23">
        <v>12614</v>
      </c>
      <c r="N22" s="659" t="s">
        <v>173</v>
      </c>
      <c r="O22" s="660">
        <v>5.88</v>
      </c>
      <c r="P22" s="661" t="s">
        <v>201</v>
      </c>
      <c r="Q22" s="661" t="s">
        <v>202</v>
      </c>
      <c r="R22" s="662" t="s">
        <v>202</v>
      </c>
      <c r="S22" s="663">
        <v>1064.9757810627939</v>
      </c>
      <c r="T22" s="664" t="s">
        <v>202</v>
      </c>
      <c r="U22" s="665" t="s">
        <v>202</v>
      </c>
      <c r="V22" s="666" t="s">
        <v>202</v>
      </c>
      <c r="W22" s="667" t="s">
        <v>202</v>
      </c>
      <c r="X22" s="668" t="s">
        <v>202</v>
      </c>
      <c r="Y22" s="669" t="s">
        <v>202</v>
      </c>
      <c r="Z22" s="670" t="s">
        <v>202</v>
      </c>
      <c r="AA22" s="671" t="s">
        <v>202</v>
      </c>
      <c r="AB22" s="672" t="s">
        <v>176</v>
      </c>
      <c r="AC22" s="24">
        <v>1064.9757810627939</v>
      </c>
      <c r="AD22" s="502"/>
    </row>
    <row r="23" spans="2:30" s="16" customFormat="1" ht="16.5" customHeight="1">
      <c r="B23" s="109"/>
      <c r="C23" s="639">
        <v>20</v>
      </c>
      <c r="D23" s="36" t="s">
        <v>162</v>
      </c>
      <c r="E23" s="36">
        <v>500</v>
      </c>
      <c r="F23" s="36">
        <v>348.4</v>
      </c>
      <c r="G23" s="36" t="s">
        <v>5</v>
      </c>
      <c r="H23" s="403">
        <v>200</v>
      </c>
      <c r="I23" s="562">
        <v>196.333852</v>
      </c>
      <c r="J23" s="651">
        <v>38369.345138888886</v>
      </c>
      <c r="K23" s="652">
        <v>38369.82708333333</v>
      </c>
      <c r="L23" s="22">
        <v>11.566666666651145</v>
      </c>
      <c r="M23" s="23">
        <v>694</v>
      </c>
      <c r="N23" s="659" t="s">
        <v>173</v>
      </c>
      <c r="O23" s="660">
        <v>5.88</v>
      </c>
      <c r="P23" s="661" t="s">
        <v>201</v>
      </c>
      <c r="Q23" s="661" t="s">
        <v>202</v>
      </c>
      <c r="R23" s="662" t="s">
        <v>202</v>
      </c>
      <c r="S23" s="663">
        <v>267.13812171446403</v>
      </c>
      <c r="T23" s="664" t="s">
        <v>202</v>
      </c>
      <c r="U23" s="665" t="s">
        <v>202</v>
      </c>
      <c r="V23" s="666" t="s">
        <v>202</v>
      </c>
      <c r="W23" s="667" t="s">
        <v>202</v>
      </c>
      <c r="X23" s="668" t="s">
        <v>202</v>
      </c>
      <c r="Y23" s="669" t="s">
        <v>202</v>
      </c>
      <c r="Z23" s="670" t="s">
        <v>202</v>
      </c>
      <c r="AA23" s="671" t="s">
        <v>202</v>
      </c>
      <c r="AB23" s="672" t="s">
        <v>176</v>
      </c>
      <c r="AC23" s="24">
        <v>267.13812171446403</v>
      </c>
      <c r="AD23" s="502"/>
    </row>
    <row r="24" spans="2:30" s="16" customFormat="1" ht="16.5" customHeight="1">
      <c r="B24" s="109"/>
      <c r="C24" s="639">
        <v>21</v>
      </c>
      <c r="D24" s="36" t="s">
        <v>164</v>
      </c>
      <c r="E24" s="36">
        <v>500</v>
      </c>
      <c r="F24" s="36">
        <v>301.9</v>
      </c>
      <c r="G24" s="36" t="s">
        <v>5</v>
      </c>
      <c r="H24" s="403">
        <v>200</v>
      </c>
      <c r="I24" s="562">
        <v>170.12970699999997</v>
      </c>
      <c r="J24" s="653">
        <v>38369.345138888886</v>
      </c>
      <c r="K24" s="654">
        <v>38378.10486111111</v>
      </c>
      <c r="L24" s="22">
        <v>210.23333333339542</v>
      </c>
      <c r="M24" s="23">
        <v>12614</v>
      </c>
      <c r="N24" s="659" t="s">
        <v>173</v>
      </c>
      <c r="O24" s="660">
        <v>5.88</v>
      </c>
      <c r="P24" s="661" t="s">
        <v>201</v>
      </c>
      <c r="Q24" s="661" t="s">
        <v>202</v>
      </c>
      <c r="R24" s="662" t="s">
        <v>202</v>
      </c>
      <c r="S24" s="663">
        <v>4206.124912386936</v>
      </c>
      <c r="T24" s="664" t="s">
        <v>202</v>
      </c>
      <c r="U24" s="665" t="s">
        <v>202</v>
      </c>
      <c r="V24" s="666" t="s">
        <v>202</v>
      </c>
      <c r="W24" s="667" t="s">
        <v>202</v>
      </c>
      <c r="X24" s="668" t="s">
        <v>202</v>
      </c>
      <c r="Y24" s="669" t="s">
        <v>202</v>
      </c>
      <c r="Z24" s="670" t="s">
        <v>202</v>
      </c>
      <c r="AA24" s="671" t="s">
        <v>202</v>
      </c>
      <c r="AB24" s="672" t="s">
        <v>176</v>
      </c>
      <c r="AC24" s="24">
        <v>4206.124912386936</v>
      </c>
      <c r="AD24" s="502"/>
    </row>
    <row r="25" spans="2:30" s="16" customFormat="1" ht="16.5" customHeight="1">
      <c r="B25" s="109"/>
      <c r="C25" s="639">
        <v>22</v>
      </c>
      <c r="D25" s="36" t="s">
        <v>168</v>
      </c>
      <c r="E25" s="36">
        <v>500</v>
      </c>
      <c r="F25" s="36">
        <v>386.7</v>
      </c>
      <c r="G25" s="36" t="s">
        <v>5</v>
      </c>
      <c r="H25" s="403">
        <v>200</v>
      </c>
      <c r="I25" s="562">
        <v>217.917051</v>
      </c>
      <c r="J25" s="653">
        <v>38369.345138888886</v>
      </c>
      <c r="K25" s="654">
        <v>38378.10486111111</v>
      </c>
      <c r="L25" s="22">
        <v>210.23333333339542</v>
      </c>
      <c r="M25" s="23">
        <v>12614</v>
      </c>
      <c r="N25" s="659" t="s">
        <v>173</v>
      </c>
      <c r="O25" s="660">
        <v>5.88</v>
      </c>
      <c r="P25" s="661" t="s">
        <v>201</v>
      </c>
      <c r="Q25" s="661" t="s">
        <v>202</v>
      </c>
      <c r="R25" s="662" t="s">
        <v>202</v>
      </c>
      <c r="S25" s="663">
        <v>5387.573711891447</v>
      </c>
      <c r="T25" s="664" t="s">
        <v>202</v>
      </c>
      <c r="U25" s="665" t="s">
        <v>202</v>
      </c>
      <c r="V25" s="666" t="s">
        <v>202</v>
      </c>
      <c r="W25" s="667" t="s">
        <v>202</v>
      </c>
      <c r="X25" s="668" t="s">
        <v>202</v>
      </c>
      <c r="Y25" s="669" t="s">
        <v>202</v>
      </c>
      <c r="Z25" s="670" t="s">
        <v>202</v>
      </c>
      <c r="AA25" s="671" t="s">
        <v>202</v>
      </c>
      <c r="AB25" s="672" t="s">
        <v>176</v>
      </c>
      <c r="AC25" s="24">
        <v>5387.573711891447</v>
      </c>
      <c r="AD25" s="502"/>
    </row>
    <row r="26" spans="2:30" s="16" customFormat="1" ht="16.5" customHeight="1">
      <c r="B26" s="109"/>
      <c r="C26" s="639">
        <v>23</v>
      </c>
      <c r="D26" s="36" t="s">
        <v>162</v>
      </c>
      <c r="E26" s="36">
        <v>500</v>
      </c>
      <c r="F26" s="36">
        <v>348.4</v>
      </c>
      <c r="G26" s="36" t="s">
        <v>5</v>
      </c>
      <c r="H26" s="403">
        <v>200</v>
      </c>
      <c r="I26" s="562">
        <v>196.333852</v>
      </c>
      <c r="J26" s="651">
        <v>38369.84097222222</v>
      </c>
      <c r="K26" s="652">
        <v>38378.10486111111</v>
      </c>
      <c r="L26" s="22">
        <v>198.33333333337214</v>
      </c>
      <c r="M26" s="23">
        <v>11900</v>
      </c>
      <c r="N26" s="659" t="s">
        <v>173</v>
      </c>
      <c r="O26" s="660">
        <v>5.88</v>
      </c>
      <c r="P26" s="661" t="s">
        <v>201</v>
      </c>
      <c r="Q26" s="661" t="s">
        <v>202</v>
      </c>
      <c r="R26" s="662" t="s">
        <v>202</v>
      </c>
      <c r="S26" s="663">
        <v>4579.213801178016</v>
      </c>
      <c r="T26" s="664" t="s">
        <v>202</v>
      </c>
      <c r="U26" s="665" t="s">
        <v>202</v>
      </c>
      <c r="V26" s="666" t="s">
        <v>202</v>
      </c>
      <c r="W26" s="667" t="s">
        <v>202</v>
      </c>
      <c r="X26" s="668" t="s">
        <v>202</v>
      </c>
      <c r="Y26" s="669" t="s">
        <v>202</v>
      </c>
      <c r="Z26" s="670" t="s">
        <v>202</v>
      </c>
      <c r="AA26" s="671" t="s">
        <v>202</v>
      </c>
      <c r="AB26" s="672" t="s">
        <v>176</v>
      </c>
      <c r="AC26" s="24">
        <v>4579.213801178016</v>
      </c>
      <c r="AD26" s="502"/>
    </row>
    <row r="27" spans="2:30" s="16" customFormat="1" ht="16.5" customHeight="1">
      <c r="B27" s="109"/>
      <c r="C27" s="639">
        <v>24</v>
      </c>
      <c r="D27" s="36" t="s">
        <v>163</v>
      </c>
      <c r="E27" s="36">
        <v>500</v>
      </c>
      <c r="F27" s="36">
        <v>254.8</v>
      </c>
      <c r="G27" s="36" t="s">
        <v>3</v>
      </c>
      <c r="H27" s="403">
        <v>60</v>
      </c>
      <c r="I27" s="562">
        <v>143.587444</v>
      </c>
      <c r="J27" s="651">
        <v>38378.55416666667</v>
      </c>
      <c r="K27" s="652">
        <v>38383.99930555555</v>
      </c>
      <c r="L27" s="22">
        <v>130.68333333323244</v>
      </c>
      <c r="M27" s="23">
        <v>7841</v>
      </c>
      <c r="N27" s="659" t="s">
        <v>173</v>
      </c>
      <c r="O27" s="660">
        <v>5.88</v>
      </c>
      <c r="P27" s="661" t="s">
        <v>201</v>
      </c>
      <c r="Q27" s="661" t="s">
        <v>202</v>
      </c>
      <c r="R27" s="662" t="s">
        <v>202</v>
      </c>
      <c r="S27" s="663">
        <v>661.9941733781376</v>
      </c>
      <c r="T27" s="664" t="s">
        <v>202</v>
      </c>
      <c r="U27" s="665" t="s">
        <v>202</v>
      </c>
      <c r="V27" s="666" t="s">
        <v>202</v>
      </c>
      <c r="W27" s="667" t="s">
        <v>202</v>
      </c>
      <c r="X27" s="668" t="s">
        <v>202</v>
      </c>
      <c r="Y27" s="669" t="s">
        <v>202</v>
      </c>
      <c r="Z27" s="670" t="s">
        <v>202</v>
      </c>
      <c r="AA27" s="671" t="s">
        <v>202</v>
      </c>
      <c r="AB27" s="672" t="s">
        <v>176</v>
      </c>
      <c r="AC27" s="24">
        <v>661.9941733781376</v>
      </c>
      <c r="AD27" s="502"/>
    </row>
    <row r="28" spans="2:30" s="16" customFormat="1" ht="16.5" customHeight="1">
      <c r="B28" s="109"/>
      <c r="C28" s="639">
        <v>25</v>
      </c>
      <c r="D28" s="36" t="s">
        <v>162</v>
      </c>
      <c r="E28" s="36">
        <v>500</v>
      </c>
      <c r="F28" s="36">
        <v>348.4</v>
      </c>
      <c r="G28" s="36" t="s">
        <v>5</v>
      </c>
      <c r="H28" s="403">
        <v>200</v>
      </c>
      <c r="I28" s="562">
        <v>196.333852</v>
      </c>
      <c r="J28" s="651">
        <v>38378.55416666667</v>
      </c>
      <c r="K28" s="652">
        <v>38383.99930555555</v>
      </c>
      <c r="L28" s="22">
        <v>130.68333333323244</v>
      </c>
      <c r="M28" s="23">
        <v>7841</v>
      </c>
      <c r="N28" s="659" t="s">
        <v>173</v>
      </c>
      <c r="O28" s="660">
        <v>5.88</v>
      </c>
      <c r="P28" s="661" t="s">
        <v>201</v>
      </c>
      <c r="Q28" s="661" t="s">
        <v>202</v>
      </c>
      <c r="R28" s="662" t="s">
        <v>202</v>
      </c>
      <c r="S28" s="663">
        <v>3017.2523548527365</v>
      </c>
      <c r="T28" s="664" t="s">
        <v>202</v>
      </c>
      <c r="U28" s="665" t="s">
        <v>202</v>
      </c>
      <c r="V28" s="666" t="s">
        <v>202</v>
      </c>
      <c r="W28" s="667" t="s">
        <v>202</v>
      </c>
      <c r="X28" s="668" t="s">
        <v>202</v>
      </c>
      <c r="Y28" s="669" t="s">
        <v>202</v>
      </c>
      <c r="Z28" s="670" t="s">
        <v>202</v>
      </c>
      <c r="AA28" s="671" t="s">
        <v>202</v>
      </c>
      <c r="AB28" s="672" t="s">
        <v>176</v>
      </c>
      <c r="AC28" s="24">
        <v>3017.2523548527365</v>
      </c>
      <c r="AD28" s="502"/>
    </row>
    <row r="29" spans="2:30" s="16" customFormat="1" ht="16.5" customHeight="1">
      <c r="B29" s="109"/>
      <c r="C29" s="639">
        <v>26</v>
      </c>
      <c r="D29" s="36" t="s">
        <v>164</v>
      </c>
      <c r="E29" s="36">
        <v>500</v>
      </c>
      <c r="F29" s="36">
        <v>301.9</v>
      </c>
      <c r="G29" s="36" t="s">
        <v>5</v>
      </c>
      <c r="H29" s="403">
        <v>200</v>
      </c>
      <c r="I29" s="562">
        <v>170.12970699999997</v>
      </c>
      <c r="J29" s="651">
        <v>38378.55416666667</v>
      </c>
      <c r="K29" s="652">
        <v>38383.99930555555</v>
      </c>
      <c r="L29" s="22">
        <v>130.68333333323244</v>
      </c>
      <c r="M29" s="23">
        <v>7841</v>
      </c>
      <c r="N29" s="659" t="s">
        <v>173</v>
      </c>
      <c r="O29" s="660">
        <v>5.88</v>
      </c>
      <c r="P29" s="661" t="s">
        <v>201</v>
      </c>
      <c r="Q29" s="661" t="s">
        <v>202</v>
      </c>
      <c r="R29" s="662" t="s">
        <v>202</v>
      </c>
      <c r="S29" s="663">
        <v>2614.5478930253757</v>
      </c>
      <c r="T29" s="664" t="s">
        <v>202</v>
      </c>
      <c r="U29" s="665" t="s">
        <v>202</v>
      </c>
      <c r="V29" s="666" t="s">
        <v>202</v>
      </c>
      <c r="W29" s="667" t="s">
        <v>202</v>
      </c>
      <c r="X29" s="668" t="s">
        <v>202</v>
      </c>
      <c r="Y29" s="669" t="s">
        <v>202</v>
      </c>
      <c r="Z29" s="670" t="s">
        <v>202</v>
      </c>
      <c r="AA29" s="671" t="s">
        <v>202</v>
      </c>
      <c r="AB29" s="672" t="s">
        <v>176</v>
      </c>
      <c r="AC29" s="24">
        <v>2614.5478930253757</v>
      </c>
      <c r="AD29" s="502"/>
    </row>
    <row r="30" spans="2:30" s="16" customFormat="1" ht="16.5" customHeight="1">
      <c r="B30" s="109"/>
      <c r="C30" s="639">
        <v>27</v>
      </c>
      <c r="D30" s="36" t="s">
        <v>168</v>
      </c>
      <c r="E30" s="36">
        <v>500</v>
      </c>
      <c r="F30" s="36">
        <v>386.7</v>
      </c>
      <c r="G30" s="36" t="s">
        <v>5</v>
      </c>
      <c r="H30" s="403">
        <v>200</v>
      </c>
      <c r="I30" s="562">
        <v>217.917051</v>
      </c>
      <c r="J30" s="651">
        <v>38378.55416666667</v>
      </c>
      <c r="K30" s="652">
        <v>38383.99930555555</v>
      </c>
      <c r="L30" s="22">
        <v>130.68333333323244</v>
      </c>
      <c r="M30" s="23">
        <v>7841</v>
      </c>
      <c r="N30" s="659" t="s">
        <v>173</v>
      </c>
      <c r="O30" s="660">
        <v>5.88</v>
      </c>
      <c r="P30" s="661" t="s">
        <v>201</v>
      </c>
      <c r="Q30" s="661" t="s">
        <v>202</v>
      </c>
      <c r="R30" s="662" t="s">
        <v>202</v>
      </c>
      <c r="S30" s="663">
        <v>3348.942266422368</v>
      </c>
      <c r="T30" s="664" t="s">
        <v>202</v>
      </c>
      <c r="U30" s="665" t="s">
        <v>202</v>
      </c>
      <c r="V30" s="666" t="s">
        <v>202</v>
      </c>
      <c r="W30" s="667" t="s">
        <v>202</v>
      </c>
      <c r="X30" s="668" t="s">
        <v>202</v>
      </c>
      <c r="Y30" s="669" t="s">
        <v>202</v>
      </c>
      <c r="Z30" s="670" t="s">
        <v>202</v>
      </c>
      <c r="AA30" s="671" t="s">
        <v>202</v>
      </c>
      <c r="AB30" s="672" t="s">
        <v>176</v>
      </c>
      <c r="AC30" s="24">
        <v>3348.942266422368</v>
      </c>
      <c r="AD30" s="502"/>
    </row>
    <row r="31" spans="2:30" s="16" customFormat="1" ht="16.5" customHeight="1">
      <c r="B31" s="109"/>
      <c r="C31" s="639"/>
      <c r="D31" s="639"/>
      <c r="E31" s="646"/>
      <c r="F31" s="647"/>
      <c r="G31" s="646"/>
      <c r="H31" s="403">
        <v>20</v>
      </c>
      <c r="I31" s="562">
        <v>46.96099999999999</v>
      </c>
      <c r="J31" s="655"/>
      <c r="K31" s="656"/>
      <c r="L31" s="22" t="s">
        <v>203</v>
      </c>
      <c r="M31" s="23" t="s">
        <v>203</v>
      </c>
      <c r="N31" s="659"/>
      <c r="O31" s="660" t="s">
        <v>203</v>
      </c>
      <c r="P31" s="661" t="s">
        <v>203</v>
      </c>
      <c r="Q31" s="661" t="s">
        <v>203</v>
      </c>
      <c r="R31" s="662" t="s">
        <v>202</v>
      </c>
      <c r="S31" s="663" t="s">
        <v>202</v>
      </c>
      <c r="T31" s="664" t="s">
        <v>202</v>
      </c>
      <c r="U31" s="665" t="s">
        <v>202</v>
      </c>
      <c r="V31" s="666" t="s">
        <v>202</v>
      </c>
      <c r="W31" s="667" t="s">
        <v>202</v>
      </c>
      <c r="X31" s="668" t="s">
        <v>202</v>
      </c>
      <c r="Y31" s="669" t="s">
        <v>202</v>
      </c>
      <c r="Z31" s="670" t="s">
        <v>202</v>
      </c>
      <c r="AA31" s="671" t="s">
        <v>202</v>
      </c>
      <c r="AB31" s="672" t="s">
        <v>203</v>
      </c>
      <c r="AC31" s="24" t="s">
        <v>203</v>
      </c>
      <c r="AD31" s="502"/>
    </row>
    <row r="32" spans="2:30" s="16" customFormat="1" ht="16.5" customHeight="1">
      <c r="B32" s="109"/>
      <c r="C32" s="639">
        <v>28</v>
      </c>
      <c r="D32" s="639" t="s">
        <v>162</v>
      </c>
      <c r="E32" s="646">
        <v>500</v>
      </c>
      <c r="F32" s="647">
        <v>348.4</v>
      </c>
      <c r="G32" s="646" t="s">
        <v>5</v>
      </c>
      <c r="H32" s="403">
        <v>200</v>
      </c>
      <c r="I32" s="562">
        <v>196.333852</v>
      </c>
      <c r="J32" s="754">
        <v>38369.82708333333</v>
      </c>
      <c r="K32" s="657">
        <v>38369.84097222222</v>
      </c>
      <c r="L32" s="22">
        <v>0.33333333337213844</v>
      </c>
      <c r="M32" s="23">
        <v>20</v>
      </c>
      <c r="N32" s="659" t="s">
        <v>204</v>
      </c>
      <c r="O32" s="660" t="s">
        <v>202</v>
      </c>
      <c r="P32" s="661" t="s">
        <v>201</v>
      </c>
      <c r="Q32" s="661" t="s">
        <v>201</v>
      </c>
      <c r="R32" s="662" t="s">
        <v>202</v>
      </c>
      <c r="S32" s="663" t="s">
        <v>202</v>
      </c>
      <c r="T32" s="664">
        <v>39266.7704</v>
      </c>
      <c r="U32" s="665">
        <v>12958.034232000002</v>
      </c>
      <c r="V32" s="666" t="s">
        <v>202</v>
      </c>
      <c r="W32" s="667" t="s">
        <v>202</v>
      </c>
      <c r="X32" s="668" t="s">
        <v>202</v>
      </c>
      <c r="Y32" s="669" t="s">
        <v>202</v>
      </c>
      <c r="Z32" s="670" t="s">
        <v>202</v>
      </c>
      <c r="AA32" s="671" t="s">
        <v>202</v>
      </c>
      <c r="AB32" s="672" t="s">
        <v>176</v>
      </c>
      <c r="AC32" s="24">
        <v>52224.804632</v>
      </c>
      <c r="AD32" s="502"/>
    </row>
    <row r="33" spans="2:30" s="16" customFormat="1" ht="16.5" customHeight="1">
      <c r="B33" s="109"/>
      <c r="C33" s="639"/>
      <c r="D33" s="639"/>
      <c r="E33" s="646"/>
      <c r="F33" s="647"/>
      <c r="G33" s="646"/>
      <c r="H33" s="403">
        <v>20</v>
      </c>
      <c r="I33" s="562">
        <v>46.96099999999999</v>
      </c>
      <c r="J33" s="655"/>
      <c r="K33" s="657"/>
      <c r="L33" s="22" t="s">
        <v>203</v>
      </c>
      <c r="M33" s="23" t="s">
        <v>203</v>
      </c>
      <c r="N33" s="659"/>
      <c r="O33" s="660" t="s">
        <v>203</v>
      </c>
      <c r="P33" s="661" t="s">
        <v>203</v>
      </c>
      <c r="Q33" s="661" t="s">
        <v>203</v>
      </c>
      <c r="R33" s="662" t="s">
        <v>202</v>
      </c>
      <c r="S33" s="663" t="s">
        <v>202</v>
      </c>
      <c r="T33" s="664" t="s">
        <v>202</v>
      </c>
      <c r="U33" s="665" t="s">
        <v>202</v>
      </c>
      <c r="V33" s="666" t="s">
        <v>202</v>
      </c>
      <c r="W33" s="667" t="s">
        <v>202</v>
      </c>
      <c r="X33" s="668" t="s">
        <v>202</v>
      </c>
      <c r="Y33" s="669" t="s">
        <v>202</v>
      </c>
      <c r="Z33" s="670" t="s">
        <v>202</v>
      </c>
      <c r="AA33" s="671" t="s">
        <v>202</v>
      </c>
      <c r="AB33" s="672" t="s">
        <v>203</v>
      </c>
      <c r="AC33" s="24" t="s">
        <v>203</v>
      </c>
      <c r="AD33" s="502"/>
    </row>
    <row r="34" spans="2:30" s="16" customFormat="1" ht="16.5" customHeight="1">
      <c r="B34" s="109"/>
      <c r="C34" s="639"/>
      <c r="D34" s="639"/>
      <c r="E34" s="646"/>
      <c r="F34" s="647"/>
      <c r="G34" s="646"/>
      <c r="H34" s="403">
        <v>20</v>
      </c>
      <c r="I34" s="562">
        <v>46.96099999999999</v>
      </c>
      <c r="J34" s="655"/>
      <c r="K34" s="657"/>
      <c r="L34" s="22" t="s">
        <v>203</v>
      </c>
      <c r="M34" s="23" t="s">
        <v>203</v>
      </c>
      <c r="N34" s="659"/>
      <c r="O34" s="660" t="s">
        <v>203</v>
      </c>
      <c r="P34" s="661" t="s">
        <v>203</v>
      </c>
      <c r="Q34" s="661" t="s">
        <v>203</v>
      </c>
      <c r="R34" s="662" t="s">
        <v>202</v>
      </c>
      <c r="S34" s="663" t="s">
        <v>202</v>
      </c>
      <c r="T34" s="664" t="s">
        <v>202</v>
      </c>
      <c r="U34" s="665" t="s">
        <v>202</v>
      </c>
      <c r="V34" s="666" t="s">
        <v>202</v>
      </c>
      <c r="W34" s="667" t="s">
        <v>202</v>
      </c>
      <c r="X34" s="668" t="s">
        <v>202</v>
      </c>
      <c r="Y34" s="669" t="s">
        <v>202</v>
      </c>
      <c r="Z34" s="670" t="s">
        <v>202</v>
      </c>
      <c r="AA34" s="671" t="s">
        <v>202</v>
      </c>
      <c r="AB34" s="672" t="s">
        <v>203</v>
      </c>
      <c r="AC34" s="24" t="s">
        <v>203</v>
      </c>
      <c r="AD34" s="502"/>
    </row>
    <row r="35" spans="2:30" s="16" customFormat="1" ht="16.5" customHeight="1">
      <c r="B35" s="109"/>
      <c r="C35" s="639"/>
      <c r="D35" s="639"/>
      <c r="E35" s="646"/>
      <c r="F35" s="647"/>
      <c r="G35" s="646"/>
      <c r="H35" s="403">
        <v>20</v>
      </c>
      <c r="I35" s="562">
        <v>46.96099999999999</v>
      </c>
      <c r="J35" s="655"/>
      <c r="K35" s="657"/>
      <c r="L35" s="22" t="s">
        <v>203</v>
      </c>
      <c r="M35" s="23" t="s">
        <v>203</v>
      </c>
      <c r="N35" s="659"/>
      <c r="O35" s="660" t="s">
        <v>203</v>
      </c>
      <c r="P35" s="661" t="s">
        <v>203</v>
      </c>
      <c r="Q35" s="661" t="s">
        <v>203</v>
      </c>
      <c r="R35" s="662" t="s">
        <v>202</v>
      </c>
      <c r="S35" s="663" t="s">
        <v>202</v>
      </c>
      <c r="T35" s="664" t="s">
        <v>202</v>
      </c>
      <c r="U35" s="665" t="s">
        <v>202</v>
      </c>
      <c r="V35" s="666" t="s">
        <v>202</v>
      </c>
      <c r="W35" s="667" t="s">
        <v>202</v>
      </c>
      <c r="X35" s="668" t="s">
        <v>202</v>
      </c>
      <c r="Y35" s="669" t="s">
        <v>202</v>
      </c>
      <c r="Z35" s="670" t="s">
        <v>202</v>
      </c>
      <c r="AA35" s="671" t="s">
        <v>202</v>
      </c>
      <c r="AB35" s="672" t="s">
        <v>203</v>
      </c>
      <c r="AC35" s="24" t="s">
        <v>203</v>
      </c>
      <c r="AD35" s="502"/>
    </row>
    <row r="36" spans="2:30" s="16" customFormat="1" ht="16.5" customHeight="1">
      <c r="B36" s="109"/>
      <c r="C36" s="639"/>
      <c r="D36" s="639"/>
      <c r="E36" s="646"/>
      <c r="F36" s="647"/>
      <c r="G36" s="646"/>
      <c r="H36" s="403">
        <v>20</v>
      </c>
      <c r="I36" s="562">
        <v>46.96099999999999</v>
      </c>
      <c r="J36" s="655"/>
      <c r="K36" s="657"/>
      <c r="L36" s="22" t="s">
        <v>203</v>
      </c>
      <c r="M36" s="23" t="s">
        <v>203</v>
      </c>
      <c r="N36" s="659"/>
      <c r="O36" s="660" t="s">
        <v>203</v>
      </c>
      <c r="P36" s="661" t="s">
        <v>203</v>
      </c>
      <c r="Q36" s="661" t="s">
        <v>203</v>
      </c>
      <c r="R36" s="662" t="s">
        <v>202</v>
      </c>
      <c r="S36" s="663" t="s">
        <v>202</v>
      </c>
      <c r="T36" s="664" t="s">
        <v>202</v>
      </c>
      <c r="U36" s="665" t="s">
        <v>202</v>
      </c>
      <c r="V36" s="666" t="s">
        <v>202</v>
      </c>
      <c r="W36" s="667" t="s">
        <v>202</v>
      </c>
      <c r="X36" s="668" t="s">
        <v>202</v>
      </c>
      <c r="Y36" s="669" t="s">
        <v>202</v>
      </c>
      <c r="Z36" s="670" t="s">
        <v>202</v>
      </c>
      <c r="AA36" s="671" t="s">
        <v>202</v>
      </c>
      <c r="AB36" s="672" t="s">
        <v>203</v>
      </c>
      <c r="AC36" s="24" t="s">
        <v>203</v>
      </c>
      <c r="AD36" s="502"/>
    </row>
    <row r="37" spans="2:30" s="16" customFormat="1" ht="16.5" customHeight="1">
      <c r="B37" s="109"/>
      <c r="C37" s="639"/>
      <c r="D37" s="639"/>
      <c r="E37" s="646"/>
      <c r="F37" s="647"/>
      <c r="G37" s="646"/>
      <c r="H37" s="403">
        <v>20</v>
      </c>
      <c r="I37" s="562">
        <v>46.96099999999999</v>
      </c>
      <c r="J37" s="655"/>
      <c r="K37" s="657"/>
      <c r="L37" s="22" t="s">
        <v>203</v>
      </c>
      <c r="M37" s="23" t="s">
        <v>203</v>
      </c>
      <c r="N37" s="659"/>
      <c r="O37" s="660" t="s">
        <v>203</v>
      </c>
      <c r="P37" s="661" t="s">
        <v>203</v>
      </c>
      <c r="Q37" s="661" t="s">
        <v>203</v>
      </c>
      <c r="R37" s="662" t="s">
        <v>202</v>
      </c>
      <c r="S37" s="663" t="s">
        <v>202</v>
      </c>
      <c r="T37" s="664" t="s">
        <v>202</v>
      </c>
      <c r="U37" s="665" t="s">
        <v>202</v>
      </c>
      <c r="V37" s="666" t="s">
        <v>202</v>
      </c>
      <c r="W37" s="667" t="s">
        <v>202</v>
      </c>
      <c r="X37" s="668" t="s">
        <v>202</v>
      </c>
      <c r="Y37" s="669" t="s">
        <v>202</v>
      </c>
      <c r="Z37" s="670" t="s">
        <v>202</v>
      </c>
      <c r="AA37" s="671" t="s">
        <v>202</v>
      </c>
      <c r="AB37" s="672" t="s">
        <v>203</v>
      </c>
      <c r="AC37" s="24" t="s">
        <v>203</v>
      </c>
      <c r="AD37" s="502"/>
    </row>
    <row r="38" spans="2:30" s="16" customFormat="1" ht="16.5" customHeight="1">
      <c r="B38" s="109"/>
      <c r="C38" s="639"/>
      <c r="D38" s="639"/>
      <c r="E38" s="646"/>
      <c r="F38" s="647"/>
      <c r="G38" s="646"/>
      <c r="H38" s="403">
        <v>20</v>
      </c>
      <c r="I38" s="562">
        <v>46.96099999999999</v>
      </c>
      <c r="J38" s="655"/>
      <c r="K38" s="657"/>
      <c r="L38" s="22" t="s">
        <v>203</v>
      </c>
      <c r="M38" s="23" t="s">
        <v>203</v>
      </c>
      <c r="N38" s="659"/>
      <c r="O38" s="660" t="s">
        <v>203</v>
      </c>
      <c r="P38" s="661" t="s">
        <v>203</v>
      </c>
      <c r="Q38" s="661" t="s">
        <v>203</v>
      </c>
      <c r="R38" s="662" t="s">
        <v>202</v>
      </c>
      <c r="S38" s="663" t="s">
        <v>202</v>
      </c>
      <c r="T38" s="664" t="s">
        <v>202</v>
      </c>
      <c r="U38" s="665" t="s">
        <v>202</v>
      </c>
      <c r="V38" s="666" t="s">
        <v>202</v>
      </c>
      <c r="W38" s="667" t="s">
        <v>202</v>
      </c>
      <c r="X38" s="668" t="s">
        <v>202</v>
      </c>
      <c r="Y38" s="669" t="s">
        <v>202</v>
      </c>
      <c r="Z38" s="670" t="s">
        <v>202</v>
      </c>
      <c r="AA38" s="671" t="s">
        <v>202</v>
      </c>
      <c r="AB38" s="672" t="s">
        <v>203</v>
      </c>
      <c r="AC38" s="24" t="s">
        <v>203</v>
      </c>
      <c r="AD38" s="502"/>
    </row>
    <row r="39" spans="2:30" s="16" customFormat="1" ht="16.5" customHeight="1">
      <c r="B39" s="109"/>
      <c r="C39" s="639"/>
      <c r="D39" s="639"/>
      <c r="E39" s="646"/>
      <c r="F39" s="647"/>
      <c r="G39" s="646"/>
      <c r="H39" s="403">
        <v>20</v>
      </c>
      <c r="I39" s="562">
        <v>46.96099999999999</v>
      </c>
      <c r="J39" s="655"/>
      <c r="K39" s="657"/>
      <c r="L39" s="22" t="s">
        <v>203</v>
      </c>
      <c r="M39" s="23" t="s">
        <v>203</v>
      </c>
      <c r="N39" s="659"/>
      <c r="O39" s="660" t="s">
        <v>203</v>
      </c>
      <c r="P39" s="661" t="s">
        <v>203</v>
      </c>
      <c r="Q39" s="661" t="s">
        <v>203</v>
      </c>
      <c r="R39" s="662" t="s">
        <v>202</v>
      </c>
      <c r="S39" s="663" t="s">
        <v>202</v>
      </c>
      <c r="T39" s="664" t="s">
        <v>202</v>
      </c>
      <c r="U39" s="665" t="s">
        <v>202</v>
      </c>
      <c r="V39" s="666" t="s">
        <v>202</v>
      </c>
      <c r="W39" s="667" t="s">
        <v>202</v>
      </c>
      <c r="X39" s="668" t="s">
        <v>202</v>
      </c>
      <c r="Y39" s="669" t="s">
        <v>202</v>
      </c>
      <c r="Z39" s="670" t="s">
        <v>202</v>
      </c>
      <c r="AA39" s="671" t="s">
        <v>202</v>
      </c>
      <c r="AB39" s="672" t="s">
        <v>203</v>
      </c>
      <c r="AC39" s="24" t="s">
        <v>203</v>
      </c>
      <c r="AD39" s="502"/>
    </row>
    <row r="40" spans="2:30" s="16" customFormat="1" ht="16.5" customHeight="1">
      <c r="B40" s="109"/>
      <c r="C40" s="639"/>
      <c r="D40" s="639"/>
      <c r="E40" s="646"/>
      <c r="F40" s="647"/>
      <c r="G40" s="646"/>
      <c r="H40" s="403">
        <v>20</v>
      </c>
      <c r="I40" s="562">
        <v>46.96099999999999</v>
      </c>
      <c r="J40" s="655"/>
      <c r="K40" s="657"/>
      <c r="L40" s="22" t="s">
        <v>203</v>
      </c>
      <c r="M40" s="23" t="s">
        <v>203</v>
      </c>
      <c r="N40" s="659"/>
      <c r="O40" s="660" t="s">
        <v>203</v>
      </c>
      <c r="P40" s="661" t="s">
        <v>203</v>
      </c>
      <c r="Q40" s="661" t="s">
        <v>203</v>
      </c>
      <c r="R40" s="662" t="s">
        <v>202</v>
      </c>
      <c r="S40" s="663" t="s">
        <v>202</v>
      </c>
      <c r="T40" s="664" t="s">
        <v>202</v>
      </c>
      <c r="U40" s="665" t="s">
        <v>202</v>
      </c>
      <c r="V40" s="666" t="s">
        <v>202</v>
      </c>
      <c r="W40" s="667" t="s">
        <v>202</v>
      </c>
      <c r="X40" s="668" t="s">
        <v>202</v>
      </c>
      <c r="Y40" s="669" t="s">
        <v>202</v>
      </c>
      <c r="Z40" s="670" t="s">
        <v>202</v>
      </c>
      <c r="AA40" s="671" t="s">
        <v>202</v>
      </c>
      <c r="AB40" s="672" t="s">
        <v>203</v>
      </c>
      <c r="AC40" s="24" t="s">
        <v>203</v>
      </c>
      <c r="AD40" s="502"/>
    </row>
    <row r="41" spans="2:30" s="16" customFormat="1" ht="16.5" customHeight="1">
      <c r="B41" s="109"/>
      <c r="C41" s="639"/>
      <c r="D41" s="639"/>
      <c r="E41" s="646"/>
      <c r="F41" s="647"/>
      <c r="G41" s="646"/>
      <c r="H41" s="403">
        <v>20</v>
      </c>
      <c r="I41" s="562">
        <v>46.96099999999999</v>
      </c>
      <c r="J41" s="655"/>
      <c r="K41" s="657"/>
      <c r="L41" s="22" t="s">
        <v>203</v>
      </c>
      <c r="M41" s="23" t="s">
        <v>203</v>
      </c>
      <c r="N41" s="659"/>
      <c r="O41" s="660" t="s">
        <v>203</v>
      </c>
      <c r="P41" s="661" t="s">
        <v>203</v>
      </c>
      <c r="Q41" s="661" t="s">
        <v>203</v>
      </c>
      <c r="R41" s="662" t="s">
        <v>202</v>
      </c>
      <c r="S41" s="663" t="s">
        <v>202</v>
      </c>
      <c r="T41" s="664" t="s">
        <v>202</v>
      </c>
      <c r="U41" s="665" t="s">
        <v>202</v>
      </c>
      <c r="V41" s="666" t="s">
        <v>202</v>
      </c>
      <c r="W41" s="667" t="s">
        <v>202</v>
      </c>
      <c r="X41" s="668" t="s">
        <v>202</v>
      </c>
      <c r="Y41" s="669" t="s">
        <v>202</v>
      </c>
      <c r="Z41" s="670" t="s">
        <v>202</v>
      </c>
      <c r="AA41" s="671" t="s">
        <v>202</v>
      </c>
      <c r="AB41" s="672" t="s">
        <v>203</v>
      </c>
      <c r="AC41" s="24" t="s">
        <v>203</v>
      </c>
      <c r="AD41" s="502"/>
    </row>
    <row r="42" spans="2:30" s="16" customFormat="1" ht="16.5" customHeight="1" thickBot="1">
      <c r="B42" s="109"/>
      <c r="C42" s="648"/>
      <c r="D42" s="648"/>
      <c r="E42" s="649"/>
      <c r="F42" s="648"/>
      <c r="G42" s="650"/>
      <c r="H42" s="398"/>
      <c r="I42" s="563"/>
      <c r="J42" s="658"/>
      <c r="K42" s="658"/>
      <c r="L42" s="27"/>
      <c r="M42" s="27"/>
      <c r="N42" s="658"/>
      <c r="O42" s="673"/>
      <c r="P42" s="658"/>
      <c r="Q42" s="658"/>
      <c r="R42" s="674"/>
      <c r="S42" s="675"/>
      <c r="T42" s="676"/>
      <c r="U42" s="677"/>
      <c r="V42" s="678"/>
      <c r="W42" s="679"/>
      <c r="X42" s="680"/>
      <c r="Y42" s="681"/>
      <c r="Z42" s="682"/>
      <c r="AA42" s="683"/>
      <c r="AB42" s="684"/>
      <c r="AC42" s="28"/>
      <c r="AD42" s="502"/>
    </row>
    <row r="43" spans="2:30" s="16" customFormat="1" ht="16.5" customHeight="1" thickBot="1" thickTop="1">
      <c r="B43" s="109"/>
      <c r="C43" s="251" t="s">
        <v>89</v>
      </c>
      <c r="D43" s="252" t="s">
        <v>90</v>
      </c>
      <c r="E43" s="29"/>
      <c r="F43" s="1"/>
      <c r="G43" s="30"/>
      <c r="H43" s="1"/>
      <c r="I43" s="31"/>
      <c r="J43" s="31"/>
      <c r="K43" s="31"/>
      <c r="L43" s="31"/>
      <c r="M43" s="31"/>
      <c r="N43" s="31"/>
      <c r="O43" s="32"/>
      <c r="P43" s="31"/>
      <c r="Q43" s="31"/>
      <c r="R43" s="391">
        <v>0</v>
      </c>
      <c r="S43" s="392">
        <v>25147.76301591227</v>
      </c>
      <c r="T43" s="393">
        <v>39266.7704</v>
      </c>
      <c r="U43" s="393">
        <v>12958.034232000002</v>
      </c>
      <c r="V43" s="393">
        <v>0</v>
      </c>
      <c r="W43" s="394">
        <v>0</v>
      </c>
      <c r="X43" s="394">
        <v>0</v>
      </c>
      <c r="Y43" s="394">
        <v>0</v>
      </c>
      <c r="Z43" s="395">
        <v>0</v>
      </c>
      <c r="AA43" s="396">
        <v>0</v>
      </c>
      <c r="AB43" s="33"/>
      <c r="AC43" s="66">
        <v>111745.41764791228</v>
      </c>
      <c r="AD43" s="502"/>
    </row>
    <row r="44" spans="2:30" s="255" customFormat="1" ht="9.75" thickTop="1">
      <c r="B44" s="256"/>
      <c r="C44" s="253"/>
      <c r="D44" s="254" t="s">
        <v>91</v>
      </c>
      <c r="E44" s="257"/>
      <c r="F44" s="258"/>
      <c r="G44" s="259"/>
      <c r="H44" s="258"/>
      <c r="I44" s="260"/>
      <c r="J44" s="260"/>
      <c r="K44" s="260"/>
      <c r="L44" s="260"/>
      <c r="M44" s="260"/>
      <c r="N44" s="260"/>
      <c r="O44" s="261"/>
      <c r="P44" s="260"/>
      <c r="Q44" s="260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3"/>
      <c r="AD44" s="264"/>
    </row>
    <row r="45" spans="2:30" s="16" customFormat="1" ht="16.5" customHeight="1" thickBo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40"/>
    </row>
    <row r="46" spans="2:30" ht="16.5" customHeight="1" thickTop="1">
      <c r="B46" s="12"/>
      <c r="AD46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D158"/>
  <sheetViews>
    <sheetView zoomScale="75" zoomScaleNormal="75" workbookViewId="0" topLeftCell="G1">
      <selection activeCell="L55" sqref="L5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7" customFormat="1" ht="26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626"/>
    </row>
    <row r="2" spans="1:28" s="77" customFormat="1" ht="26.25">
      <c r="A2" s="127"/>
      <c r="B2" s="170" t="str">
        <f>+'tot-0501'!B2</f>
        <v>ANEXO I a la Resolución E.N.R.E. N°             586 /2007</v>
      </c>
      <c r="C2" s="170"/>
      <c r="D2" s="170"/>
      <c r="E2" s="78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s="16" customFormat="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s="84" customFormat="1" ht="11.25">
      <c r="A4" s="194" t="s">
        <v>93</v>
      </c>
      <c r="B4" s="195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28" s="84" customFormat="1" ht="11.25">
      <c r="A5" s="194" t="s">
        <v>47</v>
      </c>
      <c r="B5" s="195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</row>
    <row r="6" spans="1:28" s="16" customFormat="1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s="16" customFormat="1" ht="13.5" thickTop="1">
      <c r="A7" s="4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31"/>
    </row>
    <row r="8" spans="1:28" s="10" customFormat="1" ht="20.25">
      <c r="A8" s="172"/>
      <c r="B8" s="173"/>
      <c r="C8" s="172"/>
      <c r="D8" s="175" t="s">
        <v>62</v>
      </c>
      <c r="E8" s="172"/>
      <c r="F8" s="172"/>
      <c r="G8" s="174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34"/>
      <c r="S8" s="34"/>
      <c r="T8" s="34"/>
      <c r="U8" s="34"/>
      <c r="V8" s="34"/>
      <c r="W8" s="34"/>
      <c r="X8" s="34"/>
      <c r="Y8" s="34"/>
      <c r="Z8" s="34"/>
      <c r="AA8" s="34"/>
      <c r="AB8" s="144"/>
    </row>
    <row r="9" spans="1:28" s="16" customFormat="1" ht="12.75">
      <c r="A9" s="49"/>
      <c r="B9" s="162"/>
      <c r="C9" s="49"/>
      <c r="D9" s="50"/>
      <c r="E9" s="168"/>
      <c r="F9" s="49"/>
      <c r="G9" s="50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132"/>
    </row>
    <row r="10" spans="1:28" s="10" customFormat="1" ht="20.25">
      <c r="A10" s="172"/>
      <c r="B10" s="173"/>
      <c r="C10" s="172"/>
      <c r="D10" s="175" t="s">
        <v>94</v>
      </c>
      <c r="E10" s="172"/>
      <c r="F10" s="52"/>
      <c r="G10" s="34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44"/>
    </row>
    <row r="11" spans="1:28" s="16" customFormat="1" ht="12.75">
      <c r="A11" s="49"/>
      <c r="B11" s="162"/>
      <c r="C11" s="49"/>
      <c r="D11" s="50"/>
      <c r="E11" s="50"/>
      <c r="F11" s="50"/>
      <c r="G11" s="50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132"/>
    </row>
    <row r="12" spans="1:28" s="16" customFormat="1" ht="20.25">
      <c r="A12" s="172"/>
      <c r="B12" s="173"/>
      <c r="C12" s="172"/>
      <c r="D12" s="176" t="s">
        <v>198</v>
      </c>
      <c r="E12" s="172"/>
      <c r="F12" s="172"/>
      <c r="G12" s="172"/>
      <c r="H12" s="169"/>
      <c r="I12" s="169"/>
      <c r="J12" s="169"/>
      <c r="K12" s="169"/>
      <c r="L12" s="169"/>
      <c r="M12" s="49"/>
      <c r="N12" s="49"/>
      <c r="O12" s="49"/>
      <c r="P12" s="49"/>
      <c r="Q12" s="49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32"/>
    </row>
    <row r="13" spans="1:28" s="16" customFormat="1" ht="12.75">
      <c r="A13" s="49"/>
      <c r="B13" s="162"/>
      <c r="C13" s="49"/>
      <c r="D13" s="50"/>
      <c r="E13" s="50"/>
      <c r="F13" s="50"/>
      <c r="G13" s="163"/>
      <c r="H13" s="50"/>
      <c r="I13" s="50"/>
      <c r="J13" s="50"/>
      <c r="K13" s="50"/>
      <c r="L13" s="50"/>
      <c r="M13" s="49"/>
      <c r="N13" s="49"/>
      <c r="O13" s="49"/>
      <c r="P13" s="49"/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132"/>
    </row>
    <row r="14" spans="1:28" s="15" customFormat="1" ht="19.5">
      <c r="A14" s="177"/>
      <c r="B14" s="178" t="str">
        <f>+'tot-0501'!B14</f>
        <v>Desde el 01 al 31 de enero de 2005</v>
      </c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79"/>
      <c r="N14" s="179"/>
      <c r="O14" s="179"/>
      <c r="P14" s="179"/>
      <c r="Q14" s="179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1"/>
    </row>
    <row r="15" spans="1:28" s="16" customFormat="1" ht="13.5" thickBot="1">
      <c r="A15" s="49"/>
      <c r="B15" s="162"/>
      <c r="C15" s="49"/>
      <c r="D15" s="50"/>
      <c r="E15" s="50"/>
      <c r="F15" s="50"/>
      <c r="G15" s="163"/>
      <c r="H15" s="50"/>
      <c r="I15" s="50"/>
      <c r="J15" s="50"/>
      <c r="K15" s="50"/>
      <c r="L15" s="50"/>
      <c r="M15" s="49"/>
      <c r="N15" s="49"/>
      <c r="O15" s="49"/>
      <c r="P15" s="49"/>
      <c r="Q15" s="49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132"/>
    </row>
    <row r="16" spans="1:28" s="16" customFormat="1" ht="16.5" customHeight="1" thickBot="1" thickTop="1">
      <c r="A16" s="49"/>
      <c r="B16" s="162"/>
      <c r="C16" s="49"/>
      <c r="D16" s="320" t="s">
        <v>95</v>
      </c>
      <c r="E16" s="321"/>
      <c r="F16" s="322">
        <v>0.154</v>
      </c>
      <c r="H16" s="49"/>
      <c r="I16" s="49"/>
      <c r="J16" s="49"/>
      <c r="K16" s="49"/>
      <c r="L16" s="49"/>
      <c r="M16" s="49"/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132"/>
    </row>
    <row r="17" spans="1:28" s="16" customFormat="1" ht="16.5" customHeight="1" thickBot="1" thickTop="1">
      <c r="A17" s="49"/>
      <c r="B17" s="162"/>
      <c r="C17" s="49"/>
      <c r="D17" s="182" t="s">
        <v>96</v>
      </c>
      <c r="E17" s="183"/>
      <c r="F17" s="184">
        <v>200</v>
      </c>
      <c r="G17"/>
      <c r="H17" s="50"/>
      <c r="I17" s="627"/>
      <c r="J17" s="628"/>
      <c r="K17" s="14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51"/>
      <c r="W17" s="51"/>
      <c r="X17" s="51"/>
      <c r="Y17" s="51"/>
      <c r="Z17" s="51"/>
      <c r="AA17" s="49"/>
      <c r="AB17" s="132"/>
    </row>
    <row r="18" spans="1:28" s="16" customFormat="1" ht="16.5" customHeight="1" thickBot="1" thickTop="1">
      <c r="A18" s="49"/>
      <c r="B18" s="162"/>
      <c r="C18" s="49"/>
      <c r="D18" s="50"/>
      <c r="E18" s="50"/>
      <c r="F18" s="50"/>
      <c r="G18" s="164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132"/>
    </row>
    <row r="19" spans="1:28" s="16" customFormat="1" ht="33.75" customHeight="1" thickBot="1" thickTop="1">
      <c r="A19" s="49"/>
      <c r="B19" s="162"/>
      <c r="C19" s="185" t="s">
        <v>67</v>
      </c>
      <c r="D19" s="188" t="s">
        <v>97</v>
      </c>
      <c r="E19" s="186" t="s">
        <v>41</v>
      </c>
      <c r="F19" s="189" t="s">
        <v>98</v>
      </c>
      <c r="G19" s="190" t="s">
        <v>68</v>
      </c>
      <c r="H19" s="317" t="s">
        <v>72</v>
      </c>
      <c r="I19" s="186" t="s">
        <v>73</v>
      </c>
      <c r="J19" s="186" t="s">
        <v>74</v>
      </c>
      <c r="K19" s="188" t="s">
        <v>99</v>
      </c>
      <c r="L19" s="188" t="s">
        <v>76</v>
      </c>
      <c r="M19" s="154" t="s">
        <v>77</v>
      </c>
      <c r="N19" s="154" t="s">
        <v>78</v>
      </c>
      <c r="O19" s="187" t="s">
        <v>80</v>
      </c>
      <c r="P19" s="186" t="s">
        <v>100</v>
      </c>
      <c r="Q19" s="411" t="s">
        <v>71</v>
      </c>
      <c r="R19" s="416" t="s">
        <v>81</v>
      </c>
      <c r="S19" s="422" t="s">
        <v>82</v>
      </c>
      <c r="T19" s="314" t="s">
        <v>101</v>
      </c>
      <c r="U19" s="316"/>
      <c r="V19" s="438" t="s">
        <v>102</v>
      </c>
      <c r="W19" s="439"/>
      <c r="X19" s="451" t="s">
        <v>85</v>
      </c>
      <c r="Y19" s="456" t="s">
        <v>86</v>
      </c>
      <c r="Z19" s="156" t="s">
        <v>87</v>
      </c>
      <c r="AA19" s="190" t="s">
        <v>88</v>
      </c>
      <c r="AB19" s="132"/>
    </row>
    <row r="20" spans="1:28" s="16" customFormat="1" ht="16.5" customHeight="1" hidden="1" thickTop="1">
      <c r="A20" s="49"/>
      <c r="B20" s="162"/>
      <c r="C20" s="408"/>
      <c r="D20" s="408"/>
      <c r="E20" s="408"/>
      <c r="F20" s="408"/>
      <c r="G20" s="409"/>
      <c r="H20" s="407"/>
      <c r="I20" s="408"/>
      <c r="J20" s="408"/>
      <c r="K20" s="408"/>
      <c r="L20" s="408"/>
      <c r="M20" s="408"/>
      <c r="N20" s="384"/>
      <c r="O20" s="410"/>
      <c r="P20" s="408"/>
      <c r="Q20" s="412"/>
      <c r="R20" s="417"/>
      <c r="S20" s="423"/>
      <c r="T20" s="428"/>
      <c r="U20" s="429"/>
      <c r="V20" s="440"/>
      <c r="W20" s="441"/>
      <c r="X20" s="452"/>
      <c r="Y20" s="457"/>
      <c r="Z20" s="410"/>
      <c r="AA20" s="567"/>
      <c r="AB20" s="132"/>
    </row>
    <row r="21" spans="1:28" s="16" customFormat="1" ht="16.5" customHeight="1" thickTop="1">
      <c r="A21" s="49"/>
      <c r="B21" s="162"/>
      <c r="C21" s="36"/>
      <c r="D21" s="36"/>
      <c r="E21" s="36"/>
      <c r="F21" s="36"/>
      <c r="G21" s="37"/>
      <c r="H21" s="324"/>
      <c r="I21" s="36"/>
      <c r="J21" s="36"/>
      <c r="K21" s="36"/>
      <c r="L21" s="36"/>
      <c r="M21" s="36"/>
      <c r="N21" s="18"/>
      <c r="O21" s="38"/>
      <c r="P21" s="36"/>
      <c r="Q21" s="413"/>
      <c r="R21" s="418"/>
      <c r="S21" s="424"/>
      <c r="T21" s="430"/>
      <c r="U21" s="431"/>
      <c r="V21" s="442"/>
      <c r="W21" s="443"/>
      <c r="X21" s="453"/>
      <c r="Y21" s="458"/>
      <c r="Z21" s="38"/>
      <c r="AA21" s="191"/>
      <c r="AB21" s="132"/>
    </row>
    <row r="22" spans="1:28" s="16" customFormat="1" ht="16.5" customHeight="1">
      <c r="A22" s="49"/>
      <c r="B22" s="162"/>
      <c r="C22" s="640">
        <v>29</v>
      </c>
      <c r="D22" s="686" t="s">
        <v>21</v>
      </c>
      <c r="E22" s="687" t="s">
        <v>19</v>
      </c>
      <c r="F22" s="688">
        <v>200</v>
      </c>
      <c r="G22" s="689" t="s">
        <v>20</v>
      </c>
      <c r="H22" s="564">
        <f aca="true" t="shared" si="0" ref="H22:H42">F22*$F$16</f>
        <v>30.8</v>
      </c>
      <c r="I22" s="695">
        <v>38361.30972222222</v>
      </c>
      <c r="J22" s="695">
        <v>38361.751388888886</v>
      </c>
      <c r="K22" s="40">
        <f aca="true" t="shared" si="1" ref="K22:K42">IF(D22="","",(J22-I22)*24)</f>
        <v>10.599999999976717</v>
      </c>
      <c r="L22" s="41">
        <f aca="true" t="shared" si="2" ref="L22:L42">IF(D22="","",ROUND((J22-I22)*24*60,0))</f>
        <v>636</v>
      </c>
      <c r="M22" s="697" t="s">
        <v>175</v>
      </c>
      <c r="N22" s="685" t="str">
        <f aca="true" t="shared" si="3" ref="N22:N42">IF(D22="","","--")</f>
        <v>--</v>
      </c>
      <c r="O22" s="698" t="str">
        <f aca="true" t="shared" si="4" ref="O22:O42">IF(D22="","",IF(OR(M22="P",M22="RP"),"--","NO"))</f>
        <v>--</v>
      </c>
      <c r="P22" s="661" t="str">
        <f aca="true" t="shared" si="5" ref="P22:P42">IF(D22="","","NO")</f>
        <v>NO</v>
      </c>
      <c r="Q22" s="414">
        <f aca="true" t="shared" si="6" ref="Q22:Q42">$F$17*IF(OR(M22="P",M22="RP"),0.1,1)*IF(P22="SI",1,0.1)</f>
        <v>2</v>
      </c>
      <c r="R22" s="419">
        <f aca="true" t="shared" si="7" ref="R22:R42">IF(M22="P",H22*Q22*ROUND(L22/60,2),"--")</f>
        <v>652.96</v>
      </c>
      <c r="S22" s="425" t="str">
        <f aca="true" t="shared" si="8" ref="S22:S42">IF(M22="RP",H22*Q22*N22/100*ROUND(L22/60,2),"--")</f>
        <v>--</v>
      </c>
      <c r="T22" s="432" t="str">
        <f aca="true" t="shared" si="9" ref="T22:T42">IF(AND(M22="F",O22="NO"),H22*Q22,"--")</f>
        <v>--</v>
      </c>
      <c r="U22" s="433" t="str">
        <f aca="true" t="shared" si="10" ref="U22:U42">IF(M22="F",H22*Q22*ROUND(L22/60,2),"--")</f>
        <v>--</v>
      </c>
      <c r="V22" s="444" t="str">
        <f aca="true" t="shared" si="11" ref="V22:V42">IF(AND(M22="R",O22="NO"),H22*Q22*N22/100,"--")</f>
        <v>--</v>
      </c>
      <c r="W22" s="445" t="str">
        <f aca="true" t="shared" si="12" ref="W22:W42">IF(M22="R",H22*Q22*N22/100*ROUND(L22/60,2),"--")</f>
        <v>--</v>
      </c>
      <c r="X22" s="454" t="str">
        <f aca="true" t="shared" si="13" ref="X22:X42">IF(M22="RF",H22*Q22*ROUND(L22/60,2),"--")</f>
        <v>--</v>
      </c>
      <c r="Y22" s="459" t="str">
        <f aca="true" t="shared" si="14" ref="Y22:Y42">IF(M22="RR",H22*Q22*N22/100*ROUND(L22/60,2),"--")</f>
        <v>--</v>
      </c>
      <c r="Z22" s="43" t="str">
        <f aca="true" t="shared" si="15" ref="Z22:Z42">IF(D22="","","SI")</f>
        <v>SI</v>
      </c>
      <c r="AA22" s="192">
        <f aca="true" t="shared" si="16" ref="AA22:AA42">IF(D22="","",SUM(R22:Y22)*IF(Z22="SI",1,2))</f>
        <v>652.96</v>
      </c>
      <c r="AB22" s="132"/>
    </row>
    <row r="23" spans="1:28" s="16" customFormat="1" ht="16.5" customHeight="1">
      <c r="A23" s="49"/>
      <c r="B23" s="162"/>
      <c r="C23" s="640">
        <v>30</v>
      </c>
      <c r="D23" s="686" t="s">
        <v>24</v>
      </c>
      <c r="E23" s="687" t="s">
        <v>17</v>
      </c>
      <c r="F23" s="688">
        <v>300</v>
      </c>
      <c r="G23" s="689" t="s">
        <v>15</v>
      </c>
      <c r="H23" s="564">
        <f t="shared" si="0"/>
        <v>46.2</v>
      </c>
      <c r="I23" s="695">
        <v>38367.049305555556</v>
      </c>
      <c r="J23" s="695">
        <v>38367.115277777775</v>
      </c>
      <c r="K23" s="40">
        <f t="shared" si="1"/>
        <v>1.5833333332557231</v>
      </c>
      <c r="L23" s="41">
        <f t="shared" si="2"/>
        <v>95</v>
      </c>
      <c r="M23" s="697" t="s">
        <v>169</v>
      </c>
      <c r="N23" s="685" t="str">
        <f t="shared" si="3"/>
        <v>--</v>
      </c>
      <c r="O23" s="698" t="str">
        <f t="shared" si="4"/>
        <v>NO</v>
      </c>
      <c r="P23" s="661" t="str">
        <f t="shared" si="5"/>
        <v>NO</v>
      </c>
      <c r="Q23" s="414">
        <f t="shared" si="6"/>
        <v>20</v>
      </c>
      <c r="R23" s="419" t="str">
        <f t="shared" si="7"/>
        <v>--</v>
      </c>
      <c r="S23" s="425" t="str">
        <f t="shared" si="8"/>
        <v>--</v>
      </c>
      <c r="T23" s="432">
        <f t="shared" si="9"/>
        <v>924</v>
      </c>
      <c r="U23" s="433">
        <f t="shared" si="10"/>
        <v>1459.92</v>
      </c>
      <c r="V23" s="444" t="str">
        <f t="shared" si="11"/>
        <v>--</v>
      </c>
      <c r="W23" s="445" t="str">
        <f t="shared" si="12"/>
        <v>--</v>
      </c>
      <c r="X23" s="454" t="str">
        <f t="shared" si="13"/>
        <v>--</v>
      </c>
      <c r="Y23" s="459" t="str">
        <f t="shared" si="14"/>
        <v>--</v>
      </c>
      <c r="Z23" s="43" t="str">
        <f t="shared" si="15"/>
        <v>SI</v>
      </c>
      <c r="AA23" s="192">
        <f t="shared" si="16"/>
        <v>2383.92</v>
      </c>
      <c r="AB23" s="132"/>
    </row>
    <row r="24" spans="1:28" s="16" customFormat="1" ht="16.5" customHeight="1">
      <c r="A24" s="49"/>
      <c r="B24" s="162"/>
      <c r="C24" s="640">
        <v>31</v>
      </c>
      <c r="D24" s="686" t="s">
        <v>13</v>
      </c>
      <c r="E24" s="687" t="s">
        <v>14</v>
      </c>
      <c r="F24" s="688">
        <v>100</v>
      </c>
      <c r="G24" s="689" t="s">
        <v>15</v>
      </c>
      <c r="H24" s="564">
        <f t="shared" si="0"/>
        <v>15.4</v>
      </c>
      <c r="I24" s="695">
        <v>38375.10763888889</v>
      </c>
      <c r="J24" s="695">
        <v>38375.479166666664</v>
      </c>
      <c r="K24" s="40">
        <f t="shared" si="1"/>
        <v>8.916666666569654</v>
      </c>
      <c r="L24" s="41">
        <f t="shared" si="2"/>
        <v>535</v>
      </c>
      <c r="M24" s="697" t="s">
        <v>175</v>
      </c>
      <c r="N24" s="685" t="str">
        <f t="shared" si="3"/>
        <v>--</v>
      </c>
      <c r="O24" s="698" t="str">
        <f t="shared" si="4"/>
        <v>--</v>
      </c>
      <c r="P24" s="661" t="s">
        <v>176</v>
      </c>
      <c r="Q24" s="414">
        <f t="shared" si="6"/>
        <v>20</v>
      </c>
      <c r="R24" s="419">
        <f t="shared" si="7"/>
        <v>2747.36</v>
      </c>
      <c r="S24" s="425" t="str">
        <f t="shared" si="8"/>
        <v>--</v>
      </c>
      <c r="T24" s="432" t="str">
        <f t="shared" si="9"/>
        <v>--</v>
      </c>
      <c r="U24" s="433" t="str">
        <f t="shared" si="10"/>
        <v>--</v>
      </c>
      <c r="V24" s="444" t="str">
        <f t="shared" si="11"/>
        <v>--</v>
      </c>
      <c r="W24" s="445" t="str">
        <f t="shared" si="12"/>
        <v>--</v>
      </c>
      <c r="X24" s="454" t="str">
        <f t="shared" si="13"/>
        <v>--</v>
      </c>
      <c r="Y24" s="459" t="str">
        <f t="shared" si="14"/>
        <v>--</v>
      </c>
      <c r="Z24" s="43" t="str">
        <f t="shared" si="15"/>
        <v>SI</v>
      </c>
      <c r="AA24" s="192">
        <f t="shared" si="16"/>
        <v>2747.36</v>
      </c>
      <c r="AB24" s="132"/>
    </row>
    <row r="25" spans="1:28" s="16" customFormat="1" ht="16.5" customHeight="1">
      <c r="A25" s="49"/>
      <c r="B25" s="162"/>
      <c r="C25" s="640">
        <v>32</v>
      </c>
      <c r="D25" s="686" t="s">
        <v>13</v>
      </c>
      <c r="E25" s="687" t="s">
        <v>14</v>
      </c>
      <c r="F25" s="688">
        <v>100</v>
      </c>
      <c r="G25" s="689" t="s">
        <v>15</v>
      </c>
      <c r="H25" s="564">
        <f>F25*$F$16</f>
        <v>15.4</v>
      </c>
      <c r="I25" s="695">
        <v>38375.479166666664</v>
      </c>
      <c r="J25" s="695">
        <v>38375.865277777775</v>
      </c>
      <c r="K25" s="40">
        <f>IF(D25="","",(J25-I25)*24)</f>
        <v>9.266666666662786</v>
      </c>
      <c r="L25" s="41">
        <f>IF(D25="","",ROUND((J25-I25)*24*60,0))</f>
        <v>556</v>
      </c>
      <c r="M25" s="697" t="s">
        <v>169</v>
      </c>
      <c r="N25" s="685" t="str">
        <f>IF(D25="","","--")</f>
        <v>--</v>
      </c>
      <c r="O25" s="698" t="str">
        <f>IF(D25="","",IF(OR(M25="P",M25="RP"),"--","NO"))</f>
        <v>NO</v>
      </c>
      <c r="P25" s="661" t="s">
        <v>176</v>
      </c>
      <c r="Q25" s="414">
        <f>$F$17*IF(OR(M25="P",M25="RP"),0.1,1)*IF(P25="SI",1,0.1)</f>
        <v>200</v>
      </c>
      <c r="R25" s="419" t="str">
        <f>IF(M25="P",H25*Q25*ROUND(L25/60,2),"--")</f>
        <v>--</v>
      </c>
      <c r="S25" s="425" t="str">
        <f>IF(M25="RP",H25*Q25*N25/100*ROUND(L25/60,2),"--")</f>
        <v>--</v>
      </c>
      <c r="T25" s="432">
        <f>IF(AND(M25="F",O25="NO"),H25*Q25,"--")</f>
        <v>3080</v>
      </c>
      <c r="U25" s="433">
        <f>IF(M25="F",H25*Q25*ROUND(L25/60,2),"--")</f>
        <v>28551.6</v>
      </c>
      <c r="V25" s="444" t="str">
        <f>IF(AND(M25="R",O25="NO"),H25*Q25*N25/100,"--")</f>
        <v>--</v>
      </c>
      <c r="W25" s="445" t="str">
        <f>IF(M25="R",H25*Q25*N25/100*ROUND(L25/60,2),"--")</f>
        <v>--</v>
      </c>
      <c r="X25" s="454" t="str">
        <f>IF(M25="RF",H25*Q25*ROUND(L25/60,2),"--")</f>
        <v>--</v>
      </c>
      <c r="Y25" s="459" t="str">
        <f>IF(M25="RR",H25*Q25*N25/100*ROUND(L25/60,2),"--")</f>
        <v>--</v>
      </c>
      <c r="Z25" s="43" t="str">
        <f>IF(D25="","","SI")</f>
        <v>SI</v>
      </c>
      <c r="AA25" s="192">
        <f>IF(D25="","",SUM(R25:Y25)*IF(Z25="SI",1,2))</f>
        <v>31631.6</v>
      </c>
      <c r="AB25" s="132"/>
    </row>
    <row r="26" spans="1:30" s="16" customFormat="1" ht="16.5" customHeight="1">
      <c r="A26" s="49"/>
      <c r="B26" s="162"/>
      <c r="C26" s="640">
        <v>33</v>
      </c>
      <c r="D26" s="686" t="s">
        <v>25</v>
      </c>
      <c r="E26" s="687" t="s">
        <v>17</v>
      </c>
      <c r="F26" s="688">
        <v>150</v>
      </c>
      <c r="G26" s="689" t="s">
        <v>18</v>
      </c>
      <c r="H26" s="564">
        <f t="shared" si="0"/>
        <v>23.1</v>
      </c>
      <c r="I26" s="695">
        <v>38378.23541666667</v>
      </c>
      <c r="J26" s="695">
        <v>38378.29791666667</v>
      </c>
      <c r="K26" s="40">
        <f t="shared" si="1"/>
        <v>1.5</v>
      </c>
      <c r="L26" s="41">
        <f t="shared" si="2"/>
        <v>90</v>
      </c>
      <c r="M26" s="697" t="s">
        <v>175</v>
      </c>
      <c r="N26" s="685" t="str">
        <f t="shared" si="3"/>
        <v>--</v>
      </c>
      <c r="O26" s="698" t="str">
        <f t="shared" si="4"/>
        <v>--</v>
      </c>
      <c r="P26" s="661" t="str">
        <f t="shared" si="5"/>
        <v>NO</v>
      </c>
      <c r="Q26" s="414">
        <f t="shared" si="6"/>
        <v>2</v>
      </c>
      <c r="R26" s="419">
        <f t="shared" si="7"/>
        <v>69.30000000000001</v>
      </c>
      <c r="S26" s="425" t="str">
        <f t="shared" si="8"/>
        <v>--</v>
      </c>
      <c r="T26" s="432" t="str">
        <f t="shared" si="9"/>
        <v>--</v>
      </c>
      <c r="U26" s="433" t="str">
        <f t="shared" si="10"/>
        <v>--</v>
      </c>
      <c r="V26" s="444" t="str">
        <f t="shared" si="11"/>
        <v>--</v>
      </c>
      <c r="W26" s="445" t="str">
        <f t="shared" si="12"/>
        <v>--</v>
      </c>
      <c r="X26" s="454" t="str">
        <f t="shared" si="13"/>
        <v>--</v>
      </c>
      <c r="Y26" s="459" t="str">
        <f t="shared" si="14"/>
        <v>--</v>
      </c>
      <c r="Z26" s="43" t="str">
        <f t="shared" si="15"/>
        <v>SI</v>
      </c>
      <c r="AA26" s="192">
        <f t="shared" si="16"/>
        <v>69.30000000000001</v>
      </c>
      <c r="AB26" s="132"/>
      <c r="AD26" s="817"/>
    </row>
    <row r="27" spans="1:30" s="16" customFormat="1" ht="16.5" customHeight="1">
      <c r="A27" s="49"/>
      <c r="B27" s="162"/>
      <c r="C27" s="640">
        <v>34</v>
      </c>
      <c r="D27" s="686" t="s">
        <v>21</v>
      </c>
      <c r="E27" s="687" t="s">
        <v>19</v>
      </c>
      <c r="F27" s="688">
        <v>200</v>
      </c>
      <c r="G27" s="689" t="s">
        <v>20</v>
      </c>
      <c r="H27" s="564">
        <f t="shared" si="0"/>
        <v>30.8</v>
      </c>
      <c r="I27" s="695">
        <v>38382.26388888889</v>
      </c>
      <c r="J27" s="695">
        <v>38382.73472222222</v>
      </c>
      <c r="K27" s="40">
        <f t="shared" si="1"/>
        <v>11.299999999988358</v>
      </c>
      <c r="L27" s="41">
        <f t="shared" si="2"/>
        <v>678</v>
      </c>
      <c r="M27" s="697" t="s">
        <v>175</v>
      </c>
      <c r="N27" s="685" t="str">
        <f t="shared" si="3"/>
        <v>--</v>
      </c>
      <c r="O27" s="698" t="str">
        <f t="shared" si="4"/>
        <v>--</v>
      </c>
      <c r="P27" s="661" t="str">
        <f t="shared" si="5"/>
        <v>NO</v>
      </c>
      <c r="Q27" s="414">
        <f t="shared" si="6"/>
        <v>2</v>
      </c>
      <c r="R27" s="419">
        <f t="shared" si="7"/>
        <v>696.08</v>
      </c>
      <c r="S27" s="425" t="str">
        <f t="shared" si="8"/>
        <v>--</v>
      </c>
      <c r="T27" s="432" t="str">
        <f t="shared" si="9"/>
        <v>--</v>
      </c>
      <c r="U27" s="433" t="str">
        <f t="shared" si="10"/>
        <v>--</v>
      </c>
      <c r="V27" s="444" t="str">
        <f t="shared" si="11"/>
        <v>--</v>
      </c>
      <c r="W27" s="445" t="str">
        <f t="shared" si="12"/>
        <v>--</v>
      </c>
      <c r="X27" s="454" t="str">
        <f t="shared" si="13"/>
        <v>--</v>
      </c>
      <c r="Y27" s="459" t="str">
        <f t="shared" si="14"/>
        <v>--</v>
      </c>
      <c r="Z27" s="43" t="str">
        <f t="shared" si="15"/>
        <v>SI</v>
      </c>
      <c r="AA27" s="192">
        <f t="shared" si="16"/>
        <v>696.08</v>
      </c>
      <c r="AB27" s="132"/>
      <c r="AD27" s="817"/>
    </row>
    <row r="28" spans="1:28" s="16" customFormat="1" ht="16.5" customHeight="1">
      <c r="A28" s="49"/>
      <c r="B28" s="162"/>
      <c r="C28" s="640"/>
      <c r="D28" s="686"/>
      <c r="E28" s="687"/>
      <c r="F28" s="688"/>
      <c r="G28" s="689"/>
      <c r="H28" s="564">
        <f t="shared" si="0"/>
        <v>0</v>
      </c>
      <c r="I28" s="695"/>
      <c r="J28" s="695"/>
      <c r="K28" s="40">
        <f t="shared" si="1"/>
      </c>
      <c r="L28" s="41">
        <f t="shared" si="2"/>
      </c>
      <c r="M28" s="697"/>
      <c r="N28" s="685">
        <f t="shared" si="3"/>
      </c>
      <c r="O28" s="698">
        <f t="shared" si="4"/>
      </c>
      <c r="P28" s="661">
        <f t="shared" si="5"/>
      </c>
      <c r="Q28" s="414">
        <f t="shared" si="6"/>
        <v>20</v>
      </c>
      <c r="R28" s="419" t="str">
        <f t="shared" si="7"/>
        <v>--</v>
      </c>
      <c r="S28" s="425" t="str">
        <f t="shared" si="8"/>
        <v>--</v>
      </c>
      <c r="T28" s="432" t="str">
        <f t="shared" si="9"/>
        <v>--</v>
      </c>
      <c r="U28" s="433" t="str">
        <f t="shared" si="10"/>
        <v>--</v>
      </c>
      <c r="V28" s="444" t="str">
        <f t="shared" si="11"/>
        <v>--</v>
      </c>
      <c r="W28" s="445" t="str">
        <f t="shared" si="12"/>
        <v>--</v>
      </c>
      <c r="X28" s="454" t="str">
        <f t="shared" si="13"/>
        <v>--</v>
      </c>
      <c r="Y28" s="459" t="str">
        <f t="shared" si="14"/>
        <v>--</v>
      </c>
      <c r="Z28" s="43">
        <f t="shared" si="15"/>
      </c>
      <c r="AA28" s="192">
        <f t="shared" si="16"/>
      </c>
      <c r="AB28" s="132"/>
    </row>
    <row r="29" spans="1:29" s="16" customFormat="1" ht="16.5" customHeight="1">
      <c r="A29" s="49"/>
      <c r="B29" s="162"/>
      <c r="C29" s="640"/>
      <c r="D29" s="686"/>
      <c r="E29" s="687"/>
      <c r="F29" s="688"/>
      <c r="G29" s="689"/>
      <c r="H29" s="564">
        <f t="shared" si="0"/>
        <v>0</v>
      </c>
      <c r="I29" s="695"/>
      <c r="J29" s="695"/>
      <c r="K29" s="40">
        <f t="shared" si="1"/>
      </c>
      <c r="L29" s="41">
        <f t="shared" si="2"/>
      </c>
      <c r="M29" s="697"/>
      <c r="N29" s="685">
        <f t="shared" si="3"/>
      </c>
      <c r="O29" s="698">
        <f t="shared" si="4"/>
      </c>
      <c r="P29" s="661">
        <f t="shared" si="5"/>
      </c>
      <c r="Q29" s="414">
        <f t="shared" si="6"/>
        <v>20</v>
      </c>
      <c r="R29" s="419" t="str">
        <f t="shared" si="7"/>
        <v>--</v>
      </c>
      <c r="S29" s="425" t="str">
        <f t="shared" si="8"/>
        <v>--</v>
      </c>
      <c r="T29" s="432" t="str">
        <f t="shared" si="9"/>
        <v>--</v>
      </c>
      <c r="U29" s="433" t="str">
        <f t="shared" si="10"/>
        <v>--</v>
      </c>
      <c r="V29" s="444" t="str">
        <f t="shared" si="11"/>
        <v>--</v>
      </c>
      <c r="W29" s="445" t="str">
        <f t="shared" si="12"/>
        <v>--</v>
      </c>
      <c r="X29" s="454" t="str">
        <f t="shared" si="13"/>
        <v>--</v>
      </c>
      <c r="Y29" s="459" t="str">
        <f t="shared" si="14"/>
        <v>--</v>
      </c>
      <c r="Z29" s="43">
        <f t="shared" si="15"/>
      </c>
      <c r="AA29" s="192">
        <f t="shared" si="16"/>
      </c>
      <c r="AB29" s="132"/>
      <c r="AC29" s="50"/>
    </row>
    <row r="30" spans="1:28" s="16" customFormat="1" ht="16.5" customHeight="1">
      <c r="A30" s="49"/>
      <c r="B30" s="162"/>
      <c r="C30" s="640"/>
      <c r="D30" s="686"/>
      <c r="E30" s="687"/>
      <c r="F30" s="688"/>
      <c r="G30" s="689"/>
      <c r="H30" s="564">
        <f t="shared" si="0"/>
        <v>0</v>
      </c>
      <c r="I30" s="695"/>
      <c r="J30" s="695"/>
      <c r="K30" s="40">
        <f t="shared" si="1"/>
      </c>
      <c r="L30" s="41">
        <f t="shared" si="2"/>
      </c>
      <c r="M30" s="697"/>
      <c r="N30" s="685">
        <f t="shared" si="3"/>
      </c>
      <c r="O30" s="698">
        <f t="shared" si="4"/>
      </c>
      <c r="P30" s="661">
        <f t="shared" si="5"/>
      </c>
      <c r="Q30" s="414">
        <f t="shared" si="6"/>
        <v>20</v>
      </c>
      <c r="R30" s="419" t="str">
        <f t="shared" si="7"/>
        <v>--</v>
      </c>
      <c r="S30" s="425" t="str">
        <f t="shared" si="8"/>
        <v>--</v>
      </c>
      <c r="T30" s="432" t="str">
        <f t="shared" si="9"/>
        <v>--</v>
      </c>
      <c r="U30" s="433" t="str">
        <f t="shared" si="10"/>
        <v>--</v>
      </c>
      <c r="V30" s="444" t="str">
        <f t="shared" si="11"/>
        <v>--</v>
      </c>
      <c r="W30" s="445" t="str">
        <f t="shared" si="12"/>
        <v>--</v>
      </c>
      <c r="X30" s="454" t="str">
        <f t="shared" si="13"/>
        <v>--</v>
      </c>
      <c r="Y30" s="459" t="str">
        <f t="shared" si="14"/>
        <v>--</v>
      </c>
      <c r="Z30" s="43">
        <f t="shared" si="15"/>
      </c>
      <c r="AA30" s="192">
        <f t="shared" si="16"/>
      </c>
      <c r="AB30" s="132"/>
    </row>
    <row r="31" spans="1:28" s="16" customFormat="1" ht="16.5" customHeight="1">
      <c r="A31" s="49"/>
      <c r="B31" s="162"/>
      <c r="C31" s="640"/>
      <c r="D31" s="686"/>
      <c r="E31" s="687"/>
      <c r="F31" s="688"/>
      <c r="G31" s="689"/>
      <c r="H31" s="564">
        <f t="shared" si="0"/>
        <v>0</v>
      </c>
      <c r="I31" s="695"/>
      <c r="J31" s="695"/>
      <c r="K31" s="40">
        <f t="shared" si="1"/>
      </c>
      <c r="L31" s="41">
        <f t="shared" si="2"/>
      </c>
      <c r="M31" s="697"/>
      <c r="N31" s="685">
        <f t="shared" si="3"/>
      </c>
      <c r="O31" s="698">
        <f t="shared" si="4"/>
      </c>
      <c r="P31" s="661">
        <f t="shared" si="5"/>
      </c>
      <c r="Q31" s="414">
        <f t="shared" si="6"/>
        <v>20</v>
      </c>
      <c r="R31" s="419" t="str">
        <f t="shared" si="7"/>
        <v>--</v>
      </c>
      <c r="S31" s="425" t="str">
        <f t="shared" si="8"/>
        <v>--</v>
      </c>
      <c r="T31" s="432" t="str">
        <f t="shared" si="9"/>
        <v>--</v>
      </c>
      <c r="U31" s="433" t="str">
        <f t="shared" si="10"/>
        <v>--</v>
      </c>
      <c r="V31" s="444" t="str">
        <f t="shared" si="11"/>
        <v>--</v>
      </c>
      <c r="W31" s="445" t="str">
        <f t="shared" si="12"/>
        <v>--</v>
      </c>
      <c r="X31" s="454" t="str">
        <f t="shared" si="13"/>
        <v>--</v>
      </c>
      <c r="Y31" s="459" t="str">
        <f t="shared" si="14"/>
        <v>--</v>
      </c>
      <c r="Z31" s="43">
        <f t="shared" si="15"/>
      </c>
      <c r="AA31" s="192">
        <f t="shared" si="16"/>
      </c>
      <c r="AB31" s="132"/>
    </row>
    <row r="32" spans="1:28" s="16" customFormat="1" ht="16.5" customHeight="1">
      <c r="A32" s="49"/>
      <c r="B32" s="162"/>
      <c r="C32" s="640"/>
      <c r="D32" s="686"/>
      <c r="E32" s="687"/>
      <c r="F32" s="688"/>
      <c r="G32" s="689"/>
      <c r="H32" s="564">
        <f t="shared" si="0"/>
        <v>0</v>
      </c>
      <c r="I32" s="695"/>
      <c r="J32" s="695"/>
      <c r="K32" s="40">
        <f t="shared" si="1"/>
      </c>
      <c r="L32" s="41">
        <f t="shared" si="2"/>
      </c>
      <c r="M32" s="697"/>
      <c r="N32" s="685">
        <f t="shared" si="3"/>
      </c>
      <c r="O32" s="698">
        <f t="shared" si="4"/>
      </c>
      <c r="P32" s="661">
        <f t="shared" si="5"/>
      </c>
      <c r="Q32" s="414">
        <f t="shared" si="6"/>
        <v>20</v>
      </c>
      <c r="R32" s="419" t="str">
        <f t="shared" si="7"/>
        <v>--</v>
      </c>
      <c r="S32" s="425" t="str">
        <f t="shared" si="8"/>
        <v>--</v>
      </c>
      <c r="T32" s="432" t="str">
        <f t="shared" si="9"/>
        <v>--</v>
      </c>
      <c r="U32" s="433" t="str">
        <f t="shared" si="10"/>
        <v>--</v>
      </c>
      <c r="V32" s="444" t="str">
        <f t="shared" si="11"/>
        <v>--</v>
      </c>
      <c r="W32" s="445" t="str">
        <f t="shared" si="12"/>
        <v>--</v>
      </c>
      <c r="X32" s="454" t="str">
        <f t="shared" si="13"/>
        <v>--</v>
      </c>
      <c r="Y32" s="459" t="str">
        <f t="shared" si="14"/>
        <v>--</v>
      </c>
      <c r="Z32" s="43">
        <f t="shared" si="15"/>
      </c>
      <c r="AA32" s="192">
        <f t="shared" si="16"/>
      </c>
      <c r="AB32" s="132"/>
    </row>
    <row r="33" spans="1:28" s="16" customFormat="1" ht="16.5" customHeight="1">
      <c r="A33" s="49"/>
      <c r="B33" s="162"/>
      <c r="C33" s="640"/>
      <c r="D33" s="686"/>
      <c r="E33" s="690"/>
      <c r="F33" s="688"/>
      <c r="G33" s="689"/>
      <c r="H33" s="564">
        <f t="shared" si="0"/>
        <v>0</v>
      </c>
      <c r="I33" s="695"/>
      <c r="J33" s="695"/>
      <c r="K33" s="40">
        <f t="shared" si="1"/>
      </c>
      <c r="L33" s="41">
        <f t="shared" si="2"/>
      </c>
      <c r="M33" s="697"/>
      <c r="N33" s="685">
        <f t="shared" si="3"/>
      </c>
      <c r="O33" s="698">
        <f t="shared" si="4"/>
      </c>
      <c r="P33" s="661">
        <f t="shared" si="5"/>
      </c>
      <c r="Q33" s="414">
        <f t="shared" si="6"/>
        <v>20</v>
      </c>
      <c r="R33" s="419" t="str">
        <f t="shared" si="7"/>
        <v>--</v>
      </c>
      <c r="S33" s="425" t="str">
        <f t="shared" si="8"/>
        <v>--</v>
      </c>
      <c r="T33" s="432" t="str">
        <f t="shared" si="9"/>
        <v>--</v>
      </c>
      <c r="U33" s="433" t="str">
        <f t="shared" si="10"/>
        <v>--</v>
      </c>
      <c r="V33" s="444" t="str">
        <f t="shared" si="11"/>
        <v>--</v>
      </c>
      <c r="W33" s="445" t="str">
        <f t="shared" si="12"/>
        <v>--</v>
      </c>
      <c r="X33" s="454" t="str">
        <f t="shared" si="13"/>
        <v>--</v>
      </c>
      <c r="Y33" s="459" t="str">
        <f t="shared" si="14"/>
        <v>--</v>
      </c>
      <c r="Z33" s="43">
        <f t="shared" si="15"/>
      </c>
      <c r="AA33" s="192">
        <f t="shared" si="16"/>
      </c>
      <c r="AB33" s="132"/>
    </row>
    <row r="34" spans="1:28" s="16" customFormat="1" ht="16.5" customHeight="1">
      <c r="A34" s="49"/>
      <c r="B34" s="162"/>
      <c r="C34" s="640"/>
      <c r="D34" s="686"/>
      <c r="E34" s="690"/>
      <c r="F34" s="688"/>
      <c r="G34" s="689"/>
      <c r="H34" s="564">
        <f t="shared" si="0"/>
        <v>0</v>
      </c>
      <c r="I34" s="695"/>
      <c r="J34" s="695"/>
      <c r="K34" s="40">
        <f t="shared" si="1"/>
      </c>
      <c r="L34" s="41">
        <f t="shared" si="2"/>
      </c>
      <c r="M34" s="697"/>
      <c r="N34" s="685">
        <f t="shared" si="3"/>
      </c>
      <c r="O34" s="698">
        <f t="shared" si="4"/>
      </c>
      <c r="P34" s="661">
        <f t="shared" si="5"/>
      </c>
      <c r="Q34" s="414">
        <f t="shared" si="6"/>
        <v>20</v>
      </c>
      <c r="R34" s="419" t="str">
        <f t="shared" si="7"/>
        <v>--</v>
      </c>
      <c r="S34" s="425" t="str">
        <f t="shared" si="8"/>
        <v>--</v>
      </c>
      <c r="T34" s="432" t="str">
        <f t="shared" si="9"/>
        <v>--</v>
      </c>
      <c r="U34" s="433" t="str">
        <f t="shared" si="10"/>
        <v>--</v>
      </c>
      <c r="V34" s="444" t="str">
        <f t="shared" si="11"/>
        <v>--</v>
      </c>
      <c r="W34" s="445" t="str">
        <f t="shared" si="12"/>
        <v>--</v>
      </c>
      <c r="X34" s="454" t="str">
        <f t="shared" si="13"/>
        <v>--</v>
      </c>
      <c r="Y34" s="459" t="str">
        <f t="shared" si="14"/>
        <v>--</v>
      </c>
      <c r="Z34" s="43">
        <f t="shared" si="15"/>
      </c>
      <c r="AA34" s="192">
        <f t="shared" si="16"/>
      </c>
      <c r="AB34" s="132"/>
    </row>
    <row r="35" spans="1:28" s="16" customFormat="1" ht="16.5" customHeight="1">
      <c r="A35" s="49"/>
      <c r="B35" s="162"/>
      <c r="C35" s="640"/>
      <c r="D35" s="686"/>
      <c r="E35" s="690"/>
      <c r="F35" s="688"/>
      <c r="G35" s="689"/>
      <c r="H35" s="564">
        <f t="shared" si="0"/>
        <v>0</v>
      </c>
      <c r="I35" s="695"/>
      <c r="J35" s="695"/>
      <c r="K35" s="40">
        <f t="shared" si="1"/>
      </c>
      <c r="L35" s="41">
        <f t="shared" si="2"/>
      </c>
      <c r="M35" s="697"/>
      <c r="N35" s="685">
        <f t="shared" si="3"/>
      </c>
      <c r="O35" s="698">
        <f t="shared" si="4"/>
      </c>
      <c r="P35" s="661">
        <f t="shared" si="5"/>
      </c>
      <c r="Q35" s="414">
        <f t="shared" si="6"/>
        <v>20</v>
      </c>
      <c r="R35" s="419" t="str">
        <f t="shared" si="7"/>
        <v>--</v>
      </c>
      <c r="S35" s="425" t="str">
        <f t="shared" si="8"/>
        <v>--</v>
      </c>
      <c r="T35" s="432" t="str">
        <f t="shared" si="9"/>
        <v>--</v>
      </c>
      <c r="U35" s="433" t="str">
        <f t="shared" si="10"/>
        <v>--</v>
      </c>
      <c r="V35" s="444" t="str">
        <f t="shared" si="11"/>
        <v>--</v>
      </c>
      <c r="W35" s="445" t="str">
        <f t="shared" si="12"/>
        <v>--</v>
      </c>
      <c r="X35" s="454" t="str">
        <f t="shared" si="13"/>
        <v>--</v>
      </c>
      <c r="Y35" s="459" t="str">
        <f t="shared" si="14"/>
        <v>--</v>
      </c>
      <c r="Z35" s="43">
        <f t="shared" si="15"/>
      </c>
      <c r="AA35" s="192">
        <f t="shared" si="16"/>
      </c>
      <c r="AB35" s="132"/>
    </row>
    <row r="36" spans="1:28" s="16" customFormat="1" ht="16.5" customHeight="1">
      <c r="A36" s="49"/>
      <c r="B36" s="162"/>
      <c r="C36" s="640"/>
      <c r="D36" s="686"/>
      <c r="E36" s="690"/>
      <c r="F36" s="688"/>
      <c r="G36" s="689"/>
      <c r="H36" s="564">
        <f t="shared" si="0"/>
        <v>0</v>
      </c>
      <c r="I36" s="695"/>
      <c r="J36" s="695"/>
      <c r="K36" s="40">
        <f t="shared" si="1"/>
      </c>
      <c r="L36" s="41">
        <f t="shared" si="2"/>
      </c>
      <c r="M36" s="697"/>
      <c r="N36" s="685">
        <f t="shared" si="3"/>
      </c>
      <c r="O36" s="698">
        <f t="shared" si="4"/>
      </c>
      <c r="P36" s="661">
        <f t="shared" si="5"/>
      </c>
      <c r="Q36" s="414">
        <f t="shared" si="6"/>
        <v>20</v>
      </c>
      <c r="R36" s="419" t="str">
        <f t="shared" si="7"/>
        <v>--</v>
      </c>
      <c r="S36" s="425" t="str">
        <f t="shared" si="8"/>
        <v>--</v>
      </c>
      <c r="T36" s="432" t="str">
        <f t="shared" si="9"/>
        <v>--</v>
      </c>
      <c r="U36" s="433" t="str">
        <f t="shared" si="10"/>
        <v>--</v>
      </c>
      <c r="V36" s="444" t="str">
        <f t="shared" si="11"/>
        <v>--</v>
      </c>
      <c r="W36" s="445" t="str">
        <f t="shared" si="12"/>
        <v>--</v>
      </c>
      <c r="X36" s="454" t="str">
        <f t="shared" si="13"/>
        <v>--</v>
      </c>
      <c r="Y36" s="459" t="str">
        <f t="shared" si="14"/>
        <v>--</v>
      </c>
      <c r="Z36" s="43">
        <f t="shared" si="15"/>
      </c>
      <c r="AA36" s="192">
        <f t="shared" si="16"/>
      </c>
      <c r="AB36" s="132"/>
    </row>
    <row r="37" spans="1:28" s="16" customFormat="1" ht="16.5" customHeight="1">
      <c r="A37" s="49"/>
      <c r="B37" s="162"/>
      <c r="C37" s="640"/>
      <c r="D37" s="686"/>
      <c r="E37" s="690"/>
      <c r="F37" s="688"/>
      <c r="G37" s="689"/>
      <c r="H37" s="564">
        <f t="shared" si="0"/>
        <v>0</v>
      </c>
      <c r="I37" s="695"/>
      <c r="J37" s="695"/>
      <c r="K37" s="40">
        <f t="shared" si="1"/>
      </c>
      <c r="L37" s="41">
        <f t="shared" si="2"/>
      </c>
      <c r="M37" s="697"/>
      <c r="N37" s="685">
        <f t="shared" si="3"/>
      </c>
      <c r="O37" s="698">
        <f t="shared" si="4"/>
      </c>
      <c r="P37" s="661">
        <f t="shared" si="5"/>
      </c>
      <c r="Q37" s="414">
        <f t="shared" si="6"/>
        <v>20</v>
      </c>
      <c r="R37" s="419" t="str">
        <f t="shared" si="7"/>
        <v>--</v>
      </c>
      <c r="S37" s="425" t="str">
        <f t="shared" si="8"/>
        <v>--</v>
      </c>
      <c r="T37" s="432" t="str">
        <f t="shared" si="9"/>
        <v>--</v>
      </c>
      <c r="U37" s="433" t="str">
        <f t="shared" si="10"/>
        <v>--</v>
      </c>
      <c r="V37" s="444" t="str">
        <f t="shared" si="11"/>
        <v>--</v>
      </c>
      <c r="W37" s="445" t="str">
        <f t="shared" si="12"/>
        <v>--</v>
      </c>
      <c r="X37" s="454" t="str">
        <f t="shared" si="13"/>
        <v>--</v>
      </c>
      <c r="Y37" s="459" t="str">
        <f t="shared" si="14"/>
        <v>--</v>
      </c>
      <c r="Z37" s="43">
        <f t="shared" si="15"/>
      </c>
      <c r="AA37" s="192">
        <f t="shared" si="16"/>
      </c>
      <c r="AB37" s="132"/>
    </row>
    <row r="38" spans="1:28" s="16" customFormat="1" ht="16.5" customHeight="1">
      <c r="A38" s="49"/>
      <c r="B38" s="162"/>
      <c r="C38" s="640"/>
      <c r="D38" s="686"/>
      <c r="E38" s="690"/>
      <c r="F38" s="688"/>
      <c r="G38" s="689"/>
      <c r="H38" s="564">
        <f t="shared" si="0"/>
        <v>0</v>
      </c>
      <c r="I38" s="695"/>
      <c r="J38" s="695"/>
      <c r="K38" s="40">
        <f t="shared" si="1"/>
      </c>
      <c r="L38" s="41">
        <f t="shared" si="2"/>
      </c>
      <c r="M38" s="697"/>
      <c r="N38" s="685">
        <f t="shared" si="3"/>
      </c>
      <c r="O38" s="698">
        <f t="shared" si="4"/>
      </c>
      <c r="P38" s="661">
        <f t="shared" si="5"/>
      </c>
      <c r="Q38" s="414">
        <f t="shared" si="6"/>
        <v>20</v>
      </c>
      <c r="R38" s="419" t="str">
        <f t="shared" si="7"/>
        <v>--</v>
      </c>
      <c r="S38" s="425" t="str">
        <f t="shared" si="8"/>
        <v>--</v>
      </c>
      <c r="T38" s="432" t="str">
        <f t="shared" si="9"/>
        <v>--</v>
      </c>
      <c r="U38" s="433" t="str">
        <f t="shared" si="10"/>
        <v>--</v>
      </c>
      <c r="V38" s="444" t="str">
        <f t="shared" si="11"/>
        <v>--</v>
      </c>
      <c r="W38" s="445" t="str">
        <f t="shared" si="12"/>
        <v>--</v>
      </c>
      <c r="X38" s="454" t="str">
        <f t="shared" si="13"/>
        <v>--</v>
      </c>
      <c r="Y38" s="459" t="str">
        <f t="shared" si="14"/>
        <v>--</v>
      </c>
      <c r="Z38" s="43">
        <f t="shared" si="15"/>
      </c>
      <c r="AA38" s="192">
        <f t="shared" si="16"/>
      </c>
      <c r="AB38" s="132"/>
    </row>
    <row r="39" spans="1:28" s="16" customFormat="1" ht="16.5" customHeight="1">
      <c r="A39" s="49"/>
      <c r="B39" s="162"/>
      <c r="C39" s="640"/>
      <c r="D39" s="686"/>
      <c r="E39" s="690"/>
      <c r="F39" s="688"/>
      <c r="G39" s="689"/>
      <c r="H39" s="564">
        <f t="shared" si="0"/>
        <v>0</v>
      </c>
      <c r="I39" s="695"/>
      <c r="J39" s="695"/>
      <c r="K39" s="40">
        <f t="shared" si="1"/>
      </c>
      <c r="L39" s="41">
        <f t="shared" si="2"/>
      </c>
      <c r="M39" s="697"/>
      <c r="N39" s="685">
        <f t="shared" si="3"/>
      </c>
      <c r="O39" s="698">
        <f t="shared" si="4"/>
      </c>
      <c r="P39" s="661">
        <f t="shared" si="5"/>
      </c>
      <c r="Q39" s="414">
        <f t="shared" si="6"/>
        <v>20</v>
      </c>
      <c r="R39" s="419" t="str">
        <f t="shared" si="7"/>
        <v>--</v>
      </c>
      <c r="S39" s="425" t="str">
        <f t="shared" si="8"/>
        <v>--</v>
      </c>
      <c r="T39" s="432" t="str">
        <f t="shared" si="9"/>
        <v>--</v>
      </c>
      <c r="U39" s="433" t="str">
        <f t="shared" si="10"/>
        <v>--</v>
      </c>
      <c r="V39" s="444" t="str">
        <f t="shared" si="11"/>
        <v>--</v>
      </c>
      <c r="W39" s="445" t="str">
        <f t="shared" si="12"/>
        <v>--</v>
      </c>
      <c r="X39" s="454" t="str">
        <f t="shared" si="13"/>
        <v>--</v>
      </c>
      <c r="Y39" s="459" t="str">
        <f t="shared" si="14"/>
        <v>--</v>
      </c>
      <c r="Z39" s="43">
        <f t="shared" si="15"/>
      </c>
      <c r="AA39" s="192">
        <f t="shared" si="16"/>
      </c>
      <c r="AB39" s="132"/>
    </row>
    <row r="40" spans="1:28" s="16" customFormat="1" ht="16.5" customHeight="1">
      <c r="A40" s="49"/>
      <c r="B40" s="162"/>
      <c r="C40" s="640"/>
      <c r="D40" s="686"/>
      <c r="E40" s="690"/>
      <c r="F40" s="688"/>
      <c r="G40" s="689"/>
      <c r="H40" s="564">
        <f t="shared" si="0"/>
        <v>0</v>
      </c>
      <c r="I40" s="695"/>
      <c r="J40" s="695"/>
      <c r="K40" s="40">
        <f t="shared" si="1"/>
      </c>
      <c r="L40" s="41">
        <f t="shared" si="2"/>
      </c>
      <c r="M40" s="697"/>
      <c r="N40" s="685">
        <f t="shared" si="3"/>
      </c>
      <c r="O40" s="698">
        <f t="shared" si="4"/>
      </c>
      <c r="P40" s="661">
        <f t="shared" si="5"/>
      </c>
      <c r="Q40" s="414">
        <f t="shared" si="6"/>
        <v>20</v>
      </c>
      <c r="R40" s="419" t="str">
        <f t="shared" si="7"/>
        <v>--</v>
      </c>
      <c r="S40" s="425" t="str">
        <f t="shared" si="8"/>
        <v>--</v>
      </c>
      <c r="T40" s="432" t="str">
        <f t="shared" si="9"/>
        <v>--</v>
      </c>
      <c r="U40" s="433" t="str">
        <f t="shared" si="10"/>
        <v>--</v>
      </c>
      <c r="V40" s="444" t="str">
        <f t="shared" si="11"/>
        <v>--</v>
      </c>
      <c r="W40" s="445" t="str">
        <f t="shared" si="12"/>
        <v>--</v>
      </c>
      <c r="X40" s="454" t="str">
        <f t="shared" si="13"/>
        <v>--</v>
      </c>
      <c r="Y40" s="459" t="str">
        <f t="shared" si="14"/>
        <v>--</v>
      </c>
      <c r="Z40" s="43">
        <f t="shared" si="15"/>
      </c>
      <c r="AA40" s="192">
        <f t="shared" si="16"/>
      </c>
      <c r="AB40" s="132"/>
    </row>
    <row r="41" spans="1:28" s="16" customFormat="1" ht="16.5" customHeight="1">
      <c r="A41" s="49"/>
      <c r="B41" s="162"/>
      <c r="C41" s="640"/>
      <c r="D41" s="686"/>
      <c r="E41" s="690"/>
      <c r="F41" s="688"/>
      <c r="G41" s="689"/>
      <c r="H41" s="564">
        <f t="shared" si="0"/>
        <v>0</v>
      </c>
      <c r="I41" s="695"/>
      <c r="J41" s="695"/>
      <c r="K41" s="40">
        <f t="shared" si="1"/>
      </c>
      <c r="L41" s="41">
        <f t="shared" si="2"/>
      </c>
      <c r="M41" s="697"/>
      <c r="N41" s="685">
        <f t="shared" si="3"/>
      </c>
      <c r="O41" s="698">
        <f t="shared" si="4"/>
      </c>
      <c r="P41" s="661">
        <f t="shared" si="5"/>
      </c>
      <c r="Q41" s="414">
        <f t="shared" si="6"/>
        <v>20</v>
      </c>
      <c r="R41" s="419" t="str">
        <f t="shared" si="7"/>
        <v>--</v>
      </c>
      <c r="S41" s="425" t="str">
        <f t="shared" si="8"/>
        <v>--</v>
      </c>
      <c r="T41" s="432" t="str">
        <f t="shared" si="9"/>
        <v>--</v>
      </c>
      <c r="U41" s="433" t="str">
        <f t="shared" si="10"/>
        <v>--</v>
      </c>
      <c r="V41" s="444" t="str">
        <f t="shared" si="11"/>
        <v>--</v>
      </c>
      <c r="W41" s="445" t="str">
        <f t="shared" si="12"/>
        <v>--</v>
      </c>
      <c r="X41" s="454" t="str">
        <f t="shared" si="13"/>
        <v>--</v>
      </c>
      <c r="Y41" s="459" t="str">
        <f t="shared" si="14"/>
        <v>--</v>
      </c>
      <c r="Z41" s="43">
        <f t="shared" si="15"/>
      </c>
      <c r="AA41" s="192">
        <f t="shared" si="16"/>
      </c>
      <c r="AB41" s="132"/>
    </row>
    <row r="42" spans="1:28" s="16" customFormat="1" ht="16.5" customHeight="1">
      <c r="A42" s="49"/>
      <c r="B42" s="162"/>
      <c r="C42" s="640"/>
      <c r="D42" s="686"/>
      <c r="E42" s="690"/>
      <c r="F42" s="688"/>
      <c r="G42" s="689"/>
      <c r="H42" s="564">
        <f t="shared" si="0"/>
        <v>0</v>
      </c>
      <c r="I42" s="695"/>
      <c r="J42" s="695"/>
      <c r="K42" s="40">
        <f t="shared" si="1"/>
      </c>
      <c r="L42" s="41">
        <f t="shared" si="2"/>
      </c>
      <c r="M42" s="697"/>
      <c r="N42" s="685">
        <f t="shared" si="3"/>
      </c>
      <c r="O42" s="698">
        <f t="shared" si="4"/>
      </c>
      <c r="P42" s="661">
        <f t="shared" si="5"/>
      </c>
      <c r="Q42" s="414">
        <f t="shared" si="6"/>
        <v>20</v>
      </c>
      <c r="R42" s="419" t="str">
        <f t="shared" si="7"/>
        <v>--</v>
      </c>
      <c r="S42" s="425" t="str">
        <f t="shared" si="8"/>
        <v>--</v>
      </c>
      <c r="T42" s="432" t="str">
        <f t="shared" si="9"/>
        <v>--</v>
      </c>
      <c r="U42" s="433" t="str">
        <f t="shared" si="10"/>
        <v>--</v>
      </c>
      <c r="V42" s="444" t="str">
        <f t="shared" si="11"/>
        <v>--</v>
      </c>
      <c r="W42" s="445" t="str">
        <f t="shared" si="12"/>
        <v>--</v>
      </c>
      <c r="X42" s="454" t="str">
        <f t="shared" si="13"/>
        <v>--</v>
      </c>
      <c r="Y42" s="459" t="str">
        <f t="shared" si="14"/>
        <v>--</v>
      </c>
      <c r="Z42" s="43">
        <f t="shared" si="15"/>
      </c>
      <c r="AA42" s="192">
        <f t="shared" si="16"/>
      </c>
      <c r="AB42" s="132"/>
    </row>
    <row r="43" spans="1:28" s="16" customFormat="1" ht="16.5" customHeight="1" thickBot="1">
      <c r="A43" s="49"/>
      <c r="B43" s="162"/>
      <c r="C43" s="691"/>
      <c r="D43" s="692"/>
      <c r="E43" s="693"/>
      <c r="F43" s="692"/>
      <c r="G43" s="694"/>
      <c r="H43" s="319"/>
      <c r="I43" s="691"/>
      <c r="J43" s="696"/>
      <c r="K43" s="46"/>
      <c r="L43" s="47"/>
      <c r="M43" s="699"/>
      <c r="N43" s="673"/>
      <c r="O43" s="700"/>
      <c r="P43" s="699"/>
      <c r="Q43" s="415"/>
      <c r="R43" s="420"/>
      <c r="S43" s="426"/>
      <c r="T43" s="434"/>
      <c r="U43" s="435"/>
      <c r="V43" s="446"/>
      <c r="W43" s="447"/>
      <c r="X43" s="455"/>
      <c r="Y43" s="460"/>
      <c r="Z43" s="48"/>
      <c r="AA43" s="193"/>
      <c r="AB43" s="132"/>
    </row>
    <row r="44" spans="1:28" s="16" customFormat="1" ht="16.5" customHeight="1" thickBot="1" thickTop="1">
      <c r="A44" s="49"/>
      <c r="B44" s="162"/>
      <c r="C44" s="251" t="s">
        <v>89</v>
      </c>
      <c r="D44" s="252" t="s">
        <v>90</v>
      </c>
      <c r="E44" s="50"/>
      <c r="F44" s="50"/>
      <c r="G44" s="50"/>
      <c r="H44" s="50"/>
      <c r="I44" s="50"/>
      <c r="J44" s="51"/>
      <c r="K44" s="50"/>
      <c r="L44" s="50"/>
      <c r="M44" s="50"/>
      <c r="N44" s="50"/>
      <c r="O44" s="50"/>
      <c r="P44" s="50"/>
      <c r="Q44" s="50"/>
      <c r="R44" s="421">
        <f aca="true" t="shared" si="17" ref="R44:Y44">SUM(R20:R43)</f>
        <v>4165.700000000001</v>
      </c>
      <c r="S44" s="427">
        <f t="shared" si="17"/>
        <v>0</v>
      </c>
      <c r="T44" s="436">
        <f t="shared" si="17"/>
        <v>4004</v>
      </c>
      <c r="U44" s="437">
        <f t="shared" si="17"/>
        <v>30011.519999999997</v>
      </c>
      <c r="V44" s="448">
        <f t="shared" si="17"/>
        <v>0</v>
      </c>
      <c r="W44" s="449">
        <f t="shared" si="17"/>
        <v>0</v>
      </c>
      <c r="X44" s="500">
        <f t="shared" si="17"/>
        <v>0</v>
      </c>
      <c r="Y44" s="501">
        <f t="shared" si="17"/>
        <v>0</v>
      </c>
      <c r="Z44" s="49"/>
      <c r="AA44" s="752">
        <f>ROUND(SUM(AA20:AA43),2)</f>
        <v>38181.22</v>
      </c>
      <c r="AB44" s="132"/>
    </row>
    <row r="45" spans="1:28" s="255" customFormat="1" ht="9.75" thickTop="1">
      <c r="A45" s="265"/>
      <c r="B45" s="266"/>
      <c r="C45" s="253"/>
      <c r="D45" s="254" t="s">
        <v>91</v>
      </c>
      <c r="E45" s="267"/>
      <c r="F45" s="267"/>
      <c r="G45" s="267"/>
      <c r="H45" s="267"/>
      <c r="I45" s="267"/>
      <c r="J45" s="268"/>
      <c r="K45" s="267"/>
      <c r="L45" s="267"/>
      <c r="M45" s="267"/>
      <c r="N45" s="267"/>
      <c r="O45" s="267"/>
      <c r="P45" s="267"/>
      <c r="Q45" s="267"/>
      <c r="R45" s="270"/>
      <c r="S45" s="270"/>
      <c r="T45" s="270"/>
      <c r="U45" s="270"/>
      <c r="V45" s="270"/>
      <c r="W45" s="270"/>
      <c r="X45" s="270"/>
      <c r="Y45" s="270"/>
      <c r="Z45" s="265"/>
      <c r="AA45" s="269"/>
      <c r="AB45" s="271"/>
    </row>
    <row r="46" spans="1:28" s="16" customFormat="1" ht="16.5" customHeight="1" thickBot="1">
      <c r="A46" s="49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7"/>
    </row>
    <row r="47" spans="1:29" ht="16.5" customHeight="1" thickTop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6.5" customHeight="1">
      <c r="A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4:29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>
      <c r="AC158" s="5"/>
    </row>
    <row r="159" ht="16.5" customHeight="1"/>
    <row r="160" ht="16.5" customHeight="1"/>
    <row r="1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E1">
      <selection activeCell="G21" sqref="G20:G2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7" customFormat="1" ht="26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626"/>
    </row>
    <row r="2" spans="1:28" s="77" customFormat="1" ht="26.25">
      <c r="A2" s="127"/>
      <c r="B2" s="170" t="str">
        <f>+'tot-0501'!B2</f>
        <v>ANEXO I a la Resolución E.N.R.E. N°             586 /2007</v>
      </c>
      <c r="C2" s="170"/>
      <c r="D2" s="170"/>
      <c r="E2" s="78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s="16" customFormat="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s="84" customFormat="1" ht="11.25">
      <c r="A4" s="194" t="s">
        <v>93</v>
      </c>
      <c r="B4" s="195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28" s="84" customFormat="1" ht="11.25">
      <c r="A5" s="194" t="s">
        <v>47</v>
      </c>
      <c r="B5" s="195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</row>
    <row r="6" spans="1:28" s="16" customFormat="1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s="16" customFormat="1" ht="13.5" thickTop="1">
      <c r="A7" s="4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31"/>
    </row>
    <row r="8" spans="1:28" s="10" customFormat="1" ht="20.25">
      <c r="A8" s="172"/>
      <c r="B8" s="173"/>
      <c r="C8" s="172"/>
      <c r="D8" s="175" t="s">
        <v>62</v>
      </c>
      <c r="E8" s="172"/>
      <c r="F8" s="172"/>
      <c r="G8" s="174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34"/>
      <c r="S8" s="34"/>
      <c r="T8" s="34"/>
      <c r="U8" s="34"/>
      <c r="V8" s="34"/>
      <c r="W8" s="34"/>
      <c r="X8" s="34"/>
      <c r="Y8" s="34"/>
      <c r="Z8" s="34"/>
      <c r="AA8" s="34"/>
      <c r="AB8" s="144"/>
    </row>
    <row r="9" spans="1:28" s="16" customFormat="1" ht="12.75">
      <c r="A9" s="49"/>
      <c r="B9" s="162"/>
      <c r="C9" s="49"/>
      <c r="D9" s="50"/>
      <c r="E9" s="168"/>
      <c r="F9" s="49"/>
      <c r="G9" s="50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50"/>
      <c r="T9" s="50"/>
      <c r="U9" s="50"/>
      <c r="V9" s="50"/>
      <c r="W9" s="50"/>
      <c r="X9" s="50"/>
      <c r="Y9" s="50"/>
      <c r="Z9" s="50"/>
      <c r="AA9" s="50"/>
      <c r="AB9" s="132"/>
    </row>
    <row r="10" spans="1:28" s="10" customFormat="1" ht="20.25">
      <c r="A10" s="172"/>
      <c r="B10" s="173"/>
      <c r="C10" s="172"/>
      <c r="D10" s="7" t="s">
        <v>197</v>
      </c>
      <c r="E10" s="172"/>
      <c r="F10" s="52"/>
      <c r="G10" s="34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144"/>
    </row>
    <row r="11" spans="1:28" s="16" customFormat="1" ht="12.75">
      <c r="A11" s="49"/>
      <c r="B11" s="162"/>
      <c r="C11" s="49"/>
      <c r="D11" s="50"/>
      <c r="E11" s="50"/>
      <c r="F11" s="50"/>
      <c r="G11" s="163"/>
      <c r="H11" s="50"/>
      <c r="I11" s="50"/>
      <c r="J11" s="50"/>
      <c r="K11" s="50"/>
      <c r="L11" s="50"/>
      <c r="M11" s="49"/>
      <c r="N11" s="49"/>
      <c r="O11" s="49"/>
      <c r="P11" s="49"/>
      <c r="Q11" s="49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132"/>
    </row>
    <row r="12" spans="1:28" s="15" customFormat="1" ht="19.5">
      <c r="A12" s="177"/>
      <c r="B12" s="178" t="str">
        <f>+'tot-0501'!B14</f>
        <v>Desde el 01 al 31 de enero de 2005</v>
      </c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79"/>
      <c r="N12" s="179"/>
      <c r="O12" s="179"/>
      <c r="P12" s="179"/>
      <c r="Q12" s="179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1"/>
    </row>
    <row r="13" spans="1:28" s="16" customFormat="1" ht="13.5" thickBot="1">
      <c r="A13" s="49"/>
      <c r="B13" s="162"/>
      <c r="C13" s="49"/>
      <c r="D13" s="50"/>
      <c r="E13" s="50"/>
      <c r="F13" s="50"/>
      <c r="G13" s="163"/>
      <c r="H13" s="50"/>
      <c r="I13" s="50"/>
      <c r="J13" s="50"/>
      <c r="K13" s="50"/>
      <c r="L13" s="50"/>
      <c r="M13" s="49"/>
      <c r="N13" s="49"/>
      <c r="O13" s="49"/>
      <c r="P13" s="49"/>
      <c r="Q13" s="49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132"/>
    </row>
    <row r="14" spans="1:28" s="16" customFormat="1" ht="16.5" customHeight="1" thickBot="1" thickTop="1">
      <c r="A14" s="49"/>
      <c r="B14" s="162"/>
      <c r="C14" s="49"/>
      <c r="D14" s="320" t="s">
        <v>95</v>
      </c>
      <c r="E14" s="321"/>
      <c r="F14" s="322">
        <v>0.059</v>
      </c>
      <c r="H14" s="49"/>
      <c r="I14" s="49"/>
      <c r="J14" s="49"/>
      <c r="K14" s="49"/>
      <c r="L14" s="49"/>
      <c r="M14" s="49"/>
      <c r="N14" s="49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132"/>
    </row>
    <row r="15" spans="1:28" s="16" customFormat="1" ht="16.5" customHeight="1" thickBot="1" thickTop="1">
      <c r="A15" s="49"/>
      <c r="B15" s="162"/>
      <c r="C15" s="49"/>
      <c r="D15" s="182" t="s">
        <v>96</v>
      </c>
      <c r="E15" s="183"/>
      <c r="F15" s="184">
        <v>200</v>
      </c>
      <c r="G15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  <c r="V15" s="51"/>
      <c r="W15" s="51"/>
      <c r="X15" s="51"/>
      <c r="Y15" s="51"/>
      <c r="Z15" s="51"/>
      <c r="AA15" s="49"/>
      <c r="AB15" s="132"/>
    </row>
    <row r="16" spans="1:28" s="16" customFormat="1" ht="16.5" customHeight="1" thickBot="1" thickTop="1">
      <c r="A16" s="49"/>
      <c r="B16" s="162"/>
      <c r="C16" s="49"/>
      <c r="D16" s="50"/>
      <c r="E16" s="50"/>
      <c r="F16" s="50"/>
      <c r="G16" s="164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132"/>
    </row>
    <row r="17" spans="1:28" s="16" customFormat="1" ht="33.75" customHeight="1" thickBot="1" thickTop="1">
      <c r="A17" s="49"/>
      <c r="B17" s="162"/>
      <c r="C17" s="185" t="s">
        <v>67</v>
      </c>
      <c r="D17" s="188" t="s">
        <v>97</v>
      </c>
      <c r="E17" s="186" t="s">
        <v>41</v>
      </c>
      <c r="F17" s="189" t="s">
        <v>98</v>
      </c>
      <c r="G17" s="190" t="s">
        <v>68</v>
      </c>
      <c r="H17" s="317" t="s">
        <v>72</v>
      </c>
      <c r="I17" s="186" t="s">
        <v>73</v>
      </c>
      <c r="J17" s="186" t="s">
        <v>74</v>
      </c>
      <c r="K17" s="188" t="s">
        <v>99</v>
      </c>
      <c r="L17" s="188" t="s">
        <v>76</v>
      </c>
      <c r="M17" s="154" t="s">
        <v>77</v>
      </c>
      <c r="N17" s="154" t="s">
        <v>78</v>
      </c>
      <c r="O17" s="187" t="s">
        <v>80</v>
      </c>
      <c r="P17" s="186" t="s">
        <v>100</v>
      </c>
      <c r="Q17" s="411" t="s">
        <v>71</v>
      </c>
      <c r="R17" s="416" t="s">
        <v>81</v>
      </c>
      <c r="S17" s="422" t="s">
        <v>82</v>
      </c>
      <c r="T17" s="314" t="s">
        <v>101</v>
      </c>
      <c r="U17" s="316"/>
      <c r="V17" s="438" t="s">
        <v>102</v>
      </c>
      <c r="W17" s="439"/>
      <c r="X17" s="451" t="s">
        <v>85</v>
      </c>
      <c r="Y17" s="456" t="s">
        <v>86</v>
      </c>
      <c r="Z17" s="156" t="s">
        <v>87</v>
      </c>
      <c r="AA17" s="190" t="s">
        <v>88</v>
      </c>
      <c r="AB17" s="132"/>
    </row>
    <row r="18" spans="1:28" s="16" customFormat="1" ht="16.5" customHeight="1" thickTop="1">
      <c r="A18" s="49"/>
      <c r="B18" s="162"/>
      <c r="C18" s="408"/>
      <c r="D18" s="408"/>
      <c r="E18" s="408"/>
      <c r="F18" s="408"/>
      <c r="G18" s="409"/>
      <c r="H18" s="407"/>
      <c r="I18" s="408"/>
      <c r="J18" s="408"/>
      <c r="K18" s="408"/>
      <c r="L18" s="408"/>
      <c r="M18" s="408"/>
      <c r="N18" s="384"/>
      <c r="O18" s="410"/>
      <c r="P18" s="408"/>
      <c r="Q18" s="412"/>
      <c r="R18" s="417"/>
      <c r="S18" s="423"/>
      <c r="T18" s="428"/>
      <c r="U18" s="429"/>
      <c r="V18" s="440"/>
      <c r="W18" s="441"/>
      <c r="X18" s="452"/>
      <c r="Y18" s="457"/>
      <c r="Z18" s="410"/>
      <c r="AA18" s="567"/>
      <c r="AB18" s="132"/>
    </row>
    <row r="19" spans="1:28" s="16" customFormat="1" ht="16.5" customHeight="1">
      <c r="A19" s="49"/>
      <c r="B19" s="162"/>
      <c r="C19" s="36"/>
      <c r="D19" s="36"/>
      <c r="E19" s="36"/>
      <c r="F19" s="36"/>
      <c r="G19" s="37"/>
      <c r="H19" s="324"/>
      <c r="I19" s="36"/>
      <c r="J19" s="36"/>
      <c r="K19" s="36"/>
      <c r="L19" s="36"/>
      <c r="M19" s="36"/>
      <c r="N19" s="18"/>
      <c r="O19" s="38"/>
      <c r="P19" s="36"/>
      <c r="Q19" s="413"/>
      <c r="R19" s="418"/>
      <c r="S19" s="424"/>
      <c r="T19" s="430"/>
      <c r="U19" s="431"/>
      <c r="V19" s="442"/>
      <c r="W19" s="443"/>
      <c r="X19" s="453"/>
      <c r="Y19" s="458"/>
      <c r="Z19" s="38"/>
      <c r="AA19" s="191"/>
      <c r="AB19" s="132"/>
    </row>
    <row r="20" spans="1:28" s="16" customFormat="1" ht="16.5" customHeight="1">
      <c r="A20" s="49"/>
      <c r="B20" s="162"/>
      <c r="C20" s="640" t="s">
        <v>177</v>
      </c>
      <c r="D20" s="753" t="s">
        <v>29</v>
      </c>
      <c r="E20" s="753" t="s">
        <v>30</v>
      </c>
      <c r="F20" s="753">
        <v>300</v>
      </c>
      <c r="G20" s="753" t="s">
        <v>15</v>
      </c>
      <c r="H20" s="564">
        <f aca="true" t="shared" si="0" ref="H20:H39">F20*$F$14</f>
        <v>17.7</v>
      </c>
      <c r="I20" s="695">
        <v>38354.35486111111</v>
      </c>
      <c r="J20" s="695">
        <v>38354.791666666664</v>
      </c>
      <c r="K20" s="40">
        <f aca="true" t="shared" si="1" ref="K20:K39">IF(D20="","",(J20-I20)*24)</f>
        <v>10.483333333279006</v>
      </c>
      <c r="L20" s="41">
        <f aca="true" t="shared" si="2" ref="L20:L39">IF(D20="","",ROUND((J20-I20)*24*60,0))</f>
        <v>629</v>
      </c>
      <c r="M20" s="697" t="s">
        <v>175</v>
      </c>
      <c r="N20" s="685" t="str">
        <f aca="true" t="shared" si="3" ref="N20:N39">IF(D20="","","--")</f>
        <v>--</v>
      </c>
      <c r="O20" s="698" t="str">
        <f>IF(D20="","",IF(OR(M20="P",M20="RP"),"--","NO"))</f>
        <v>--</v>
      </c>
      <c r="P20" s="661" t="str">
        <f aca="true" t="shared" si="4" ref="P20:P39">IF(D20="","","NO")</f>
        <v>NO</v>
      </c>
      <c r="Q20" s="718">
        <f aca="true" t="shared" si="5" ref="Q20:Q39">$F$15*IF(OR(M20="P",M20="RP"),0.1,1)*IF(P20="SI",1,0.1)</f>
        <v>2</v>
      </c>
      <c r="R20" s="701">
        <f aca="true" t="shared" si="6" ref="R20:R39">IF(M20="P",H20*Q20*ROUND(L20/60,2),"--")</f>
        <v>370.992</v>
      </c>
      <c r="S20" s="702" t="str">
        <f aca="true" t="shared" si="7" ref="S20:S39">IF(M20="RP",H20*Q20*N20/100*ROUND(L20/60,2),"--")</f>
        <v>--</v>
      </c>
      <c r="T20" s="703" t="str">
        <f aca="true" t="shared" si="8" ref="T20:T39">IF(AND(M20="F",O20="NO"),H20*Q20,"--")</f>
        <v>--</v>
      </c>
      <c r="U20" s="704" t="str">
        <f aca="true" t="shared" si="9" ref="U20:U39">IF(M20="F",H20*Q20*ROUND(L20/60,2),"--")</f>
        <v>--</v>
      </c>
      <c r="V20" s="705" t="str">
        <f aca="true" t="shared" si="10" ref="V20:V39">IF(AND(M20="R",O20="NO"),H20*Q20*N20/100,"--")</f>
        <v>--</v>
      </c>
      <c r="W20" s="706" t="str">
        <f aca="true" t="shared" si="11" ref="W20:W39">IF(M20="R",H20*Q20*N20/100*ROUND(L20/60,2),"--")</f>
        <v>--</v>
      </c>
      <c r="X20" s="707" t="str">
        <f aca="true" t="shared" si="12" ref="X20:X39">IF(M20="RF",H20*Q20*ROUND(L20/60,2),"--")</f>
        <v>--</v>
      </c>
      <c r="Y20" s="708" t="str">
        <f aca="true" t="shared" si="13" ref="Y20:Y39">IF(M20="RR",H20*Q20*N20/100*ROUND(L20/60,2),"--")</f>
        <v>--</v>
      </c>
      <c r="Z20" s="719" t="str">
        <f aca="true" t="shared" si="14" ref="Z20:Z39">IF(D20="","","SI")</f>
        <v>SI</v>
      </c>
      <c r="AA20" s="192">
        <f aca="true" t="shared" si="15" ref="AA20:AA39">IF(D20="","",SUM(R20:Y20)*IF(Z20="SI",1,2))</f>
        <v>370.992</v>
      </c>
      <c r="AB20" s="132"/>
    </row>
    <row r="21" spans="1:28" s="16" customFormat="1" ht="16.5" customHeight="1">
      <c r="A21" s="49"/>
      <c r="B21" s="162"/>
      <c r="C21" s="640" t="s">
        <v>178</v>
      </c>
      <c r="D21" s="753" t="s">
        <v>29</v>
      </c>
      <c r="E21" s="753" t="s">
        <v>30</v>
      </c>
      <c r="F21" s="753">
        <v>300</v>
      </c>
      <c r="G21" s="753" t="s">
        <v>15</v>
      </c>
      <c r="H21" s="564">
        <f t="shared" si="0"/>
        <v>17.7</v>
      </c>
      <c r="I21" s="695">
        <v>38355.4625</v>
      </c>
      <c r="J21" s="695">
        <v>38355.64444444444</v>
      </c>
      <c r="K21" s="40">
        <f t="shared" si="1"/>
        <v>4.366666666581295</v>
      </c>
      <c r="L21" s="41">
        <f t="shared" si="2"/>
        <v>262</v>
      </c>
      <c r="M21" s="697" t="s">
        <v>175</v>
      </c>
      <c r="N21" s="685" t="str">
        <f t="shared" si="3"/>
        <v>--</v>
      </c>
      <c r="O21" s="698" t="str">
        <f aca="true" t="shared" si="16" ref="O21:O39">IF(D21="","",IF(M21="P","--","NO"))</f>
        <v>--</v>
      </c>
      <c r="P21" s="661" t="str">
        <f t="shared" si="4"/>
        <v>NO</v>
      </c>
      <c r="Q21" s="718">
        <f t="shared" si="5"/>
        <v>2</v>
      </c>
      <c r="R21" s="701">
        <f t="shared" si="6"/>
        <v>154.698</v>
      </c>
      <c r="S21" s="702" t="str">
        <f t="shared" si="7"/>
        <v>--</v>
      </c>
      <c r="T21" s="703" t="str">
        <f t="shared" si="8"/>
        <v>--</v>
      </c>
      <c r="U21" s="704" t="str">
        <f t="shared" si="9"/>
        <v>--</v>
      </c>
      <c r="V21" s="705" t="str">
        <f t="shared" si="10"/>
        <v>--</v>
      </c>
      <c r="W21" s="706" t="str">
        <f t="shared" si="11"/>
        <v>--</v>
      </c>
      <c r="X21" s="707" t="str">
        <f t="shared" si="12"/>
        <v>--</v>
      </c>
      <c r="Y21" s="708" t="str">
        <f t="shared" si="13"/>
        <v>--</v>
      </c>
      <c r="Z21" s="719" t="str">
        <f t="shared" si="14"/>
        <v>SI</v>
      </c>
      <c r="AA21" s="192">
        <f t="shared" si="15"/>
        <v>154.698</v>
      </c>
      <c r="AB21" s="132"/>
    </row>
    <row r="22" spans="1:28" s="16" customFormat="1" ht="16.5" customHeight="1">
      <c r="A22" s="49"/>
      <c r="B22" s="162"/>
      <c r="C22" s="640" t="s">
        <v>179</v>
      </c>
      <c r="D22" s="753" t="s">
        <v>29</v>
      </c>
      <c r="E22" s="753" t="s">
        <v>30</v>
      </c>
      <c r="F22" s="753">
        <v>300</v>
      </c>
      <c r="G22" s="753" t="s">
        <v>15</v>
      </c>
      <c r="H22" s="564">
        <f t="shared" si="0"/>
        <v>17.7</v>
      </c>
      <c r="I22" s="695">
        <v>38356.35833333333</v>
      </c>
      <c r="J22" s="695">
        <v>38356.688888888886</v>
      </c>
      <c r="K22" s="40">
        <f t="shared" si="1"/>
        <v>7.933333333348855</v>
      </c>
      <c r="L22" s="41">
        <f t="shared" si="2"/>
        <v>476</v>
      </c>
      <c r="M22" s="697" t="s">
        <v>175</v>
      </c>
      <c r="N22" s="685" t="str">
        <f t="shared" si="3"/>
        <v>--</v>
      </c>
      <c r="O22" s="698" t="str">
        <f t="shared" si="16"/>
        <v>--</v>
      </c>
      <c r="P22" s="661" t="str">
        <f t="shared" si="4"/>
        <v>NO</v>
      </c>
      <c r="Q22" s="718">
        <f t="shared" si="5"/>
        <v>2</v>
      </c>
      <c r="R22" s="701">
        <f t="shared" si="6"/>
        <v>280.722</v>
      </c>
      <c r="S22" s="702" t="str">
        <f t="shared" si="7"/>
        <v>--</v>
      </c>
      <c r="T22" s="703" t="str">
        <f t="shared" si="8"/>
        <v>--</v>
      </c>
      <c r="U22" s="704" t="str">
        <f t="shared" si="9"/>
        <v>--</v>
      </c>
      <c r="V22" s="705" t="str">
        <f t="shared" si="10"/>
        <v>--</v>
      </c>
      <c r="W22" s="706" t="str">
        <f t="shared" si="11"/>
        <v>--</v>
      </c>
      <c r="X22" s="707" t="str">
        <f t="shared" si="12"/>
        <v>--</v>
      </c>
      <c r="Y22" s="708" t="str">
        <f t="shared" si="13"/>
        <v>--</v>
      </c>
      <c r="Z22" s="719" t="str">
        <f t="shared" si="14"/>
        <v>SI</v>
      </c>
      <c r="AA22" s="192">
        <f t="shared" si="15"/>
        <v>280.722</v>
      </c>
      <c r="AB22" s="132"/>
    </row>
    <row r="23" spans="1:28" s="16" customFormat="1" ht="16.5" customHeight="1">
      <c r="A23" s="49"/>
      <c r="B23" s="162"/>
      <c r="C23" s="640"/>
      <c r="D23" s="686"/>
      <c r="E23" s="687"/>
      <c r="F23" s="688"/>
      <c r="G23" s="689"/>
      <c r="H23" s="564">
        <f t="shared" si="0"/>
        <v>0</v>
      </c>
      <c r="I23" s="695"/>
      <c r="J23" s="695"/>
      <c r="K23" s="40">
        <f t="shared" si="1"/>
      </c>
      <c r="L23" s="41">
        <f t="shared" si="2"/>
      </c>
      <c r="M23" s="697"/>
      <c r="N23" s="685">
        <f t="shared" si="3"/>
      </c>
      <c r="O23" s="698">
        <f t="shared" si="16"/>
      </c>
      <c r="P23" s="661">
        <f t="shared" si="4"/>
      </c>
      <c r="Q23" s="718">
        <f t="shared" si="5"/>
        <v>20</v>
      </c>
      <c r="R23" s="701" t="str">
        <f t="shared" si="6"/>
        <v>--</v>
      </c>
      <c r="S23" s="702" t="str">
        <f t="shared" si="7"/>
        <v>--</v>
      </c>
      <c r="T23" s="703" t="str">
        <f t="shared" si="8"/>
        <v>--</v>
      </c>
      <c r="U23" s="704" t="str">
        <f t="shared" si="9"/>
        <v>--</v>
      </c>
      <c r="V23" s="705" t="str">
        <f t="shared" si="10"/>
        <v>--</v>
      </c>
      <c r="W23" s="706" t="str">
        <f t="shared" si="11"/>
        <v>--</v>
      </c>
      <c r="X23" s="707" t="str">
        <f t="shared" si="12"/>
        <v>--</v>
      </c>
      <c r="Y23" s="708" t="str">
        <f t="shared" si="13"/>
        <v>--</v>
      </c>
      <c r="Z23" s="719">
        <f t="shared" si="14"/>
      </c>
      <c r="AA23" s="192">
        <f t="shared" si="15"/>
      </c>
      <c r="AB23" s="132"/>
    </row>
    <row r="24" spans="1:28" s="16" customFormat="1" ht="16.5" customHeight="1">
      <c r="A24" s="49"/>
      <c r="B24" s="162"/>
      <c r="C24" s="640"/>
      <c r="D24" s="686"/>
      <c r="E24" s="687"/>
      <c r="F24" s="688"/>
      <c r="G24" s="689"/>
      <c r="H24" s="564">
        <f t="shared" si="0"/>
        <v>0</v>
      </c>
      <c r="I24" s="695"/>
      <c r="J24" s="695"/>
      <c r="K24" s="40">
        <f t="shared" si="1"/>
      </c>
      <c r="L24" s="41">
        <f t="shared" si="2"/>
      </c>
      <c r="M24" s="697"/>
      <c r="N24" s="685">
        <f t="shared" si="3"/>
      </c>
      <c r="O24" s="698">
        <f t="shared" si="16"/>
      </c>
      <c r="P24" s="661">
        <f t="shared" si="4"/>
      </c>
      <c r="Q24" s="718">
        <f t="shared" si="5"/>
        <v>20</v>
      </c>
      <c r="R24" s="701" t="str">
        <f t="shared" si="6"/>
        <v>--</v>
      </c>
      <c r="S24" s="702" t="str">
        <f t="shared" si="7"/>
        <v>--</v>
      </c>
      <c r="T24" s="703" t="str">
        <f t="shared" si="8"/>
        <v>--</v>
      </c>
      <c r="U24" s="704" t="str">
        <f t="shared" si="9"/>
        <v>--</v>
      </c>
      <c r="V24" s="705" t="str">
        <f t="shared" si="10"/>
        <v>--</v>
      </c>
      <c r="W24" s="706" t="str">
        <f t="shared" si="11"/>
        <v>--</v>
      </c>
      <c r="X24" s="707" t="str">
        <f t="shared" si="12"/>
        <v>--</v>
      </c>
      <c r="Y24" s="708" t="str">
        <f t="shared" si="13"/>
        <v>--</v>
      </c>
      <c r="Z24" s="719">
        <f t="shared" si="14"/>
      </c>
      <c r="AA24" s="192">
        <f t="shared" si="15"/>
      </c>
      <c r="AB24" s="132"/>
    </row>
    <row r="25" spans="1:28" s="16" customFormat="1" ht="16.5" customHeight="1">
      <c r="A25" s="49"/>
      <c r="B25" s="162"/>
      <c r="C25" s="640"/>
      <c r="D25" s="686"/>
      <c r="E25" s="687"/>
      <c r="F25" s="688"/>
      <c r="G25" s="689"/>
      <c r="H25" s="564">
        <f t="shared" si="0"/>
        <v>0</v>
      </c>
      <c r="I25" s="695"/>
      <c r="J25" s="695"/>
      <c r="K25" s="40">
        <f t="shared" si="1"/>
      </c>
      <c r="L25" s="41">
        <f t="shared" si="2"/>
      </c>
      <c r="M25" s="697"/>
      <c r="N25" s="685">
        <f t="shared" si="3"/>
      </c>
      <c r="O25" s="698">
        <f t="shared" si="16"/>
      </c>
      <c r="P25" s="661">
        <f t="shared" si="4"/>
      </c>
      <c r="Q25" s="718">
        <f t="shared" si="5"/>
        <v>20</v>
      </c>
      <c r="R25" s="701" t="str">
        <f t="shared" si="6"/>
        <v>--</v>
      </c>
      <c r="S25" s="702" t="str">
        <f t="shared" si="7"/>
        <v>--</v>
      </c>
      <c r="T25" s="703" t="str">
        <f t="shared" si="8"/>
        <v>--</v>
      </c>
      <c r="U25" s="704" t="str">
        <f t="shared" si="9"/>
        <v>--</v>
      </c>
      <c r="V25" s="705" t="str">
        <f t="shared" si="10"/>
        <v>--</v>
      </c>
      <c r="W25" s="706" t="str">
        <f t="shared" si="11"/>
        <v>--</v>
      </c>
      <c r="X25" s="707" t="str">
        <f t="shared" si="12"/>
        <v>--</v>
      </c>
      <c r="Y25" s="708" t="str">
        <f t="shared" si="13"/>
        <v>--</v>
      </c>
      <c r="Z25" s="719">
        <f t="shared" si="14"/>
      </c>
      <c r="AA25" s="192">
        <f t="shared" si="15"/>
      </c>
      <c r="AB25" s="132"/>
    </row>
    <row r="26" spans="1:29" s="16" customFormat="1" ht="16.5" customHeight="1">
      <c r="A26" s="49"/>
      <c r="B26" s="162"/>
      <c r="C26" s="640"/>
      <c r="D26" s="686"/>
      <c r="E26" s="687"/>
      <c r="F26" s="688"/>
      <c r="G26" s="689"/>
      <c r="H26" s="564">
        <f t="shared" si="0"/>
        <v>0</v>
      </c>
      <c r="I26" s="695"/>
      <c r="J26" s="695"/>
      <c r="K26" s="40">
        <f t="shared" si="1"/>
      </c>
      <c r="L26" s="41">
        <f t="shared" si="2"/>
      </c>
      <c r="M26" s="697"/>
      <c r="N26" s="685">
        <f t="shared" si="3"/>
      </c>
      <c r="O26" s="698">
        <f t="shared" si="16"/>
      </c>
      <c r="P26" s="661">
        <f t="shared" si="4"/>
      </c>
      <c r="Q26" s="718">
        <f t="shared" si="5"/>
        <v>20</v>
      </c>
      <c r="R26" s="701" t="str">
        <f t="shared" si="6"/>
        <v>--</v>
      </c>
      <c r="S26" s="702" t="str">
        <f t="shared" si="7"/>
        <v>--</v>
      </c>
      <c r="T26" s="703" t="str">
        <f t="shared" si="8"/>
        <v>--</v>
      </c>
      <c r="U26" s="704" t="str">
        <f t="shared" si="9"/>
        <v>--</v>
      </c>
      <c r="V26" s="705" t="str">
        <f t="shared" si="10"/>
        <v>--</v>
      </c>
      <c r="W26" s="706" t="str">
        <f t="shared" si="11"/>
        <v>--</v>
      </c>
      <c r="X26" s="707" t="str">
        <f t="shared" si="12"/>
        <v>--</v>
      </c>
      <c r="Y26" s="708" t="str">
        <f t="shared" si="13"/>
        <v>--</v>
      </c>
      <c r="Z26" s="719">
        <f t="shared" si="14"/>
      </c>
      <c r="AA26" s="192">
        <f t="shared" si="15"/>
      </c>
      <c r="AB26" s="132"/>
      <c r="AC26" s="50"/>
    </row>
    <row r="27" spans="1:28" s="16" customFormat="1" ht="16.5" customHeight="1">
      <c r="A27" s="49"/>
      <c r="B27" s="162"/>
      <c r="C27" s="640"/>
      <c r="D27" s="686"/>
      <c r="E27" s="687"/>
      <c r="F27" s="688"/>
      <c r="G27" s="689"/>
      <c r="H27" s="564">
        <f t="shared" si="0"/>
        <v>0</v>
      </c>
      <c r="I27" s="695"/>
      <c r="J27" s="695"/>
      <c r="K27" s="40">
        <f t="shared" si="1"/>
      </c>
      <c r="L27" s="41">
        <f t="shared" si="2"/>
      </c>
      <c r="M27" s="697"/>
      <c r="N27" s="685">
        <f t="shared" si="3"/>
      </c>
      <c r="O27" s="698">
        <f t="shared" si="16"/>
      </c>
      <c r="P27" s="661">
        <f t="shared" si="4"/>
      </c>
      <c r="Q27" s="718">
        <f t="shared" si="5"/>
        <v>20</v>
      </c>
      <c r="R27" s="701" t="str">
        <f t="shared" si="6"/>
        <v>--</v>
      </c>
      <c r="S27" s="702" t="str">
        <f t="shared" si="7"/>
        <v>--</v>
      </c>
      <c r="T27" s="703" t="str">
        <f t="shared" si="8"/>
        <v>--</v>
      </c>
      <c r="U27" s="704" t="str">
        <f t="shared" si="9"/>
        <v>--</v>
      </c>
      <c r="V27" s="705" t="str">
        <f t="shared" si="10"/>
        <v>--</v>
      </c>
      <c r="W27" s="706" t="str">
        <f t="shared" si="11"/>
        <v>--</v>
      </c>
      <c r="X27" s="707" t="str">
        <f t="shared" si="12"/>
        <v>--</v>
      </c>
      <c r="Y27" s="708" t="str">
        <f t="shared" si="13"/>
        <v>--</v>
      </c>
      <c r="Z27" s="719">
        <f t="shared" si="14"/>
      </c>
      <c r="AA27" s="192">
        <f t="shared" si="15"/>
      </c>
      <c r="AB27" s="132"/>
    </row>
    <row r="28" spans="1:28" s="16" customFormat="1" ht="16.5" customHeight="1">
      <c r="A28" s="49"/>
      <c r="B28" s="162"/>
      <c r="C28" s="640"/>
      <c r="D28" s="686"/>
      <c r="E28" s="687"/>
      <c r="F28" s="688"/>
      <c r="G28" s="689"/>
      <c r="H28" s="564">
        <f t="shared" si="0"/>
        <v>0</v>
      </c>
      <c r="I28" s="695"/>
      <c r="J28" s="695"/>
      <c r="K28" s="40">
        <f t="shared" si="1"/>
      </c>
      <c r="L28" s="41">
        <f t="shared" si="2"/>
      </c>
      <c r="M28" s="697"/>
      <c r="N28" s="685">
        <f t="shared" si="3"/>
      </c>
      <c r="O28" s="698">
        <f t="shared" si="16"/>
      </c>
      <c r="P28" s="661">
        <f t="shared" si="4"/>
      </c>
      <c r="Q28" s="718">
        <f t="shared" si="5"/>
        <v>20</v>
      </c>
      <c r="R28" s="701" t="str">
        <f t="shared" si="6"/>
        <v>--</v>
      </c>
      <c r="S28" s="702" t="str">
        <f t="shared" si="7"/>
        <v>--</v>
      </c>
      <c r="T28" s="703" t="str">
        <f t="shared" si="8"/>
        <v>--</v>
      </c>
      <c r="U28" s="704" t="str">
        <f t="shared" si="9"/>
        <v>--</v>
      </c>
      <c r="V28" s="705" t="str">
        <f t="shared" si="10"/>
        <v>--</v>
      </c>
      <c r="W28" s="706" t="str">
        <f t="shared" si="11"/>
        <v>--</v>
      </c>
      <c r="X28" s="707" t="str">
        <f t="shared" si="12"/>
        <v>--</v>
      </c>
      <c r="Y28" s="708" t="str">
        <f t="shared" si="13"/>
        <v>--</v>
      </c>
      <c r="Z28" s="719">
        <f t="shared" si="14"/>
      </c>
      <c r="AA28" s="192">
        <f t="shared" si="15"/>
      </c>
      <c r="AB28" s="132"/>
    </row>
    <row r="29" spans="1:28" s="16" customFormat="1" ht="16.5" customHeight="1">
      <c r="A29" s="49"/>
      <c r="B29" s="162"/>
      <c r="C29" s="640"/>
      <c r="D29" s="686"/>
      <c r="E29" s="687"/>
      <c r="F29" s="688"/>
      <c r="G29" s="689"/>
      <c r="H29" s="564">
        <f t="shared" si="0"/>
        <v>0</v>
      </c>
      <c r="I29" s="695"/>
      <c r="J29" s="695"/>
      <c r="K29" s="40">
        <f t="shared" si="1"/>
      </c>
      <c r="L29" s="41">
        <f t="shared" si="2"/>
      </c>
      <c r="M29" s="697"/>
      <c r="N29" s="685">
        <f t="shared" si="3"/>
      </c>
      <c r="O29" s="698">
        <f t="shared" si="16"/>
      </c>
      <c r="P29" s="661">
        <f t="shared" si="4"/>
      </c>
      <c r="Q29" s="718">
        <f t="shared" si="5"/>
        <v>20</v>
      </c>
      <c r="R29" s="701" t="str">
        <f t="shared" si="6"/>
        <v>--</v>
      </c>
      <c r="S29" s="702" t="str">
        <f t="shared" si="7"/>
        <v>--</v>
      </c>
      <c r="T29" s="703" t="str">
        <f t="shared" si="8"/>
        <v>--</v>
      </c>
      <c r="U29" s="704" t="str">
        <f t="shared" si="9"/>
        <v>--</v>
      </c>
      <c r="V29" s="705" t="str">
        <f t="shared" si="10"/>
        <v>--</v>
      </c>
      <c r="W29" s="706" t="str">
        <f t="shared" si="11"/>
        <v>--</v>
      </c>
      <c r="X29" s="707" t="str">
        <f t="shared" si="12"/>
        <v>--</v>
      </c>
      <c r="Y29" s="708" t="str">
        <f t="shared" si="13"/>
        <v>--</v>
      </c>
      <c r="Z29" s="719">
        <f t="shared" si="14"/>
      </c>
      <c r="AA29" s="192">
        <f t="shared" si="15"/>
      </c>
      <c r="AB29" s="132"/>
    </row>
    <row r="30" spans="1:28" s="16" customFormat="1" ht="16.5" customHeight="1">
      <c r="A30" s="49"/>
      <c r="B30" s="162"/>
      <c r="C30" s="640"/>
      <c r="D30" s="686"/>
      <c r="E30" s="690"/>
      <c r="F30" s="688"/>
      <c r="G30" s="689"/>
      <c r="H30" s="564">
        <f t="shared" si="0"/>
        <v>0</v>
      </c>
      <c r="I30" s="695"/>
      <c r="J30" s="695"/>
      <c r="K30" s="40">
        <f t="shared" si="1"/>
      </c>
      <c r="L30" s="41">
        <f t="shared" si="2"/>
      </c>
      <c r="M30" s="697"/>
      <c r="N30" s="685">
        <f t="shared" si="3"/>
      </c>
      <c r="O30" s="698">
        <f t="shared" si="16"/>
      </c>
      <c r="P30" s="661">
        <f t="shared" si="4"/>
      </c>
      <c r="Q30" s="718">
        <f t="shared" si="5"/>
        <v>20</v>
      </c>
      <c r="R30" s="701" t="str">
        <f t="shared" si="6"/>
        <v>--</v>
      </c>
      <c r="S30" s="702" t="str">
        <f t="shared" si="7"/>
        <v>--</v>
      </c>
      <c r="T30" s="703" t="str">
        <f t="shared" si="8"/>
        <v>--</v>
      </c>
      <c r="U30" s="704" t="str">
        <f t="shared" si="9"/>
        <v>--</v>
      </c>
      <c r="V30" s="705" t="str">
        <f t="shared" si="10"/>
        <v>--</v>
      </c>
      <c r="W30" s="706" t="str">
        <f t="shared" si="11"/>
        <v>--</v>
      </c>
      <c r="X30" s="707" t="str">
        <f t="shared" si="12"/>
        <v>--</v>
      </c>
      <c r="Y30" s="708" t="str">
        <f t="shared" si="13"/>
        <v>--</v>
      </c>
      <c r="Z30" s="719">
        <f t="shared" si="14"/>
      </c>
      <c r="AA30" s="192">
        <f t="shared" si="15"/>
      </c>
      <c r="AB30" s="132"/>
    </row>
    <row r="31" spans="1:28" s="16" customFormat="1" ht="16.5" customHeight="1">
      <c r="A31" s="49"/>
      <c r="B31" s="162"/>
      <c r="C31" s="640"/>
      <c r="D31" s="686"/>
      <c r="E31" s="690"/>
      <c r="F31" s="688"/>
      <c r="G31" s="689"/>
      <c r="H31" s="564">
        <f t="shared" si="0"/>
        <v>0</v>
      </c>
      <c r="I31" s="695"/>
      <c r="J31" s="695"/>
      <c r="K31" s="40">
        <f t="shared" si="1"/>
      </c>
      <c r="L31" s="41">
        <f t="shared" si="2"/>
      </c>
      <c r="M31" s="697"/>
      <c r="N31" s="685">
        <f t="shared" si="3"/>
      </c>
      <c r="O31" s="698">
        <f t="shared" si="16"/>
      </c>
      <c r="P31" s="661">
        <f t="shared" si="4"/>
      </c>
      <c r="Q31" s="718">
        <f t="shared" si="5"/>
        <v>20</v>
      </c>
      <c r="R31" s="701" t="str">
        <f t="shared" si="6"/>
        <v>--</v>
      </c>
      <c r="S31" s="702" t="str">
        <f t="shared" si="7"/>
        <v>--</v>
      </c>
      <c r="T31" s="703" t="str">
        <f t="shared" si="8"/>
        <v>--</v>
      </c>
      <c r="U31" s="704" t="str">
        <f t="shared" si="9"/>
        <v>--</v>
      </c>
      <c r="V31" s="705" t="str">
        <f t="shared" si="10"/>
        <v>--</v>
      </c>
      <c r="W31" s="706" t="str">
        <f t="shared" si="11"/>
        <v>--</v>
      </c>
      <c r="X31" s="707" t="str">
        <f t="shared" si="12"/>
        <v>--</v>
      </c>
      <c r="Y31" s="708" t="str">
        <f t="shared" si="13"/>
        <v>--</v>
      </c>
      <c r="Z31" s="719">
        <f t="shared" si="14"/>
      </c>
      <c r="AA31" s="192">
        <f t="shared" si="15"/>
      </c>
      <c r="AB31" s="132"/>
    </row>
    <row r="32" spans="1:28" s="16" customFormat="1" ht="16.5" customHeight="1">
      <c r="A32" s="49"/>
      <c r="B32" s="162"/>
      <c r="C32" s="640"/>
      <c r="D32" s="686"/>
      <c r="E32" s="690"/>
      <c r="F32" s="688"/>
      <c r="G32" s="689"/>
      <c r="H32" s="564">
        <f t="shared" si="0"/>
        <v>0</v>
      </c>
      <c r="I32" s="695"/>
      <c r="J32" s="695"/>
      <c r="K32" s="40">
        <f t="shared" si="1"/>
      </c>
      <c r="L32" s="41">
        <f t="shared" si="2"/>
      </c>
      <c r="M32" s="697"/>
      <c r="N32" s="685">
        <f t="shared" si="3"/>
      </c>
      <c r="O32" s="698">
        <f t="shared" si="16"/>
      </c>
      <c r="P32" s="661">
        <f t="shared" si="4"/>
      </c>
      <c r="Q32" s="718">
        <f t="shared" si="5"/>
        <v>20</v>
      </c>
      <c r="R32" s="701" t="str">
        <f t="shared" si="6"/>
        <v>--</v>
      </c>
      <c r="S32" s="702" t="str">
        <f t="shared" si="7"/>
        <v>--</v>
      </c>
      <c r="T32" s="703" t="str">
        <f t="shared" si="8"/>
        <v>--</v>
      </c>
      <c r="U32" s="704" t="str">
        <f t="shared" si="9"/>
        <v>--</v>
      </c>
      <c r="V32" s="705" t="str">
        <f t="shared" si="10"/>
        <v>--</v>
      </c>
      <c r="W32" s="706" t="str">
        <f t="shared" si="11"/>
        <v>--</v>
      </c>
      <c r="X32" s="707" t="str">
        <f t="shared" si="12"/>
        <v>--</v>
      </c>
      <c r="Y32" s="708" t="str">
        <f t="shared" si="13"/>
        <v>--</v>
      </c>
      <c r="Z32" s="719">
        <f t="shared" si="14"/>
      </c>
      <c r="AA32" s="192">
        <f t="shared" si="15"/>
      </c>
      <c r="AB32" s="132"/>
    </row>
    <row r="33" spans="1:28" s="16" customFormat="1" ht="16.5" customHeight="1">
      <c r="A33" s="49"/>
      <c r="B33" s="162"/>
      <c r="C33" s="640"/>
      <c r="D33" s="686"/>
      <c r="E33" s="690"/>
      <c r="F33" s="688"/>
      <c r="G33" s="689"/>
      <c r="H33" s="564">
        <f t="shared" si="0"/>
        <v>0</v>
      </c>
      <c r="I33" s="695"/>
      <c r="J33" s="695"/>
      <c r="K33" s="40">
        <f t="shared" si="1"/>
      </c>
      <c r="L33" s="41">
        <f t="shared" si="2"/>
      </c>
      <c r="M33" s="697"/>
      <c r="N33" s="685">
        <f t="shared" si="3"/>
      </c>
      <c r="O33" s="698">
        <f t="shared" si="16"/>
      </c>
      <c r="P33" s="661">
        <f t="shared" si="4"/>
      </c>
      <c r="Q33" s="718">
        <f t="shared" si="5"/>
        <v>20</v>
      </c>
      <c r="R33" s="701" t="str">
        <f t="shared" si="6"/>
        <v>--</v>
      </c>
      <c r="S33" s="702" t="str">
        <f t="shared" si="7"/>
        <v>--</v>
      </c>
      <c r="T33" s="703" t="str">
        <f t="shared" si="8"/>
        <v>--</v>
      </c>
      <c r="U33" s="704" t="str">
        <f t="shared" si="9"/>
        <v>--</v>
      </c>
      <c r="V33" s="705" t="str">
        <f t="shared" si="10"/>
        <v>--</v>
      </c>
      <c r="W33" s="706" t="str">
        <f t="shared" si="11"/>
        <v>--</v>
      </c>
      <c r="X33" s="707" t="str">
        <f t="shared" si="12"/>
        <v>--</v>
      </c>
      <c r="Y33" s="708" t="str">
        <f t="shared" si="13"/>
        <v>--</v>
      </c>
      <c r="Z33" s="719">
        <f t="shared" si="14"/>
      </c>
      <c r="AA33" s="192">
        <f t="shared" si="15"/>
      </c>
      <c r="AB33" s="132"/>
    </row>
    <row r="34" spans="1:28" s="16" customFormat="1" ht="16.5" customHeight="1">
      <c r="A34" s="49"/>
      <c r="B34" s="162"/>
      <c r="C34" s="640"/>
      <c r="D34" s="686"/>
      <c r="E34" s="690"/>
      <c r="F34" s="688"/>
      <c r="G34" s="689"/>
      <c r="H34" s="564">
        <f t="shared" si="0"/>
        <v>0</v>
      </c>
      <c r="I34" s="695"/>
      <c r="J34" s="695"/>
      <c r="K34" s="40">
        <f t="shared" si="1"/>
      </c>
      <c r="L34" s="41">
        <f t="shared" si="2"/>
      </c>
      <c r="M34" s="697"/>
      <c r="N34" s="685">
        <f t="shared" si="3"/>
      </c>
      <c r="O34" s="698">
        <f t="shared" si="16"/>
      </c>
      <c r="P34" s="661">
        <f t="shared" si="4"/>
      </c>
      <c r="Q34" s="718">
        <f t="shared" si="5"/>
        <v>20</v>
      </c>
      <c r="R34" s="701" t="str">
        <f t="shared" si="6"/>
        <v>--</v>
      </c>
      <c r="S34" s="702" t="str">
        <f t="shared" si="7"/>
        <v>--</v>
      </c>
      <c r="T34" s="703" t="str">
        <f t="shared" si="8"/>
        <v>--</v>
      </c>
      <c r="U34" s="704" t="str">
        <f t="shared" si="9"/>
        <v>--</v>
      </c>
      <c r="V34" s="705" t="str">
        <f t="shared" si="10"/>
        <v>--</v>
      </c>
      <c r="W34" s="706" t="str">
        <f t="shared" si="11"/>
        <v>--</v>
      </c>
      <c r="X34" s="707" t="str">
        <f t="shared" si="12"/>
        <v>--</v>
      </c>
      <c r="Y34" s="708" t="str">
        <f t="shared" si="13"/>
        <v>--</v>
      </c>
      <c r="Z34" s="719">
        <f t="shared" si="14"/>
      </c>
      <c r="AA34" s="192">
        <f t="shared" si="15"/>
      </c>
      <c r="AB34" s="132"/>
    </row>
    <row r="35" spans="1:28" s="16" customFormat="1" ht="16.5" customHeight="1">
      <c r="A35" s="49"/>
      <c r="B35" s="162"/>
      <c r="C35" s="640"/>
      <c r="D35" s="686"/>
      <c r="E35" s="690"/>
      <c r="F35" s="688"/>
      <c r="G35" s="689"/>
      <c r="H35" s="564">
        <f t="shared" si="0"/>
        <v>0</v>
      </c>
      <c r="I35" s="695"/>
      <c r="J35" s="695"/>
      <c r="K35" s="40">
        <f t="shared" si="1"/>
      </c>
      <c r="L35" s="41">
        <f t="shared" si="2"/>
      </c>
      <c r="M35" s="697"/>
      <c r="N35" s="685">
        <f t="shared" si="3"/>
      </c>
      <c r="O35" s="698">
        <f t="shared" si="16"/>
      </c>
      <c r="P35" s="661">
        <f t="shared" si="4"/>
      </c>
      <c r="Q35" s="718">
        <f t="shared" si="5"/>
        <v>20</v>
      </c>
      <c r="R35" s="701" t="str">
        <f t="shared" si="6"/>
        <v>--</v>
      </c>
      <c r="S35" s="702" t="str">
        <f t="shared" si="7"/>
        <v>--</v>
      </c>
      <c r="T35" s="703" t="str">
        <f t="shared" si="8"/>
        <v>--</v>
      </c>
      <c r="U35" s="704" t="str">
        <f t="shared" si="9"/>
        <v>--</v>
      </c>
      <c r="V35" s="705" t="str">
        <f t="shared" si="10"/>
        <v>--</v>
      </c>
      <c r="W35" s="706" t="str">
        <f t="shared" si="11"/>
        <v>--</v>
      </c>
      <c r="X35" s="707" t="str">
        <f t="shared" si="12"/>
        <v>--</v>
      </c>
      <c r="Y35" s="708" t="str">
        <f t="shared" si="13"/>
        <v>--</v>
      </c>
      <c r="Z35" s="719">
        <f t="shared" si="14"/>
      </c>
      <c r="AA35" s="192">
        <f t="shared" si="15"/>
      </c>
      <c r="AB35" s="132"/>
    </row>
    <row r="36" spans="1:28" s="16" customFormat="1" ht="16.5" customHeight="1">
      <c r="A36" s="49"/>
      <c r="B36" s="162"/>
      <c r="C36" s="640"/>
      <c r="D36" s="686"/>
      <c r="E36" s="690"/>
      <c r="F36" s="688"/>
      <c r="G36" s="689"/>
      <c r="H36" s="564">
        <f t="shared" si="0"/>
        <v>0</v>
      </c>
      <c r="I36" s="695"/>
      <c r="J36" s="695"/>
      <c r="K36" s="40">
        <f t="shared" si="1"/>
      </c>
      <c r="L36" s="41">
        <f t="shared" si="2"/>
      </c>
      <c r="M36" s="697"/>
      <c r="N36" s="685">
        <f t="shared" si="3"/>
      </c>
      <c r="O36" s="698">
        <f t="shared" si="16"/>
      </c>
      <c r="P36" s="661">
        <f t="shared" si="4"/>
      </c>
      <c r="Q36" s="718">
        <f t="shared" si="5"/>
        <v>20</v>
      </c>
      <c r="R36" s="701" t="str">
        <f t="shared" si="6"/>
        <v>--</v>
      </c>
      <c r="S36" s="702" t="str">
        <f t="shared" si="7"/>
        <v>--</v>
      </c>
      <c r="T36" s="703" t="str">
        <f t="shared" si="8"/>
        <v>--</v>
      </c>
      <c r="U36" s="704" t="str">
        <f t="shared" si="9"/>
        <v>--</v>
      </c>
      <c r="V36" s="705" t="str">
        <f t="shared" si="10"/>
        <v>--</v>
      </c>
      <c r="W36" s="706" t="str">
        <f t="shared" si="11"/>
        <v>--</v>
      </c>
      <c r="X36" s="707" t="str">
        <f t="shared" si="12"/>
        <v>--</v>
      </c>
      <c r="Y36" s="708" t="str">
        <f t="shared" si="13"/>
        <v>--</v>
      </c>
      <c r="Z36" s="719">
        <f t="shared" si="14"/>
      </c>
      <c r="AA36" s="192">
        <f t="shared" si="15"/>
      </c>
      <c r="AB36" s="132"/>
    </row>
    <row r="37" spans="1:28" s="16" customFormat="1" ht="16.5" customHeight="1">
      <c r="A37" s="49"/>
      <c r="B37" s="162"/>
      <c r="C37" s="640"/>
      <c r="D37" s="686"/>
      <c r="E37" s="690"/>
      <c r="F37" s="688"/>
      <c r="G37" s="689"/>
      <c r="H37" s="564">
        <f t="shared" si="0"/>
        <v>0</v>
      </c>
      <c r="I37" s="695"/>
      <c r="J37" s="695"/>
      <c r="K37" s="40">
        <f t="shared" si="1"/>
      </c>
      <c r="L37" s="41">
        <f t="shared" si="2"/>
      </c>
      <c r="M37" s="697"/>
      <c r="N37" s="685">
        <f t="shared" si="3"/>
      </c>
      <c r="O37" s="698">
        <f t="shared" si="16"/>
      </c>
      <c r="P37" s="661">
        <f t="shared" si="4"/>
      </c>
      <c r="Q37" s="718">
        <f t="shared" si="5"/>
        <v>20</v>
      </c>
      <c r="R37" s="701" t="str">
        <f t="shared" si="6"/>
        <v>--</v>
      </c>
      <c r="S37" s="702" t="str">
        <f t="shared" si="7"/>
        <v>--</v>
      </c>
      <c r="T37" s="703" t="str">
        <f t="shared" si="8"/>
        <v>--</v>
      </c>
      <c r="U37" s="704" t="str">
        <f t="shared" si="9"/>
        <v>--</v>
      </c>
      <c r="V37" s="705" t="str">
        <f t="shared" si="10"/>
        <v>--</v>
      </c>
      <c r="W37" s="706" t="str">
        <f t="shared" si="11"/>
        <v>--</v>
      </c>
      <c r="X37" s="707" t="str">
        <f t="shared" si="12"/>
        <v>--</v>
      </c>
      <c r="Y37" s="708" t="str">
        <f t="shared" si="13"/>
        <v>--</v>
      </c>
      <c r="Z37" s="719">
        <f t="shared" si="14"/>
      </c>
      <c r="AA37" s="192">
        <f t="shared" si="15"/>
      </c>
      <c r="AB37" s="132"/>
    </row>
    <row r="38" spans="1:28" s="16" customFormat="1" ht="16.5" customHeight="1">
      <c r="A38" s="49"/>
      <c r="B38" s="162"/>
      <c r="C38" s="640"/>
      <c r="D38" s="686"/>
      <c r="E38" s="690"/>
      <c r="F38" s="688"/>
      <c r="G38" s="689"/>
      <c r="H38" s="564">
        <f t="shared" si="0"/>
        <v>0</v>
      </c>
      <c r="I38" s="695"/>
      <c r="J38" s="695"/>
      <c r="K38" s="40">
        <f t="shared" si="1"/>
      </c>
      <c r="L38" s="41">
        <f t="shared" si="2"/>
      </c>
      <c r="M38" s="697"/>
      <c r="N38" s="685">
        <f t="shared" si="3"/>
      </c>
      <c r="O38" s="698">
        <f t="shared" si="16"/>
      </c>
      <c r="P38" s="661">
        <f t="shared" si="4"/>
      </c>
      <c r="Q38" s="718">
        <f t="shared" si="5"/>
        <v>20</v>
      </c>
      <c r="R38" s="701" t="str">
        <f t="shared" si="6"/>
        <v>--</v>
      </c>
      <c r="S38" s="702" t="str">
        <f t="shared" si="7"/>
        <v>--</v>
      </c>
      <c r="T38" s="703" t="str">
        <f t="shared" si="8"/>
        <v>--</v>
      </c>
      <c r="U38" s="704" t="str">
        <f t="shared" si="9"/>
        <v>--</v>
      </c>
      <c r="V38" s="705" t="str">
        <f t="shared" si="10"/>
        <v>--</v>
      </c>
      <c r="W38" s="706" t="str">
        <f t="shared" si="11"/>
        <v>--</v>
      </c>
      <c r="X38" s="707" t="str">
        <f t="shared" si="12"/>
        <v>--</v>
      </c>
      <c r="Y38" s="708" t="str">
        <f t="shared" si="13"/>
        <v>--</v>
      </c>
      <c r="Z38" s="719">
        <f t="shared" si="14"/>
      </c>
      <c r="AA38" s="192">
        <f t="shared" si="15"/>
      </c>
      <c r="AB38" s="132"/>
    </row>
    <row r="39" spans="1:28" s="16" customFormat="1" ht="16.5" customHeight="1">
      <c r="A39" s="49"/>
      <c r="B39" s="162"/>
      <c r="C39" s="640"/>
      <c r="D39" s="686"/>
      <c r="E39" s="690"/>
      <c r="F39" s="688"/>
      <c r="G39" s="689"/>
      <c r="H39" s="564">
        <f t="shared" si="0"/>
        <v>0</v>
      </c>
      <c r="I39" s="695"/>
      <c r="J39" s="695"/>
      <c r="K39" s="40">
        <f t="shared" si="1"/>
      </c>
      <c r="L39" s="41">
        <f t="shared" si="2"/>
      </c>
      <c r="M39" s="697"/>
      <c r="N39" s="685">
        <f t="shared" si="3"/>
      </c>
      <c r="O39" s="698">
        <f t="shared" si="16"/>
      </c>
      <c r="P39" s="661">
        <f t="shared" si="4"/>
      </c>
      <c r="Q39" s="718">
        <f t="shared" si="5"/>
        <v>20</v>
      </c>
      <c r="R39" s="701" t="str">
        <f t="shared" si="6"/>
        <v>--</v>
      </c>
      <c r="S39" s="702" t="str">
        <f t="shared" si="7"/>
        <v>--</v>
      </c>
      <c r="T39" s="703" t="str">
        <f t="shared" si="8"/>
        <v>--</v>
      </c>
      <c r="U39" s="704" t="str">
        <f t="shared" si="9"/>
        <v>--</v>
      </c>
      <c r="V39" s="705" t="str">
        <f t="shared" si="10"/>
        <v>--</v>
      </c>
      <c r="W39" s="706" t="str">
        <f t="shared" si="11"/>
        <v>--</v>
      </c>
      <c r="X39" s="707" t="str">
        <f t="shared" si="12"/>
        <v>--</v>
      </c>
      <c r="Y39" s="708" t="str">
        <f t="shared" si="13"/>
        <v>--</v>
      </c>
      <c r="Z39" s="719">
        <f t="shared" si="14"/>
      </c>
      <c r="AA39" s="192">
        <f t="shared" si="15"/>
      </c>
      <c r="AB39" s="132"/>
    </row>
    <row r="40" spans="1:28" s="16" customFormat="1" ht="16.5" customHeight="1" thickBot="1">
      <c r="A40" s="49"/>
      <c r="B40" s="162"/>
      <c r="C40" s="691"/>
      <c r="D40" s="692"/>
      <c r="E40" s="693"/>
      <c r="F40" s="692"/>
      <c r="G40" s="694"/>
      <c r="H40" s="319"/>
      <c r="I40" s="691"/>
      <c r="J40" s="696"/>
      <c r="K40" s="46"/>
      <c r="L40" s="47"/>
      <c r="M40" s="699"/>
      <c r="N40" s="673"/>
      <c r="O40" s="700"/>
      <c r="P40" s="699"/>
      <c r="Q40" s="720"/>
      <c r="R40" s="709"/>
      <c r="S40" s="710"/>
      <c r="T40" s="711"/>
      <c r="U40" s="712"/>
      <c r="V40" s="713"/>
      <c r="W40" s="714"/>
      <c r="X40" s="715"/>
      <c r="Y40" s="716"/>
      <c r="Z40" s="717"/>
      <c r="AA40" s="193"/>
      <c r="AB40" s="132"/>
    </row>
    <row r="41" spans="1:28" s="16" customFormat="1" ht="16.5" customHeight="1" thickBot="1" thickTop="1">
      <c r="A41" s="49"/>
      <c r="B41" s="162"/>
      <c r="C41" s="251" t="s">
        <v>89</v>
      </c>
      <c r="D41" s="252" t="s">
        <v>90</v>
      </c>
      <c r="E41" s="50"/>
      <c r="F41" s="50"/>
      <c r="G41" s="50"/>
      <c r="H41" s="50"/>
      <c r="I41" s="50"/>
      <c r="J41" s="51"/>
      <c r="K41" s="50"/>
      <c r="L41" s="50"/>
      <c r="M41" s="50"/>
      <c r="N41" s="50"/>
      <c r="O41" s="50"/>
      <c r="P41" s="50"/>
      <c r="Q41" s="50"/>
      <c r="R41" s="421">
        <f aca="true" t="shared" si="17" ref="R41:Y41">SUM(R18:R40)</f>
        <v>806.412</v>
      </c>
      <c r="S41" s="427">
        <f t="shared" si="17"/>
        <v>0</v>
      </c>
      <c r="T41" s="436">
        <f t="shared" si="17"/>
        <v>0</v>
      </c>
      <c r="U41" s="437">
        <f t="shared" si="17"/>
        <v>0</v>
      </c>
      <c r="V41" s="448">
        <f t="shared" si="17"/>
        <v>0</v>
      </c>
      <c r="W41" s="449">
        <f t="shared" si="17"/>
        <v>0</v>
      </c>
      <c r="X41" s="500">
        <f t="shared" si="17"/>
        <v>0</v>
      </c>
      <c r="Y41" s="501">
        <f t="shared" si="17"/>
        <v>0</v>
      </c>
      <c r="Z41" s="49"/>
      <c r="AA41" s="325">
        <f>ROUND(SUM(AA18:AA40),2)</f>
        <v>806.41</v>
      </c>
      <c r="AB41" s="132"/>
    </row>
    <row r="42" spans="1:28" s="255" customFormat="1" ht="9.75" thickTop="1">
      <c r="A42" s="265"/>
      <c r="B42" s="266"/>
      <c r="C42" s="253"/>
      <c r="D42" s="254" t="s">
        <v>91</v>
      </c>
      <c r="E42" s="267"/>
      <c r="F42" s="267"/>
      <c r="G42" s="267"/>
      <c r="H42" s="267"/>
      <c r="I42" s="267"/>
      <c r="J42" s="268"/>
      <c r="K42" s="267"/>
      <c r="L42" s="267"/>
      <c r="M42" s="267"/>
      <c r="N42" s="267"/>
      <c r="O42" s="267"/>
      <c r="P42" s="267"/>
      <c r="Q42" s="267"/>
      <c r="R42" s="270"/>
      <c r="S42" s="270"/>
      <c r="T42" s="270"/>
      <c r="U42" s="270"/>
      <c r="V42" s="270"/>
      <c r="W42" s="270"/>
      <c r="X42" s="270"/>
      <c r="Y42" s="270"/>
      <c r="Z42" s="265"/>
      <c r="AA42" s="269"/>
      <c r="AB42" s="271"/>
    </row>
    <row r="43" spans="1:28" s="16" customFormat="1" ht="16.5" customHeight="1" thickBot="1">
      <c r="A43" s="49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7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59"/>
  <sheetViews>
    <sheetView zoomScale="75" zoomScaleNormal="75" workbookViewId="0" topLeftCell="D1">
      <selection activeCell="T25" sqref="T25:T35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7" customFormat="1" ht="26.25">
      <c r="A1" s="127"/>
      <c r="U1" s="625"/>
    </row>
    <row r="2" spans="1:21" s="77" customFormat="1" ht="26.25">
      <c r="A2" s="127"/>
      <c r="B2" s="78" t="str">
        <f>+'tot-0501'!B2</f>
        <v>ANEXO I a la Resolución E.N.R.E. N°             586 /2007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="16" customFormat="1" ht="12.75">
      <c r="A3" s="49"/>
    </row>
    <row r="4" spans="1:2" s="84" customFormat="1" ht="11.25">
      <c r="A4" s="82" t="s">
        <v>46</v>
      </c>
      <c r="B4" s="158"/>
    </row>
    <row r="5" spans="1:2" s="84" customFormat="1" ht="11.25">
      <c r="A5" s="82" t="s">
        <v>47</v>
      </c>
      <c r="B5" s="158"/>
    </row>
    <row r="6" s="16" customFormat="1" ht="13.5" thickBot="1"/>
    <row r="7" spans="2:21" s="16" customFormat="1" ht="13.5" thickTop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96"/>
    </row>
    <row r="8" spans="2:21" s="10" customFormat="1" ht="20.25">
      <c r="B8" s="142"/>
      <c r="C8" s="11"/>
      <c r="D8" s="52" t="s">
        <v>62</v>
      </c>
      <c r="L8" s="172"/>
      <c r="M8" s="172"/>
      <c r="N8" s="34"/>
      <c r="O8" s="11"/>
      <c r="P8" s="11"/>
      <c r="Q8" s="11"/>
      <c r="R8" s="11"/>
      <c r="S8" s="11"/>
      <c r="T8" s="11"/>
      <c r="U8" s="205"/>
    </row>
    <row r="9" spans="2:21" s="16" customFormat="1" ht="12.75">
      <c r="B9" s="109"/>
      <c r="C9" s="1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4"/>
      <c r="P9" s="14"/>
      <c r="Q9" s="14"/>
      <c r="R9" s="14"/>
      <c r="S9" s="14"/>
      <c r="T9" s="14"/>
      <c r="U9" s="113"/>
    </row>
    <row r="10" spans="2:21" s="10" customFormat="1" ht="20.25">
      <c r="B10" s="142"/>
      <c r="C10" s="11"/>
      <c r="D10" s="176" t="s">
        <v>103</v>
      </c>
      <c r="E10" s="35"/>
      <c r="F10" s="172"/>
      <c r="G10" s="206"/>
      <c r="I10" s="206"/>
      <c r="J10" s="206"/>
      <c r="K10" s="206"/>
      <c r="L10" s="206"/>
      <c r="M10" s="206"/>
      <c r="N10" s="206"/>
      <c r="O10" s="11"/>
      <c r="P10" s="11"/>
      <c r="Q10" s="11"/>
      <c r="R10" s="11"/>
      <c r="S10" s="11"/>
      <c r="T10" s="11"/>
      <c r="U10" s="205"/>
    </row>
    <row r="11" spans="2:21" s="16" customFormat="1" ht="13.5">
      <c r="B11" s="109"/>
      <c r="C11" s="14"/>
      <c r="D11" s="204"/>
      <c r="E11" s="204"/>
      <c r="F11" s="49"/>
      <c r="G11" s="197"/>
      <c r="H11" s="111"/>
      <c r="I11" s="197"/>
      <c r="J11" s="197"/>
      <c r="K11" s="197"/>
      <c r="L11" s="197"/>
      <c r="M11" s="197"/>
      <c r="N11" s="197"/>
      <c r="O11" s="14"/>
      <c r="P11" s="14"/>
      <c r="Q11" s="14"/>
      <c r="R11" s="14"/>
      <c r="S11" s="14"/>
      <c r="T11" s="14"/>
      <c r="U11" s="113"/>
    </row>
    <row r="12" spans="2:21" s="10" customFormat="1" ht="20.25">
      <c r="B12" s="142"/>
      <c r="C12" s="11"/>
      <c r="D12" s="176" t="s">
        <v>104</v>
      </c>
      <c r="E12" s="35"/>
      <c r="F12" s="172"/>
      <c r="G12" s="206"/>
      <c r="I12" s="206"/>
      <c r="J12" s="206"/>
      <c r="K12" s="206"/>
      <c r="L12" s="206"/>
      <c r="M12" s="206"/>
      <c r="N12" s="206"/>
      <c r="O12" s="11"/>
      <c r="P12" s="11"/>
      <c r="Q12" s="11"/>
      <c r="R12" s="11"/>
      <c r="S12" s="11"/>
      <c r="T12" s="11"/>
      <c r="U12" s="205"/>
    </row>
    <row r="13" spans="2:21" s="16" customFormat="1" ht="13.5">
      <c r="B13" s="109"/>
      <c r="C13" s="14"/>
      <c r="D13" s="204"/>
      <c r="E13" s="204"/>
      <c r="F13" s="49"/>
      <c r="G13" s="197"/>
      <c r="H13" s="111"/>
      <c r="I13" s="197"/>
      <c r="J13" s="197"/>
      <c r="K13" s="197"/>
      <c r="L13" s="197"/>
      <c r="M13" s="197"/>
      <c r="N13" s="197"/>
      <c r="O13" s="14"/>
      <c r="P13" s="14"/>
      <c r="Q13" s="14"/>
      <c r="R13" s="14"/>
      <c r="S13" s="14"/>
      <c r="T13" s="14"/>
      <c r="U13" s="113"/>
    </row>
    <row r="14" spans="2:21" s="16" customFormat="1" ht="19.5">
      <c r="B14" s="97" t="str">
        <f>+'tot-0501'!B14</f>
        <v>Desde el 01 al 31 de enero de 2005</v>
      </c>
      <c r="C14" s="100"/>
      <c r="D14" s="100"/>
      <c r="E14" s="100"/>
      <c r="F14" s="100"/>
      <c r="G14" s="207"/>
      <c r="H14" s="207"/>
      <c r="I14" s="207"/>
      <c r="J14" s="207"/>
      <c r="K14" s="207"/>
      <c r="L14" s="207"/>
      <c r="M14" s="207"/>
      <c r="N14" s="207"/>
      <c r="O14" s="100"/>
      <c r="P14" s="100"/>
      <c r="Q14" s="100"/>
      <c r="R14" s="100"/>
      <c r="S14" s="100"/>
      <c r="T14" s="100"/>
      <c r="U14" s="208"/>
    </row>
    <row r="15" spans="2:21" s="16" customFormat="1" ht="14.25" thickBot="1">
      <c r="B15" s="209"/>
      <c r="C15" s="210"/>
      <c r="D15" s="210"/>
      <c r="E15" s="210"/>
      <c r="F15" s="210"/>
      <c r="G15" s="211"/>
      <c r="H15" s="211"/>
      <c r="I15" s="211"/>
      <c r="J15" s="211"/>
      <c r="K15" s="211"/>
      <c r="L15" s="211"/>
      <c r="M15" s="211"/>
      <c r="N15" s="211"/>
      <c r="O15" s="210"/>
      <c r="P15" s="210"/>
      <c r="Q15" s="210"/>
      <c r="R15" s="210"/>
      <c r="S15" s="210"/>
      <c r="T15" s="210"/>
      <c r="U15" s="212"/>
    </row>
    <row r="16" spans="2:21" s="16" customFormat="1" ht="15" thickBot="1" thickTop="1">
      <c r="B16" s="109"/>
      <c r="C16" s="14"/>
      <c r="D16" s="213"/>
      <c r="E16" s="213"/>
      <c r="F16" s="214" t="s">
        <v>105</v>
      </c>
      <c r="G16" s="14"/>
      <c r="H16" s="1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13"/>
    </row>
    <row r="17" spans="2:21" s="16" customFormat="1" ht="16.5" customHeight="1" thickBot="1" thickTop="1">
      <c r="B17" s="109"/>
      <c r="C17" s="14"/>
      <c r="D17" s="630" t="s">
        <v>106</v>
      </c>
      <c r="E17" s="631">
        <v>30.733</v>
      </c>
      <c r="F17" s="632">
        <v>200</v>
      </c>
      <c r="T17" s="134"/>
      <c r="U17" s="113"/>
    </row>
    <row r="18" spans="2:21" s="16" customFormat="1" ht="16.5" customHeight="1" thickBot="1" thickTop="1">
      <c r="B18" s="109"/>
      <c r="C18" s="14"/>
      <c r="D18" s="633" t="s">
        <v>107</v>
      </c>
      <c r="E18" s="634">
        <v>27.658</v>
      </c>
      <c r="F18" s="632">
        <v>100</v>
      </c>
      <c r="M18" s="14"/>
      <c r="N18" s="14"/>
      <c r="O18" s="14"/>
      <c r="P18" s="14"/>
      <c r="Q18" s="14"/>
      <c r="R18" s="14"/>
      <c r="S18" s="14"/>
      <c r="T18" s="14"/>
      <c r="U18" s="113"/>
    </row>
    <row r="19" spans="2:21" s="16" customFormat="1" ht="16.5" customHeight="1" thickBot="1" thickTop="1">
      <c r="B19" s="109"/>
      <c r="C19" s="14"/>
      <c r="D19" s="635" t="s">
        <v>108</v>
      </c>
      <c r="E19" s="634">
        <v>24.587</v>
      </c>
      <c r="F19" s="632">
        <v>40</v>
      </c>
      <c r="I19" s="627"/>
      <c r="J19" s="628"/>
      <c r="K19" s="14"/>
      <c r="M19" s="14"/>
      <c r="O19" s="14"/>
      <c r="P19" s="14"/>
      <c r="Q19" s="14"/>
      <c r="R19" s="14"/>
      <c r="S19" s="14"/>
      <c r="T19" s="14"/>
      <c r="U19" s="113"/>
    </row>
    <row r="20" spans="2:21" s="16" customFormat="1" ht="16.5" customHeight="1" thickBot="1" thickTop="1">
      <c r="B20" s="109"/>
      <c r="C20" s="21"/>
      <c r="D20" s="64"/>
      <c r="E20" s="64"/>
      <c r="F20" s="198"/>
      <c r="G20" s="199"/>
      <c r="H20" s="199"/>
      <c r="I20" s="199"/>
      <c r="J20" s="199"/>
      <c r="K20" s="199"/>
      <c r="L20" s="199"/>
      <c r="M20" s="199"/>
      <c r="N20" s="57"/>
      <c r="O20" s="200"/>
      <c r="P20" s="201"/>
      <c r="Q20" s="201"/>
      <c r="R20" s="201"/>
      <c r="S20" s="202"/>
      <c r="T20" s="203"/>
      <c r="U20" s="113"/>
    </row>
    <row r="21" spans="2:21" s="16" customFormat="1" ht="33.75" customHeight="1" thickBot="1" thickTop="1">
      <c r="B21" s="109"/>
      <c r="C21" s="149" t="s">
        <v>67</v>
      </c>
      <c r="D21" s="155" t="s">
        <v>97</v>
      </c>
      <c r="E21" s="153" t="s">
        <v>41</v>
      </c>
      <c r="F21" s="216" t="s">
        <v>68</v>
      </c>
      <c r="G21" s="317" t="s">
        <v>72</v>
      </c>
      <c r="H21" s="151" t="s">
        <v>73</v>
      </c>
      <c r="I21" s="153" t="s">
        <v>74</v>
      </c>
      <c r="J21" s="217" t="s">
        <v>75</v>
      </c>
      <c r="K21" s="217" t="s">
        <v>76</v>
      </c>
      <c r="L21" s="154" t="s">
        <v>77</v>
      </c>
      <c r="M21" s="152" t="s">
        <v>80</v>
      </c>
      <c r="N21" s="462" t="s">
        <v>71</v>
      </c>
      <c r="O21" s="450" t="s">
        <v>92</v>
      </c>
      <c r="P21" s="469" t="s">
        <v>109</v>
      </c>
      <c r="Q21" s="470"/>
      <c r="R21" s="479" t="s">
        <v>85</v>
      </c>
      <c r="S21" s="156" t="s">
        <v>87</v>
      </c>
      <c r="T21" s="190" t="s">
        <v>88</v>
      </c>
      <c r="U21" s="113"/>
    </row>
    <row r="22" spans="2:21" s="16" customFormat="1" ht="16.5" customHeight="1" hidden="1" thickTop="1">
      <c r="B22" s="109"/>
      <c r="C22" s="20"/>
      <c r="D22" s="54"/>
      <c r="E22" s="54"/>
      <c r="F22" s="54"/>
      <c r="G22" s="326"/>
      <c r="H22" s="54"/>
      <c r="I22" s="54"/>
      <c r="J22" s="54"/>
      <c r="K22" s="54"/>
      <c r="L22" s="54"/>
      <c r="M22" s="54"/>
      <c r="N22" s="464"/>
      <c r="O22" s="467"/>
      <c r="P22" s="471"/>
      <c r="Q22" s="472"/>
      <c r="R22" s="480"/>
      <c r="S22" s="54"/>
      <c r="T22" s="568"/>
      <c r="U22" s="113"/>
    </row>
    <row r="23" spans="2:21" s="16" customFormat="1" ht="16.5" customHeight="1" thickTop="1">
      <c r="B23" s="109"/>
      <c r="C23" s="20"/>
      <c r="D23" s="55"/>
      <c r="E23" s="55"/>
      <c r="F23" s="55"/>
      <c r="G23" s="327"/>
      <c r="H23" s="55"/>
      <c r="I23" s="55"/>
      <c r="J23" s="55"/>
      <c r="K23" s="55"/>
      <c r="L23" s="55"/>
      <c r="M23" s="55"/>
      <c r="N23" s="461"/>
      <c r="O23" s="465"/>
      <c r="P23" s="473"/>
      <c r="Q23" s="474"/>
      <c r="R23" s="477"/>
      <c r="S23" s="55"/>
      <c r="T23" s="218"/>
      <c r="U23" s="113"/>
    </row>
    <row r="24" spans="2:21" s="16" customFormat="1" ht="16.5" customHeight="1">
      <c r="B24" s="109"/>
      <c r="C24" s="639"/>
      <c r="D24" s="721"/>
      <c r="E24" s="721"/>
      <c r="F24" s="722"/>
      <c r="G24" s="318"/>
      <c r="H24" s="816"/>
      <c r="I24" s="725"/>
      <c r="J24" s="56"/>
      <c r="K24" s="25"/>
      <c r="L24" s="659"/>
      <c r="M24" s="661"/>
      <c r="N24" s="727"/>
      <c r="O24" s="728"/>
      <c r="P24" s="729"/>
      <c r="Q24" s="730"/>
      <c r="R24" s="731"/>
      <c r="S24" s="661"/>
      <c r="T24" s="59"/>
      <c r="U24" s="113"/>
    </row>
    <row r="25" spans="2:21" s="16" customFormat="1" ht="16.5" customHeight="1">
      <c r="B25" s="109"/>
      <c r="C25" s="639">
        <v>36</v>
      </c>
      <c r="D25" s="721" t="s">
        <v>25</v>
      </c>
      <c r="E25" s="721" t="s">
        <v>171</v>
      </c>
      <c r="F25" s="722">
        <v>132</v>
      </c>
      <c r="G25" s="318">
        <f aca="true" t="shared" si="0" ref="G25:G42">IF(F25=500,$E$17,IF(F25=220,$E$18,$E$19))</f>
        <v>24.587</v>
      </c>
      <c r="H25" s="724">
        <v>38355.22708333333</v>
      </c>
      <c r="I25" s="725">
        <v>38355.56875</v>
      </c>
      <c r="J25" s="56">
        <f aca="true" t="shared" si="1" ref="J25:J42">IF(D25="","",(I25-H25)*24)</f>
        <v>8.200000000011642</v>
      </c>
      <c r="K25" s="25">
        <f aca="true" t="shared" si="2" ref="K25:K42">IF(D25="","",ROUND((I25-H25)*24*60,0))</f>
        <v>492</v>
      </c>
      <c r="L25" s="659" t="s">
        <v>175</v>
      </c>
      <c r="M25" s="661" t="str">
        <f aca="true" t="shared" si="3" ref="M25:M42">IF(D25="","",IF(L25="P","--","NO"))</f>
        <v>--</v>
      </c>
      <c r="N25" s="727">
        <f aca="true" t="shared" si="4" ref="N25:N42">IF(F25=500,$F$17,IF(F25=220,$F$18,$F$19))</f>
        <v>40</v>
      </c>
      <c r="O25" s="728">
        <f aca="true" t="shared" si="5" ref="O25:O42">IF(L25="P",G25*N25*ROUND(K25/60,2)*0.1,"--")</f>
        <v>806.4535999999999</v>
      </c>
      <c r="P25" s="729" t="str">
        <f aca="true" t="shared" si="6" ref="P25:P42">IF(AND(L25="F",M25="NO"),G25*N25,"--")</f>
        <v>--</v>
      </c>
      <c r="Q25" s="730" t="str">
        <f aca="true" t="shared" si="7" ref="Q25:Q42">IF(L25="F",G25*N25*ROUND(K25/60,2),"--")</f>
        <v>--</v>
      </c>
      <c r="R25" s="731" t="str">
        <f aca="true" t="shared" si="8" ref="R25:R42">IF(L25="RF",G25*N25*ROUND(K25/60,2),"--")</f>
        <v>--</v>
      </c>
      <c r="S25" s="661" t="str">
        <f aca="true" t="shared" si="9" ref="S25:S42">IF(D25="","","SI")</f>
        <v>SI</v>
      </c>
      <c r="T25" s="59">
        <f aca="true" t="shared" si="10" ref="T25:T42">IF(D25="","",SUM(O25:R25)*IF(S25="SI",1,2))</f>
        <v>806.4535999999999</v>
      </c>
      <c r="U25" s="113"/>
    </row>
    <row r="26" spans="2:21" s="16" customFormat="1" ht="16.5" customHeight="1">
      <c r="B26" s="109"/>
      <c r="C26" s="639">
        <v>37</v>
      </c>
      <c r="D26" s="721" t="s">
        <v>26</v>
      </c>
      <c r="E26" s="721" t="s">
        <v>156</v>
      </c>
      <c r="F26" s="722">
        <v>132</v>
      </c>
      <c r="G26" s="318">
        <f t="shared" si="0"/>
        <v>24.587</v>
      </c>
      <c r="H26" s="724">
        <v>38356.25833333333</v>
      </c>
      <c r="I26" s="725">
        <v>38356.592361111114</v>
      </c>
      <c r="J26" s="56">
        <f t="shared" si="1"/>
        <v>8.016666666779201</v>
      </c>
      <c r="K26" s="25">
        <f t="shared" si="2"/>
        <v>481</v>
      </c>
      <c r="L26" s="659" t="s">
        <v>175</v>
      </c>
      <c r="M26" s="661" t="str">
        <f t="shared" si="3"/>
        <v>--</v>
      </c>
      <c r="N26" s="727">
        <f t="shared" si="4"/>
        <v>40</v>
      </c>
      <c r="O26" s="728">
        <f t="shared" si="5"/>
        <v>788.75096</v>
      </c>
      <c r="P26" s="729" t="str">
        <f t="shared" si="6"/>
        <v>--</v>
      </c>
      <c r="Q26" s="730" t="str">
        <f t="shared" si="7"/>
        <v>--</v>
      </c>
      <c r="R26" s="731" t="str">
        <f t="shared" si="8"/>
        <v>--</v>
      </c>
      <c r="S26" s="661" t="str">
        <f t="shared" si="9"/>
        <v>SI</v>
      </c>
      <c r="T26" s="59">
        <f t="shared" si="10"/>
        <v>788.75096</v>
      </c>
      <c r="U26" s="113"/>
    </row>
    <row r="27" spans="2:21" s="16" customFormat="1" ht="16.5" customHeight="1">
      <c r="B27" s="109"/>
      <c r="C27" s="639">
        <v>38</v>
      </c>
      <c r="D27" s="721" t="s">
        <v>24</v>
      </c>
      <c r="E27" s="721" t="s">
        <v>34</v>
      </c>
      <c r="F27" s="722">
        <v>132</v>
      </c>
      <c r="G27" s="318">
        <f t="shared" si="0"/>
        <v>24.587</v>
      </c>
      <c r="H27" s="724">
        <v>38356.30347222222</v>
      </c>
      <c r="I27" s="725">
        <v>38356.44861111111</v>
      </c>
      <c r="J27" s="56">
        <f t="shared" si="1"/>
        <v>3.483333333337214</v>
      </c>
      <c r="K27" s="25">
        <f t="shared" si="2"/>
        <v>209</v>
      </c>
      <c r="L27" s="659" t="s">
        <v>175</v>
      </c>
      <c r="M27" s="661" t="str">
        <f t="shared" si="3"/>
        <v>--</v>
      </c>
      <c r="N27" s="727">
        <f t="shared" si="4"/>
        <v>40</v>
      </c>
      <c r="O27" s="728">
        <f t="shared" si="5"/>
        <v>342.25104000000005</v>
      </c>
      <c r="P27" s="729" t="str">
        <f t="shared" si="6"/>
        <v>--</v>
      </c>
      <c r="Q27" s="730" t="str">
        <f t="shared" si="7"/>
        <v>--</v>
      </c>
      <c r="R27" s="731" t="str">
        <f t="shared" si="8"/>
        <v>--</v>
      </c>
      <c r="S27" s="661" t="str">
        <f t="shared" si="9"/>
        <v>SI</v>
      </c>
      <c r="T27" s="59">
        <f t="shared" si="10"/>
        <v>342.25104000000005</v>
      </c>
      <c r="U27" s="113"/>
    </row>
    <row r="28" spans="2:21" s="16" customFormat="1" ht="16.5" customHeight="1">
      <c r="B28" s="109"/>
      <c r="C28" s="639">
        <v>39</v>
      </c>
      <c r="D28" s="721" t="s">
        <v>22</v>
      </c>
      <c r="E28" s="721" t="s">
        <v>160</v>
      </c>
      <c r="F28" s="722">
        <v>132</v>
      </c>
      <c r="G28" s="318">
        <f t="shared" si="0"/>
        <v>24.587</v>
      </c>
      <c r="H28" s="724">
        <v>38368.29027777778</v>
      </c>
      <c r="I28" s="725">
        <v>38368.50555555556</v>
      </c>
      <c r="J28" s="56">
        <f t="shared" si="1"/>
        <v>5.166666666744277</v>
      </c>
      <c r="K28" s="25">
        <f t="shared" si="2"/>
        <v>310</v>
      </c>
      <c r="L28" s="659" t="s">
        <v>175</v>
      </c>
      <c r="M28" s="661" t="str">
        <f t="shared" si="3"/>
        <v>--</v>
      </c>
      <c r="N28" s="727">
        <f t="shared" si="4"/>
        <v>40</v>
      </c>
      <c r="O28" s="728">
        <f t="shared" si="5"/>
        <v>508.45916</v>
      </c>
      <c r="P28" s="729" t="str">
        <f t="shared" si="6"/>
        <v>--</v>
      </c>
      <c r="Q28" s="730" t="str">
        <f t="shared" si="7"/>
        <v>--</v>
      </c>
      <c r="R28" s="731" t="str">
        <f t="shared" si="8"/>
        <v>--</v>
      </c>
      <c r="S28" s="661" t="str">
        <f t="shared" si="9"/>
        <v>SI</v>
      </c>
      <c r="T28" s="59">
        <f t="shared" si="10"/>
        <v>508.45916</v>
      </c>
      <c r="U28" s="113"/>
    </row>
    <row r="29" spans="2:21" s="16" customFormat="1" ht="16.5" customHeight="1">
      <c r="B29" s="109"/>
      <c r="C29" s="639">
        <v>40</v>
      </c>
      <c r="D29" s="721" t="s">
        <v>16</v>
      </c>
      <c r="E29" s="721" t="s">
        <v>161</v>
      </c>
      <c r="F29" s="722">
        <v>132</v>
      </c>
      <c r="G29" s="318">
        <f t="shared" si="0"/>
        <v>24.587</v>
      </c>
      <c r="H29" s="724">
        <v>38371.25763888889</v>
      </c>
      <c r="I29" s="725">
        <v>38371.381944444445</v>
      </c>
      <c r="J29" s="56">
        <f t="shared" si="1"/>
        <v>2.983333333279006</v>
      </c>
      <c r="K29" s="25">
        <f t="shared" si="2"/>
        <v>179</v>
      </c>
      <c r="L29" s="659" t="s">
        <v>175</v>
      </c>
      <c r="M29" s="661" t="str">
        <f t="shared" si="3"/>
        <v>--</v>
      </c>
      <c r="N29" s="727">
        <f t="shared" si="4"/>
        <v>40</v>
      </c>
      <c r="O29" s="728">
        <f t="shared" si="5"/>
        <v>293.07704</v>
      </c>
      <c r="P29" s="729" t="str">
        <f t="shared" si="6"/>
        <v>--</v>
      </c>
      <c r="Q29" s="730" t="str">
        <f t="shared" si="7"/>
        <v>--</v>
      </c>
      <c r="R29" s="731" t="str">
        <f t="shared" si="8"/>
        <v>--</v>
      </c>
      <c r="S29" s="661" t="str">
        <f t="shared" si="9"/>
        <v>SI</v>
      </c>
      <c r="T29" s="59">
        <f t="shared" si="10"/>
        <v>293.07704</v>
      </c>
      <c r="U29" s="113"/>
    </row>
    <row r="30" spans="2:21" s="16" customFormat="1" ht="16.5" customHeight="1">
      <c r="B30" s="109"/>
      <c r="C30" s="639">
        <v>41</v>
      </c>
      <c r="D30" s="721" t="s">
        <v>23</v>
      </c>
      <c r="E30" s="721" t="s">
        <v>33</v>
      </c>
      <c r="F30" s="722">
        <v>132</v>
      </c>
      <c r="G30" s="318">
        <f t="shared" si="0"/>
        <v>24.587</v>
      </c>
      <c r="H30" s="724">
        <v>38371.299305555556</v>
      </c>
      <c r="I30" s="725">
        <v>38371.70208333333</v>
      </c>
      <c r="J30" s="56">
        <f t="shared" si="1"/>
        <v>9.666666666569654</v>
      </c>
      <c r="K30" s="25">
        <f t="shared" si="2"/>
        <v>580</v>
      </c>
      <c r="L30" s="659" t="s">
        <v>175</v>
      </c>
      <c r="M30" s="661" t="str">
        <f t="shared" si="3"/>
        <v>--</v>
      </c>
      <c r="N30" s="727">
        <f t="shared" si="4"/>
        <v>40</v>
      </c>
      <c r="O30" s="728">
        <f t="shared" si="5"/>
        <v>951.02516</v>
      </c>
      <c r="P30" s="729" t="str">
        <f t="shared" si="6"/>
        <v>--</v>
      </c>
      <c r="Q30" s="730" t="str">
        <f t="shared" si="7"/>
        <v>--</v>
      </c>
      <c r="R30" s="731" t="str">
        <f t="shared" si="8"/>
        <v>--</v>
      </c>
      <c r="S30" s="661" t="str">
        <f t="shared" si="9"/>
        <v>SI</v>
      </c>
      <c r="T30" s="59">
        <f t="shared" si="10"/>
        <v>951.02516</v>
      </c>
      <c r="U30" s="113"/>
    </row>
    <row r="31" spans="2:21" s="16" customFormat="1" ht="16.5" customHeight="1">
      <c r="B31" s="109"/>
      <c r="C31" s="639">
        <v>42</v>
      </c>
      <c r="D31" s="721" t="s">
        <v>23</v>
      </c>
      <c r="E31" s="721" t="s">
        <v>33</v>
      </c>
      <c r="F31" s="722">
        <v>132</v>
      </c>
      <c r="G31" s="318">
        <f t="shared" si="0"/>
        <v>24.587</v>
      </c>
      <c r="H31" s="724">
        <v>38372.30069444444</v>
      </c>
      <c r="I31" s="725">
        <v>38372.69513888889</v>
      </c>
      <c r="J31" s="56">
        <f t="shared" si="1"/>
        <v>9.466666666790843</v>
      </c>
      <c r="K31" s="25">
        <f t="shared" si="2"/>
        <v>568</v>
      </c>
      <c r="L31" s="659" t="s">
        <v>175</v>
      </c>
      <c r="M31" s="661" t="str">
        <f t="shared" si="3"/>
        <v>--</v>
      </c>
      <c r="N31" s="727">
        <f t="shared" si="4"/>
        <v>40</v>
      </c>
      <c r="O31" s="728">
        <f t="shared" si="5"/>
        <v>931.3555600000002</v>
      </c>
      <c r="P31" s="729" t="str">
        <f t="shared" si="6"/>
        <v>--</v>
      </c>
      <c r="Q31" s="730" t="str">
        <f t="shared" si="7"/>
        <v>--</v>
      </c>
      <c r="R31" s="731" t="str">
        <f t="shared" si="8"/>
        <v>--</v>
      </c>
      <c r="S31" s="661" t="str">
        <f t="shared" si="9"/>
        <v>SI</v>
      </c>
      <c r="T31" s="59">
        <f t="shared" si="10"/>
        <v>931.3555600000002</v>
      </c>
      <c r="U31" s="113"/>
    </row>
    <row r="32" spans="2:21" s="16" customFormat="1" ht="16.5" customHeight="1">
      <c r="B32" s="109"/>
      <c r="C32" s="639">
        <v>43</v>
      </c>
      <c r="D32" s="721" t="s">
        <v>23</v>
      </c>
      <c r="E32" s="721" t="s">
        <v>33</v>
      </c>
      <c r="F32" s="722">
        <v>132</v>
      </c>
      <c r="G32" s="318">
        <f t="shared" si="0"/>
        <v>24.587</v>
      </c>
      <c r="H32" s="724">
        <v>38373.3</v>
      </c>
      <c r="I32" s="725">
        <v>38373.569444444445</v>
      </c>
      <c r="J32" s="56">
        <f t="shared" si="1"/>
        <v>6.46666666661622</v>
      </c>
      <c r="K32" s="25">
        <f t="shared" si="2"/>
        <v>388</v>
      </c>
      <c r="L32" s="659" t="s">
        <v>175</v>
      </c>
      <c r="M32" s="661" t="str">
        <f t="shared" si="3"/>
        <v>--</v>
      </c>
      <c r="N32" s="727">
        <f t="shared" si="4"/>
        <v>40</v>
      </c>
      <c r="O32" s="728">
        <f t="shared" si="5"/>
        <v>636.3115600000001</v>
      </c>
      <c r="P32" s="729" t="str">
        <f t="shared" si="6"/>
        <v>--</v>
      </c>
      <c r="Q32" s="730" t="str">
        <f t="shared" si="7"/>
        <v>--</v>
      </c>
      <c r="R32" s="731" t="str">
        <f t="shared" si="8"/>
        <v>--</v>
      </c>
      <c r="S32" s="661" t="str">
        <f t="shared" si="9"/>
        <v>SI</v>
      </c>
      <c r="T32" s="59">
        <f t="shared" si="10"/>
        <v>636.3115600000001</v>
      </c>
      <c r="U32" s="113"/>
    </row>
    <row r="33" spans="2:21" s="16" customFormat="1" ht="16.5" customHeight="1">
      <c r="B33" s="109"/>
      <c r="C33" s="639">
        <v>44</v>
      </c>
      <c r="D33" s="721" t="s">
        <v>23</v>
      </c>
      <c r="E33" s="721" t="s">
        <v>172</v>
      </c>
      <c r="F33" s="722">
        <v>132</v>
      </c>
      <c r="G33" s="318">
        <f t="shared" si="0"/>
        <v>24.587</v>
      </c>
      <c r="H33" s="724">
        <v>38374.40694444445</v>
      </c>
      <c r="I33" s="725">
        <v>38378.631944444445</v>
      </c>
      <c r="J33" s="56">
        <f t="shared" si="1"/>
        <v>101.39999999996508</v>
      </c>
      <c r="K33" s="25">
        <f t="shared" si="2"/>
        <v>6084</v>
      </c>
      <c r="L33" s="659" t="s">
        <v>175</v>
      </c>
      <c r="M33" s="661" t="str">
        <f t="shared" si="3"/>
        <v>--</v>
      </c>
      <c r="N33" s="727">
        <f t="shared" si="4"/>
        <v>40</v>
      </c>
      <c r="O33" s="728">
        <f t="shared" si="5"/>
        <v>9972.487200000001</v>
      </c>
      <c r="P33" s="729" t="str">
        <f t="shared" si="6"/>
        <v>--</v>
      </c>
      <c r="Q33" s="730" t="str">
        <f t="shared" si="7"/>
        <v>--</v>
      </c>
      <c r="R33" s="731" t="str">
        <f t="shared" si="8"/>
        <v>--</v>
      </c>
      <c r="S33" s="661" t="str">
        <f t="shared" si="9"/>
        <v>SI</v>
      </c>
      <c r="T33" s="59">
        <f t="shared" si="10"/>
        <v>9972.487200000001</v>
      </c>
      <c r="U33" s="113"/>
    </row>
    <row r="34" spans="2:21" s="16" customFormat="1" ht="16.5" customHeight="1">
      <c r="B34" s="109"/>
      <c r="C34" s="639">
        <v>45</v>
      </c>
      <c r="D34" s="721" t="s">
        <v>13</v>
      </c>
      <c r="E34" s="721" t="s">
        <v>32</v>
      </c>
      <c r="F34" s="722">
        <v>132</v>
      </c>
      <c r="G34" s="318">
        <f t="shared" si="0"/>
        <v>24.587</v>
      </c>
      <c r="H34" s="724">
        <v>38375.106944444444</v>
      </c>
      <c r="I34" s="725">
        <v>38375.865277777775</v>
      </c>
      <c r="J34" s="56">
        <f t="shared" si="1"/>
        <v>18.199999999953434</v>
      </c>
      <c r="K34" s="25">
        <f t="shared" si="2"/>
        <v>1092</v>
      </c>
      <c r="L34" s="659" t="s">
        <v>175</v>
      </c>
      <c r="M34" s="661" t="str">
        <f t="shared" si="3"/>
        <v>--</v>
      </c>
      <c r="N34" s="727">
        <f t="shared" si="4"/>
        <v>40</v>
      </c>
      <c r="O34" s="728">
        <f t="shared" si="5"/>
        <v>1789.9336</v>
      </c>
      <c r="P34" s="729" t="str">
        <f t="shared" si="6"/>
        <v>--</v>
      </c>
      <c r="Q34" s="730" t="str">
        <f t="shared" si="7"/>
        <v>--</v>
      </c>
      <c r="R34" s="731" t="str">
        <f t="shared" si="8"/>
        <v>--</v>
      </c>
      <c r="S34" s="661" t="str">
        <f t="shared" si="9"/>
        <v>SI</v>
      </c>
      <c r="T34" s="59">
        <f t="shared" si="10"/>
        <v>1789.9336</v>
      </c>
      <c r="U34" s="113"/>
    </row>
    <row r="35" spans="2:21" s="16" customFormat="1" ht="16.5" customHeight="1">
      <c r="B35" s="109"/>
      <c r="C35" s="639">
        <v>46</v>
      </c>
      <c r="D35" s="721" t="s">
        <v>13</v>
      </c>
      <c r="E35" s="721" t="s">
        <v>31</v>
      </c>
      <c r="F35" s="722">
        <v>132</v>
      </c>
      <c r="G35" s="318">
        <f t="shared" si="0"/>
        <v>24.587</v>
      </c>
      <c r="H35" s="724">
        <v>38375.10763888889</v>
      </c>
      <c r="I35" s="725">
        <v>38375.865277777775</v>
      </c>
      <c r="J35" s="56">
        <f t="shared" si="1"/>
        <v>18.18333333323244</v>
      </c>
      <c r="K35" s="25">
        <f t="shared" si="2"/>
        <v>1091</v>
      </c>
      <c r="L35" s="659" t="s">
        <v>175</v>
      </c>
      <c r="M35" s="661" t="str">
        <f t="shared" si="3"/>
        <v>--</v>
      </c>
      <c r="N35" s="727">
        <f t="shared" si="4"/>
        <v>40</v>
      </c>
      <c r="O35" s="728">
        <f t="shared" si="5"/>
        <v>1787.9666399999999</v>
      </c>
      <c r="P35" s="729" t="str">
        <f t="shared" si="6"/>
        <v>--</v>
      </c>
      <c r="Q35" s="730" t="str">
        <f t="shared" si="7"/>
        <v>--</v>
      </c>
      <c r="R35" s="731" t="str">
        <f t="shared" si="8"/>
        <v>--</v>
      </c>
      <c r="S35" s="661" t="str">
        <f t="shared" si="9"/>
        <v>SI</v>
      </c>
      <c r="T35" s="59">
        <f t="shared" si="10"/>
        <v>1787.9666399999999</v>
      </c>
      <c r="U35" s="113"/>
    </row>
    <row r="36" spans="2:21" s="16" customFormat="1" ht="16.5" customHeight="1">
      <c r="B36" s="109"/>
      <c r="C36" s="639"/>
      <c r="D36" s="721"/>
      <c r="E36" s="721"/>
      <c r="F36" s="722"/>
      <c r="G36" s="318">
        <f t="shared" si="0"/>
        <v>24.587</v>
      </c>
      <c r="H36" s="724"/>
      <c r="I36" s="725"/>
      <c r="J36" s="56">
        <f t="shared" si="1"/>
      </c>
      <c r="K36" s="25">
        <f t="shared" si="2"/>
      </c>
      <c r="L36" s="659"/>
      <c r="M36" s="661">
        <f t="shared" si="3"/>
      </c>
      <c r="N36" s="727">
        <f t="shared" si="4"/>
        <v>40</v>
      </c>
      <c r="O36" s="728" t="str">
        <f t="shared" si="5"/>
        <v>--</v>
      </c>
      <c r="P36" s="729" t="str">
        <f t="shared" si="6"/>
        <v>--</v>
      </c>
      <c r="Q36" s="730" t="str">
        <f t="shared" si="7"/>
        <v>--</v>
      </c>
      <c r="R36" s="731" t="str">
        <f t="shared" si="8"/>
        <v>--</v>
      </c>
      <c r="S36" s="661">
        <f t="shared" si="9"/>
      </c>
      <c r="T36" s="59">
        <f t="shared" si="10"/>
      </c>
      <c r="U36" s="113"/>
    </row>
    <row r="37" spans="2:21" s="16" customFormat="1" ht="16.5" customHeight="1">
      <c r="B37" s="109"/>
      <c r="C37" s="639"/>
      <c r="D37" s="721"/>
      <c r="E37" s="721"/>
      <c r="F37" s="722"/>
      <c r="G37" s="318">
        <f t="shared" si="0"/>
        <v>24.587</v>
      </c>
      <c r="H37" s="724"/>
      <c r="I37" s="725"/>
      <c r="J37" s="56">
        <f t="shared" si="1"/>
      </c>
      <c r="K37" s="25">
        <f t="shared" si="2"/>
      </c>
      <c r="L37" s="659"/>
      <c r="M37" s="661">
        <f t="shared" si="3"/>
      </c>
      <c r="N37" s="727">
        <f t="shared" si="4"/>
        <v>40</v>
      </c>
      <c r="O37" s="728" t="str">
        <f t="shared" si="5"/>
        <v>--</v>
      </c>
      <c r="P37" s="729" t="str">
        <f t="shared" si="6"/>
        <v>--</v>
      </c>
      <c r="Q37" s="730" t="str">
        <f t="shared" si="7"/>
        <v>--</v>
      </c>
      <c r="R37" s="731" t="str">
        <f t="shared" si="8"/>
        <v>--</v>
      </c>
      <c r="S37" s="661">
        <f t="shared" si="9"/>
      </c>
      <c r="T37" s="59">
        <f t="shared" si="10"/>
      </c>
      <c r="U37" s="113"/>
    </row>
    <row r="38" spans="2:21" s="16" customFormat="1" ht="16.5" customHeight="1">
      <c r="B38" s="109"/>
      <c r="C38" s="639"/>
      <c r="D38" s="721"/>
      <c r="E38" s="721"/>
      <c r="F38" s="722"/>
      <c r="G38" s="318">
        <f t="shared" si="0"/>
        <v>24.587</v>
      </c>
      <c r="H38" s="724"/>
      <c r="I38" s="725"/>
      <c r="J38" s="56">
        <f t="shared" si="1"/>
      </c>
      <c r="K38" s="25">
        <f t="shared" si="2"/>
      </c>
      <c r="L38" s="659"/>
      <c r="M38" s="661">
        <f t="shared" si="3"/>
      </c>
      <c r="N38" s="727">
        <f t="shared" si="4"/>
        <v>40</v>
      </c>
      <c r="O38" s="728" t="str">
        <f t="shared" si="5"/>
        <v>--</v>
      </c>
      <c r="P38" s="729" t="str">
        <f t="shared" si="6"/>
        <v>--</v>
      </c>
      <c r="Q38" s="730" t="str">
        <f t="shared" si="7"/>
        <v>--</v>
      </c>
      <c r="R38" s="731" t="str">
        <f t="shared" si="8"/>
        <v>--</v>
      </c>
      <c r="S38" s="661">
        <f t="shared" si="9"/>
      </c>
      <c r="T38" s="59"/>
      <c r="U38" s="113"/>
    </row>
    <row r="39" spans="2:21" s="16" customFormat="1" ht="16.5" customHeight="1">
      <c r="B39" s="109"/>
      <c r="C39" s="639"/>
      <c r="D39" s="721"/>
      <c r="E39" s="721"/>
      <c r="F39" s="722"/>
      <c r="G39" s="318">
        <f t="shared" si="0"/>
        <v>24.587</v>
      </c>
      <c r="H39" s="724"/>
      <c r="I39" s="725"/>
      <c r="J39" s="56">
        <f t="shared" si="1"/>
      </c>
      <c r="K39" s="25">
        <f t="shared" si="2"/>
      </c>
      <c r="L39" s="659"/>
      <c r="M39" s="661">
        <f t="shared" si="3"/>
      </c>
      <c r="N39" s="727">
        <f t="shared" si="4"/>
        <v>40</v>
      </c>
      <c r="O39" s="728" t="str">
        <f t="shared" si="5"/>
        <v>--</v>
      </c>
      <c r="P39" s="729" t="str">
        <f t="shared" si="6"/>
        <v>--</v>
      </c>
      <c r="Q39" s="730" t="str">
        <f t="shared" si="7"/>
        <v>--</v>
      </c>
      <c r="R39" s="731" t="str">
        <f t="shared" si="8"/>
        <v>--</v>
      </c>
      <c r="S39" s="661">
        <f t="shared" si="9"/>
      </c>
      <c r="T39" s="59">
        <f t="shared" si="10"/>
      </c>
      <c r="U39" s="113"/>
    </row>
    <row r="40" spans="2:21" s="16" customFormat="1" ht="16.5" customHeight="1">
      <c r="B40" s="109"/>
      <c r="C40" s="639"/>
      <c r="D40" s="721"/>
      <c r="E40" s="721"/>
      <c r="F40" s="722"/>
      <c r="G40" s="318">
        <f t="shared" si="0"/>
        <v>24.587</v>
      </c>
      <c r="H40" s="724"/>
      <c r="I40" s="725"/>
      <c r="J40" s="56">
        <f t="shared" si="1"/>
      </c>
      <c r="K40" s="25">
        <f t="shared" si="2"/>
      </c>
      <c r="L40" s="659"/>
      <c r="M40" s="661">
        <f t="shared" si="3"/>
      </c>
      <c r="N40" s="727">
        <f t="shared" si="4"/>
        <v>40</v>
      </c>
      <c r="O40" s="728" t="str">
        <f t="shared" si="5"/>
        <v>--</v>
      </c>
      <c r="P40" s="729" t="str">
        <f t="shared" si="6"/>
        <v>--</v>
      </c>
      <c r="Q40" s="730" t="str">
        <f t="shared" si="7"/>
        <v>--</v>
      </c>
      <c r="R40" s="731" t="str">
        <f t="shared" si="8"/>
        <v>--</v>
      </c>
      <c r="S40" s="661">
        <f t="shared" si="9"/>
      </c>
      <c r="T40" s="59">
        <f t="shared" si="10"/>
      </c>
      <c r="U40" s="113"/>
    </row>
    <row r="41" spans="2:21" s="16" customFormat="1" ht="16.5" customHeight="1">
      <c r="B41" s="109"/>
      <c r="C41" s="639"/>
      <c r="D41" s="721"/>
      <c r="E41" s="721"/>
      <c r="F41" s="722"/>
      <c r="G41" s="318">
        <f t="shared" si="0"/>
        <v>24.587</v>
      </c>
      <c r="H41" s="724"/>
      <c r="I41" s="725"/>
      <c r="J41" s="56">
        <f t="shared" si="1"/>
      </c>
      <c r="K41" s="25">
        <f t="shared" si="2"/>
      </c>
      <c r="L41" s="659"/>
      <c r="M41" s="661">
        <f t="shared" si="3"/>
      </c>
      <c r="N41" s="727">
        <f t="shared" si="4"/>
        <v>40</v>
      </c>
      <c r="O41" s="728" t="str">
        <f t="shared" si="5"/>
        <v>--</v>
      </c>
      <c r="P41" s="729" t="str">
        <f t="shared" si="6"/>
        <v>--</v>
      </c>
      <c r="Q41" s="730" t="str">
        <f t="shared" si="7"/>
        <v>--</v>
      </c>
      <c r="R41" s="731" t="str">
        <f t="shared" si="8"/>
        <v>--</v>
      </c>
      <c r="S41" s="661">
        <f t="shared" si="9"/>
      </c>
      <c r="T41" s="59">
        <f t="shared" si="10"/>
      </c>
      <c r="U41" s="113"/>
    </row>
    <row r="42" spans="2:21" s="16" customFormat="1" ht="16.5" customHeight="1">
      <c r="B42" s="109"/>
      <c r="C42" s="639"/>
      <c r="D42" s="721"/>
      <c r="E42" s="721"/>
      <c r="F42" s="722"/>
      <c r="G42" s="318">
        <f t="shared" si="0"/>
        <v>24.587</v>
      </c>
      <c r="H42" s="724"/>
      <c r="I42" s="725"/>
      <c r="J42" s="56">
        <f t="shared" si="1"/>
      </c>
      <c r="K42" s="25">
        <f t="shared" si="2"/>
      </c>
      <c r="L42" s="659"/>
      <c r="M42" s="661">
        <f t="shared" si="3"/>
      </c>
      <c r="N42" s="727">
        <f t="shared" si="4"/>
        <v>40</v>
      </c>
      <c r="O42" s="728" t="str">
        <f t="shared" si="5"/>
        <v>--</v>
      </c>
      <c r="P42" s="729" t="str">
        <f t="shared" si="6"/>
        <v>--</v>
      </c>
      <c r="Q42" s="730" t="str">
        <f t="shared" si="7"/>
        <v>--</v>
      </c>
      <c r="R42" s="731" t="str">
        <f t="shared" si="8"/>
        <v>--</v>
      </c>
      <c r="S42" s="661">
        <f t="shared" si="9"/>
      </c>
      <c r="T42" s="59">
        <f t="shared" si="10"/>
      </c>
      <c r="U42" s="113"/>
    </row>
    <row r="43" spans="2:21" s="16" customFormat="1" ht="16.5" customHeight="1" thickBot="1">
      <c r="B43" s="109"/>
      <c r="C43" s="648"/>
      <c r="D43" s="723"/>
      <c r="E43" s="723"/>
      <c r="F43" s="649"/>
      <c r="G43" s="319"/>
      <c r="H43" s="726"/>
      <c r="I43" s="726"/>
      <c r="J43" s="60"/>
      <c r="K43" s="60"/>
      <c r="L43" s="726"/>
      <c r="M43" s="658"/>
      <c r="N43" s="732"/>
      <c r="O43" s="733"/>
      <c r="P43" s="734"/>
      <c r="Q43" s="735"/>
      <c r="R43" s="736"/>
      <c r="S43" s="658"/>
      <c r="T43" s="219"/>
      <c r="U43" s="113"/>
    </row>
    <row r="44" spans="2:21" s="16" customFormat="1" ht="16.5" customHeight="1" thickBot="1" thickTop="1">
      <c r="B44" s="109"/>
      <c r="C44" s="251" t="s">
        <v>89</v>
      </c>
      <c r="D44" s="252" t="s">
        <v>90</v>
      </c>
      <c r="E44"/>
      <c r="F44" s="14"/>
      <c r="G44" s="14"/>
      <c r="H44" s="14"/>
      <c r="I44" s="14"/>
      <c r="J44" s="14"/>
      <c r="K44" s="14"/>
      <c r="L44" s="14"/>
      <c r="M44" s="14"/>
      <c r="N44" s="14"/>
      <c r="O44" s="468">
        <f>SUM(O22:O43)</f>
        <v>18808.07152</v>
      </c>
      <c r="P44" s="475">
        <f>SUM(P22:P43)</f>
        <v>0</v>
      </c>
      <c r="Q44" s="476">
        <f>SUM(Q22:Q43)</f>
        <v>0</v>
      </c>
      <c r="R44" s="478">
        <f>SUM(R22:R43)</f>
        <v>0</v>
      </c>
      <c r="S44" s="61"/>
      <c r="T44" s="62">
        <f>ROUND(SUM(T22:T43),2)</f>
        <v>18808.07</v>
      </c>
      <c r="U44" s="113"/>
    </row>
    <row r="45" spans="2:21" s="255" customFormat="1" ht="13.5" thickTop="1">
      <c r="B45" s="256"/>
      <c r="C45" s="253"/>
      <c r="D45" s="254" t="s">
        <v>91</v>
      </c>
      <c r="E45"/>
      <c r="F45" s="272"/>
      <c r="G45" s="272"/>
      <c r="H45" s="272"/>
      <c r="I45" s="272"/>
      <c r="J45" s="272"/>
      <c r="K45" s="272"/>
      <c r="L45" s="272"/>
      <c r="M45" s="272"/>
      <c r="N45" s="272"/>
      <c r="O45" s="270"/>
      <c r="P45" s="270"/>
      <c r="Q45" s="270"/>
      <c r="R45" s="270"/>
      <c r="S45" s="270"/>
      <c r="T45" s="273"/>
      <c r="U45" s="274"/>
    </row>
    <row r="46" spans="2:21" s="16" customFormat="1" ht="16.5" customHeight="1" thickBot="1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  <row r="47" spans="21:23" ht="16.5" customHeight="1" thickTop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8"/>
  <sheetViews>
    <sheetView zoomScale="75" zoomScaleNormal="75" workbookViewId="0" topLeftCell="E1">
      <selection activeCell="M31" sqref="M3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7" customFormat="1" ht="26.25">
      <c r="A1" s="127"/>
      <c r="U1" s="625"/>
    </row>
    <row r="2" spans="1:21" s="77" customFormat="1" ht="26.25">
      <c r="A2" s="127"/>
      <c r="B2" s="78" t="str">
        <f>+'tot-0501'!B2</f>
        <v>ANEXO I a la Resolución E.N.R.E. N°             586 /2007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="16" customFormat="1" ht="12.75">
      <c r="A3" s="49"/>
    </row>
    <row r="4" spans="1:2" s="84" customFormat="1" ht="11.25">
      <c r="A4" s="82" t="s">
        <v>46</v>
      </c>
      <c r="B4" s="158"/>
    </row>
    <row r="5" spans="1:2" s="84" customFormat="1" ht="11.25">
      <c r="A5" s="82" t="s">
        <v>47</v>
      </c>
      <c r="B5" s="158"/>
    </row>
    <row r="6" s="16" customFormat="1" ht="13.5" thickBot="1"/>
    <row r="7" spans="2:21" s="16" customFormat="1" ht="13.5" thickTop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96"/>
    </row>
    <row r="8" spans="2:21" s="10" customFormat="1" ht="20.25">
      <c r="B8" s="142"/>
      <c r="C8" s="11"/>
      <c r="D8" s="52" t="s">
        <v>62</v>
      </c>
      <c r="L8" s="172"/>
      <c r="M8" s="172"/>
      <c r="N8" s="34"/>
      <c r="O8" s="11"/>
      <c r="P8" s="11"/>
      <c r="Q8" s="11"/>
      <c r="R8" s="11"/>
      <c r="S8" s="11"/>
      <c r="T8" s="11"/>
      <c r="U8" s="205"/>
    </row>
    <row r="9" spans="2:21" s="16" customFormat="1" ht="12.75">
      <c r="B9" s="109"/>
      <c r="C9" s="1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14"/>
      <c r="P9" s="14"/>
      <c r="Q9" s="14"/>
      <c r="R9" s="14"/>
      <c r="S9" s="14"/>
      <c r="T9" s="14"/>
      <c r="U9" s="113"/>
    </row>
    <row r="10" spans="2:21" s="10" customFormat="1" ht="20.25">
      <c r="B10" s="142"/>
      <c r="C10" s="11"/>
      <c r="D10" s="176" t="s">
        <v>110</v>
      </c>
      <c r="E10" s="35"/>
      <c r="F10" s="172"/>
      <c r="G10" s="206"/>
      <c r="I10" s="206"/>
      <c r="J10" s="206"/>
      <c r="K10" s="206"/>
      <c r="L10" s="206"/>
      <c r="M10" s="206"/>
      <c r="N10" s="206"/>
      <c r="O10" s="11"/>
      <c r="P10" s="11"/>
      <c r="Q10" s="11"/>
      <c r="R10" s="11"/>
      <c r="S10" s="11"/>
      <c r="T10" s="11"/>
      <c r="U10" s="205"/>
    </row>
    <row r="11" spans="2:21" s="16" customFormat="1" ht="13.5">
      <c r="B11" s="109"/>
      <c r="C11" s="14"/>
      <c r="D11" s="204"/>
      <c r="E11" s="204"/>
      <c r="F11" s="49"/>
      <c r="G11" s="197"/>
      <c r="H11" s="111"/>
      <c r="I11" s="197"/>
      <c r="J11" s="197"/>
      <c r="K11" s="197"/>
      <c r="L11" s="197"/>
      <c r="M11" s="197"/>
      <c r="N11" s="197"/>
      <c r="O11" s="14"/>
      <c r="P11" s="14"/>
      <c r="Q11" s="14"/>
      <c r="R11" s="14"/>
      <c r="S11" s="14"/>
      <c r="T11" s="14"/>
      <c r="U11" s="113"/>
    </row>
    <row r="12" spans="2:21" s="16" customFormat="1" ht="19.5">
      <c r="B12" s="97" t="str">
        <f>+'tot-0501'!B14</f>
        <v>Desde el 01 al 31 de enero de 2005</v>
      </c>
      <c r="C12" s="100"/>
      <c r="D12" s="100"/>
      <c r="E12" s="100"/>
      <c r="F12" s="100"/>
      <c r="G12" s="207"/>
      <c r="H12" s="207"/>
      <c r="I12" s="207"/>
      <c r="J12" s="207"/>
      <c r="K12" s="207"/>
      <c r="L12" s="207"/>
      <c r="M12" s="207"/>
      <c r="N12" s="207"/>
      <c r="O12" s="100"/>
      <c r="P12" s="100"/>
      <c r="Q12" s="100"/>
      <c r="R12" s="100"/>
      <c r="S12" s="100"/>
      <c r="T12" s="100"/>
      <c r="U12" s="208"/>
    </row>
    <row r="13" spans="2:21" s="16" customFormat="1" ht="14.25" thickBot="1">
      <c r="B13" s="209"/>
      <c r="C13" s="210"/>
      <c r="D13" s="210"/>
      <c r="E13" s="210"/>
      <c r="F13" s="210"/>
      <c r="G13" s="211"/>
      <c r="H13" s="211"/>
      <c r="I13" s="211"/>
      <c r="J13" s="211"/>
      <c r="K13" s="211"/>
      <c r="L13" s="211"/>
      <c r="M13" s="211"/>
      <c r="N13" s="211"/>
      <c r="O13" s="210"/>
      <c r="P13" s="210"/>
      <c r="Q13" s="210"/>
      <c r="R13" s="210"/>
      <c r="S13" s="210"/>
      <c r="T13" s="210"/>
      <c r="U13" s="212"/>
    </row>
    <row r="14" spans="2:21" s="16" customFormat="1" ht="15" thickBot="1" thickTop="1">
      <c r="B14" s="109"/>
      <c r="C14" s="14"/>
      <c r="D14" s="213"/>
      <c r="E14" s="213"/>
      <c r="F14" s="214" t="s">
        <v>105</v>
      </c>
      <c r="G14" s="14"/>
      <c r="H14" s="1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13"/>
    </row>
    <row r="15" spans="2:21" s="16" customFormat="1" ht="16.5" customHeight="1" thickBot="1" thickTop="1">
      <c r="B15" s="109"/>
      <c r="C15" s="14"/>
      <c r="D15" s="630" t="s">
        <v>106</v>
      </c>
      <c r="E15" s="631">
        <v>11.787</v>
      </c>
      <c r="F15" s="632">
        <v>200</v>
      </c>
      <c r="T15" s="134"/>
      <c r="U15" s="113"/>
    </row>
    <row r="16" spans="2:21" s="16" customFormat="1" ht="16.5" customHeight="1" thickBot="1" thickTop="1">
      <c r="B16" s="109"/>
      <c r="C16" s="14"/>
      <c r="D16" s="633" t="s">
        <v>107</v>
      </c>
      <c r="E16" s="634">
        <v>10.609</v>
      </c>
      <c r="F16" s="632">
        <v>100</v>
      </c>
      <c r="M16" s="14"/>
      <c r="N16" s="14"/>
      <c r="O16" s="14"/>
      <c r="P16" s="14"/>
      <c r="Q16" s="14"/>
      <c r="R16" s="14"/>
      <c r="S16" s="14"/>
      <c r="T16" s="14"/>
      <c r="U16" s="113"/>
    </row>
    <row r="17" spans="2:21" s="16" customFormat="1" ht="16.5" customHeight="1" thickBot="1" thickTop="1">
      <c r="B17" s="109"/>
      <c r="C17" s="14"/>
      <c r="D17" s="635" t="s">
        <v>108</v>
      </c>
      <c r="E17" s="737">
        <v>9.43</v>
      </c>
      <c r="F17" s="632">
        <v>40</v>
      </c>
      <c r="M17" s="14"/>
      <c r="O17" s="14"/>
      <c r="P17" s="14"/>
      <c r="Q17" s="14"/>
      <c r="R17" s="14"/>
      <c r="S17" s="14"/>
      <c r="T17" s="14"/>
      <c r="U17" s="113"/>
    </row>
    <row r="18" spans="2:21" s="16" customFormat="1" ht="16.5" customHeight="1" thickBot="1" thickTop="1">
      <c r="B18" s="109"/>
      <c r="C18" s="21"/>
      <c r="D18" s="64"/>
      <c r="E18" s="64"/>
      <c r="F18" s="198"/>
      <c r="G18" s="199"/>
      <c r="H18" s="199"/>
      <c r="I18" s="199"/>
      <c r="J18" s="199"/>
      <c r="K18" s="199"/>
      <c r="L18" s="199"/>
      <c r="M18" s="199"/>
      <c r="N18" s="57"/>
      <c r="O18" s="200"/>
      <c r="P18" s="201"/>
      <c r="Q18" s="201"/>
      <c r="R18" s="201"/>
      <c r="S18" s="202"/>
      <c r="T18" s="203"/>
      <c r="U18" s="113"/>
    </row>
    <row r="19" spans="2:21" s="16" customFormat="1" ht="33.75" customHeight="1" thickBot="1" thickTop="1">
      <c r="B19" s="109"/>
      <c r="C19" s="149" t="s">
        <v>67</v>
      </c>
      <c r="D19" s="155" t="s">
        <v>97</v>
      </c>
      <c r="E19" s="153" t="s">
        <v>41</v>
      </c>
      <c r="F19" s="216" t="s">
        <v>68</v>
      </c>
      <c r="G19" s="317" t="s">
        <v>72</v>
      </c>
      <c r="H19" s="151" t="s">
        <v>73</v>
      </c>
      <c r="I19" s="153" t="s">
        <v>74</v>
      </c>
      <c r="J19" s="217" t="s">
        <v>75</v>
      </c>
      <c r="K19" s="217" t="s">
        <v>76</v>
      </c>
      <c r="L19" s="154" t="s">
        <v>77</v>
      </c>
      <c r="M19" s="152" t="s">
        <v>80</v>
      </c>
      <c r="N19" s="462" t="s">
        <v>71</v>
      </c>
      <c r="O19" s="450" t="s">
        <v>92</v>
      </c>
      <c r="P19" s="469" t="s">
        <v>109</v>
      </c>
      <c r="Q19" s="470"/>
      <c r="R19" s="479" t="s">
        <v>85</v>
      </c>
      <c r="S19" s="156" t="s">
        <v>87</v>
      </c>
      <c r="T19" s="190" t="s">
        <v>88</v>
      </c>
      <c r="U19" s="113"/>
    </row>
    <row r="20" spans="2:21" s="16" customFormat="1" ht="16.5" customHeight="1" thickTop="1">
      <c r="B20" s="109"/>
      <c r="C20" s="20"/>
      <c r="D20" s="54"/>
      <c r="E20" s="54"/>
      <c r="F20" s="54"/>
      <c r="G20" s="326"/>
      <c r="H20" s="54"/>
      <c r="I20" s="54"/>
      <c r="J20" s="54"/>
      <c r="K20" s="54"/>
      <c r="L20" s="54"/>
      <c r="M20" s="54"/>
      <c r="N20" s="464"/>
      <c r="O20" s="467"/>
      <c r="P20" s="471"/>
      <c r="Q20" s="472"/>
      <c r="R20" s="480"/>
      <c r="S20" s="54"/>
      <c r="T20" s="568"/>
      <c r="U20" s="113"/>
    </row>
    <row r="21" spans="2:21" s="16" customFormat="1" ht="16.5" customHeight="1">
      <c r="B21" s="109"/>
      <c r="C21" s="20"/>
      <c r="D21" s="55"/>
      <c r="E21" s="55"/>
      <c r="F21" s="55"/>
      <c r="G21" s="327"/>
      <c r="H21" s="55"/>
      <c r="I21" s="55"/>
      <c r="J21" s="55"/>
      <c r="K21" s="55"/>
      <c r="L21" s="55"/>
      <c r="M21" s="55"/>
      <c r="N21" s="461"/>
      <c r="O21" s="465"/>
      <c r="P21" s="473"/>
      <c r="Q21" s="474"/>
      <c r="R21" s="477"/>
      <c r="S21" s="55"/>
      <c r="T21" s="218"/>
      <c r="U21" s="113"/>
    </row>
    <row r="22" spans="2:21" s="16" customFormat="1" ht="16.5" customHeight="1">
      <c r="B22" s="109"/>
      <c r="C22" s="639" t="s">
        <v>180</v>
      </c>
      <c r="D22" s="753" t="s">
        <v>29</v>
      </c>
      <c r="E22" s="753" t="s">
        <v>39</v>
      </c>
      <c r="F22" s="753">
        <v>132</v>
      </c>
      <c r="G22" s="318">
        <f aca="true" t="shared" si="0" ref="G22:G41">IF(F22=500,$E$15,IF(F22=220,$E$16,$E$17))</f>
        <v>9.43</v>
      </c>
      <c r="H22" s="724">
        <v>38355.35763888889</v>
      </c>
      <c r="I22" s="725">
        <v>38355.81597222222</v>
      </c>
      <c r="J22" s="56">
        <f aca="true" t="shared" si="1" ref="J22:J41">IF(D22="","",(I22-H22)*24)</f>
        <v>10.999999999883585</v>
      </c>
      <c r="K22" s="25">
        <f aca="true" t="shared" si="2" ref="K22:K41">IF(D22="","",ROUND((I22-H22)*24*60,0))</f>
        <v>660</v>
      </c>
      <c r="L22" s="659" t="s">
        <v>175</v>
      </c>
      <c r="M22" s="661" t="str">
        <f aca="true" t="shared" si="3" ref="M22:M41">IF(D22="","",IF(L22="P","--","NO"))</f>
        <v>--</v>
      </c>
      <c r="N22" s="727">
        <f aca="true" t="shared" si="4" ref="N22:N41">IF(F22=500,$F$15,IF(F22=220,$F$16,$F$17))</f>
        <v>40</v>
      </c>
      <c r="O22" s="728">
        <f aca="true" t="shared" si="5" ref="O22:O41">IF(L22="P",G22*N22*ROUND(K22/60,2)*0.1,"--")</f>
        <v>414.92</v>
      </c>
      <c r="P22" s="729" t="str">
        <f aca="true" t="shared" si="6" ref="P22:P41">IF(AND(L22="F",M22="NO"),G22*N22,"--")</f>
        <v>--</v>
      </c>
      <c r="Q22" s="730" t="str">
        <f aca="true" t="shared" si="7" ref="Q22:Q41">IF(L22="F",G22*N22*ROUND(K22/60,2),"--")</f>
        <v>--</v>
      </c>
      <c r="R22" s="731" t="str">
        <f aca="true" t="shared" si="8" ref="R22:R41">IF(L22="RF",G22*N22*ROUND(K22/60,2),"--")</f>
        <v>--</v>
      </c>
      <c r="S22" s="661" t="str">
        <f aca="true" t="shared" si="9" ref="S22:S41">IF(D22="","","SI")</f>
        <v>SI</v>
      </c>
      <c r="T22" s="59">
        <f aca="true" t="shared" si="10" ref="T22:T41">IF(D22="","",SUM(O22:R22)*IF(S22="SI",1,2))</f>
        <v>414.92</v>
      </c>
      <c r="U22" s="113"/>
    </row>
    <row r="23" spans="2:21" s="16" customFormat="1" ht="16.5" customHeight="1">
      <c r="B23" s="109"/>
      <c r="C23" s="639" t="s">
        <v>181</v>
      </c>
      <c r="D23" s="753" t="s">
        <v>27</v>
      </c>
      <c r="E23" s="753" t="s">
        <v>37</v>
      </c>
      <c r="F23" s="753">
        <v>132</v>
      </c>
      <c r="G23" s="318">
        <f t="shared" si="0"/>
        <v>9.43</v>
      </c>
      <c r="H23" s="724">
        <v>38355.40694444445</v>
      </c>
      <c r="I23" s="725">
        <v>38355.61944444444</v>
      </c>
      <c r="J23" s="56">
        <f t="shared" si="1"/>
        <v>5.099999999860302</v>
      </c>
      <c r="K23" s="25">
        <f t="shared" si="2"/>
        <v>306</v>
      </c>
      <c r="L23" s="659" t="s">
        <v>175</v>
      </c>
      <c r="M23" s="661" t="str">
        <f t="shared" si="3"/>
        <v>--</v>
      </c>
      <c r="N23" s="727">
        <f t="shared" si="4"/>
        <v>40</v>
      </c>
      <c r="O23" s="728">
        <f t="shared" si="5"/>
        <v>192.37199999999999</v>
      </c>
      <c r="P23" s="729" t="str">
        <f t="shared" si="6"/>
        <v>--</v>
      </c>
      <c r="Q23" s="730" t="str">
        <f t="shared" si="7"/>
        <v>--</v>
      </c>
      <c r="R23" s="731" t="str">
        <f t="shared" si="8"/>
        <v>--</v>
      </c>
      <c r="S23" s="661" t="str">
        <f t="shared" si="9"/>
        <v>SI</v>
      </c>
      <c r="T23" s="59">
        <f t="shared" si="10"/>
        <v>192.37199999999999</v>
      </c>
      <c r="U23" s="113"/>
    </row>
    <row r="24" spans="2:21" s="16" customFormat="1" ht="16.5" customHeight="1">
      <c r="B24" s="109"/>
      <c r="C24" s="639" t="s">
        <v>182</v>
      </c>
      <c r="D24" s="753" t="s">
        <v>29</v>
      </c>
      <c r="E24" s="753" t="s">
        <v>39</v>
      </c>
      <c r="F24" s="753">
        <v>132</v>
      </c>
      <c r="G24" s="318">
        <f t="shared" si="0"/>
        <v>9.43</v>
      </c>
      <c r="H24" s="724">
        <v>38356.24513888889</v>
      </c>
      <c r="I24" s="725">
        <v>38356.79236111111</v>
      </c>
      <c r="J24" s="56">
        <f t="shared" si="1"/>
        <v>13.133333333360497</v>
      </c>
      <c r="K24" s="25">
        <f t="shared" si="2"/>
        <v>788</v>
      </c>
      <c r="L24" s="659" t="s">
        <v>175</v>
      </c>
      <c r="M24" s="661" t="str">
        <f t="shared" si="3"/>
        <v>--</v>
      </c>
      <c r="N24" s="727">
        <f t="shared" si="4"/>
        <v>40</v>
      </c>
      <c r="O24" s="728">
        <f t="shared" si="5"/>
        <v>495.26360000000005</v>
      </c>
      <c r="P24" s="729" t="str">
        <f t="shared" si="6"/>
        <v>--</v>
      </c>
      <c r="Q24" s="730" t="str">
        <f t="shared" si="7"/>
        <v>--</v>
      </c>
      <c r="R24" s="731" t="str">
        <f t="shared" si="8"/>
        <v>--</v>
      </c>
      <c r="S24" s="661" t="str">
        <f t="shared" si="9"/>
        <v>SI</v>
      </c>
      <c r="T24" s="59">
        <f t="shared" si="10"/>
        <v>495.26360000000005</v>
      </c>
      <c r="U24" s="113"/>
    </row>
    <row r="25" spans="2:21" s="16" customFormat="1" ht="16.5" customHeight="1">
      <c r="B25" s="109"/>
      <c r="C25" s="639" t="s">
        <v>183</v>
      </c>
      <c r="D25" s="753" t="s">
        <v>27</v>
      </c>
      <c r="E25" s="753" t="s">
        <v>37</v>
      </c>
      <c r="F25" s="753">
        <v>132</v>
      </c>
      <c r="G25" s="318">
        <f t="shared" si="0"/>
        <v>9.43</v>
      </c>
      <c r="H25" s="724">
        <v>38356.43125</v>
      </c>
      <c r="I25" s="725">
        <v>38356.59375</v>
      </c>
      <c r="J25" s="56">
        <f t="shared" si="1"/>
        <v>3.8999999999650754</v>
      </c>
      <c r="K25" s="25">
        <f t="shared" si="2"/>
        <v>234</v>
      </c>
      <c r="L25" s="659" t="s">
        <v>175</v>
      </c>
      <c r="M25" s="661" t="str">
        <f t="shared" si="3"/>
        <v>--</v>
      </c>
      <c r="N25" s="727">
        <f t="shared" si="4"/>
        <v>40</v>
      </c>
      <c r="O25" s="728">
        <f t="shared" si="5"/>
        <v>147.108</v>
      </c>
      <c r="P25" s="729" t="str">
        <f t="shared" si="6"/>
        <v>--</v>
      </c>
      <c r="Q25" s="730" t="str">
        <f t="shared" si="7"/>
        <v>--</v>
      </c>
      <c r="R25" s="731" t="str">
        <f t="shared" si="8"/>
        <v>--</v>
      </c>
      <c r="S25" s="661" t="str">
        <f t="shared" si="9"/>
        <v>SI</v>
      </c>
      <c r="T25" s="59">
        <f t="shared" si="10"/>
        <v>147.108</v>
      </c>
      <c r="U25" s="113"/>
    </row>
    <row r="26" spans="2:21" s="16" customFormat="1" ht="16.5" customHeight="1">
      <c r="B26" s="109"/>
      <c r="C26" s="639" t="s">
        <v>184</v>
      </c>
      <c r="D26" s="753" t="s">
        <v>27</v>
      </c>
      <c r="E26" s="753" t="s">
        <v>35</v>
      </c>
      <c r="F26" s="753">
        <v>132</v>
      </c>
      <c r="G26" s="318">
        <f t="shared" si="0"/>
        <v>9.43</v>
      </c>
      <c r="H26" s="724">
        <v>38357.28611111111</v>
      </c>
      <c r="I26" s="725">
        <v>38357.76597222222</v>
      </c>
      <c r="J26" s="56">
        <f t="shared" si="1"/>
        <v>11.516666666662786</v>
      </c>
      <c r="K26" s="25">
        <f t="shared" si="2"/>
        <v>691</v>
      </c>
      <c r="L26" s="659" t="s">
        <v>175</v>
      </c>
      <c r="M26" s="661" t="str">
        <f t="shared" si="3"/>
        <v>--</v>
      </c>
      <c r="N26" s="727">
        <f t="shared" si="4"/>
        <v>40</v>
      </c>
      <c r="O26" s="728">
        <f t="shared" si="5"/>
        <v>434.5344</v>
      </c>
      <c r="P26" s="729" t="str">
        <f t="shared" si="6"/>
        <v>--</v>
      </c>
      <c r="Q26" s="730" t="str">
        <f t="shared" si="7"/>
        <v>--</v>
      </c>
      <c r="R26" s="731" t="str">
        <f t="shared" si="8"/>
        <v>--</v>
      </c>
      <c r="S26" s="661" t="str">
        <f t="shared" si="9"/>
        <v>SI</v>
      </c>
      <c r="T26" s="59">
        <f t="shared" si="10"/>
        <v>434.5344</v>
      </c>
      <c r="U26" s="113"/>
    </row>
    <row r="27" spans="2:21" s="16" customFormat="1" ht="16.5" customHeight="1">
      <c r="B27" s="109"/>
      <c r="C27" s="639" t="s">
        <v>185</v>
      </c>
      <c r="D27" s="753" t="s">
        <v>29</v>
      </c>
      <c r="E27" s="753" t="s">
        <v>40</v>
      </c>
      <c r="F27" s="753">
        <v>132</v>
      </c>
      <c r="G27" s="318">
        <f t="shared" si="0"/>
        <v>9.43</v>
      </c>
      <c r="H27" s="724">
        <v>38357.38611111111</v>
      </c>
      <c r="I27" s="725">
        <v>38357.62569444445</v>
      </c>
      <c r="J27" s="56">
        <f t="shared" si="1"/>
        <v>5.750000000058208</v>
      </c>
      <c r="K27" s="25">
        <f t="shared" si="2"/>
        <v>345</v>
      </c>
      <c r="L27" s="659" t="s">
        <v>175</v>
      </c>
      <c r="M27" s="661" t="str">
        <f t="shared" si="3"/>
        <v>--</v>
      </c>
      <c r="N27" s="727">
        <f t="shared" si="4"/>
        <v>40</v>
      </c>
      <c r="O27" s="728">
        <f t="shared" si="5"/>
        <v>216.89000000000001</v>
      </c>
      <c r="P27" s="729" t="str">
        <f t="shared" si="6"/>
        <v>--</v>
      </c>
      <c r="Q27" s="730" t="str">
        <f t="shared" si="7"/>
        <v>--</v>
      </c>
      <c r="R27" s="731" t="str">
        <f t="shared" si="8"/>
        <v>--</v>
      </c>
      <c r="S27" s="661" t="str">
        <f t="shared" si="9"/>
        <v>SI</v>
      </c>
      <c r="T27" s="59">
        <f t="shared" si="10"/>
        <v>216.89000000000001</v>
      </c>
      <c r="U27" s="113"/>
    </row>
    <row r="28" spans="2:21" s="16" customFormat="1" ht="16.5" customHeight="1">
      <c r="B28" s="109"/>
      <c r="C28" s="639" t="s">
        <v>186</v>
      </c>
      <c r="D28" s="753" t="s">
        <v>27</v>
      </c>
      <c r="E28" s="753" t="s">
        <v>36</v>
      </c>
      <c r="F28" s="753">
        <v>132</v>
      </c>
      <c r="G28" s="318">
        <f t="shared" si="0"/>
        <v>9.43</v>
      </c>
      <c r="H28" s="724">
        <v>38359.38611111111</v>
      </c>
      <c r="I28" s="725">
        <v>38359.57430555556</v>
      </c>
      <c r="J28" s="56">
        <f t="shared" si="1"/>
        <v>4.516666666720994</v>
      </c>
      <c r="K28" s="25">
        <f t="shared" si="2"/>
        <v>271</v>
      </c>
      <c r="L28" s="659" t="s">
        <v>175</v>
      </c>
      <c r="M28" s="661" t="str">
        <f t="shared" si="3"/>
        <v>--</v>
      </c>
      <c r="N28" s="727">
        <f t="shared" si="4"/>
        <v>40</v>
      </c>
      <c r="O28" s="728">
        <f t="shared" si="5"/>
        <v>170.49439999999998</v>
      </c>
      <c r="P28" s="729" t="str">
        <f t="shared" si="6"/>
        <v>--</v>
      </c>
      <c r="Q28" s="730" t="str">
        <f t="shared" si="7"/>
        <v>--</v>
      </c>
      <c r="R28" s="731" t="str">
        <f t="shared" si="8"/>
        <v>--</v>
      </c>
      <c r="S28" s="661" t="str">
        <f t="shared" si="9"/>
        <v>SI</v>
      </c>
      <c r="T28" s="59">
        <f t="shared" si="10"/>
        <v>170.49439999999998</v>
      </c>
      <c r="U28" s="113"/>
    </row>
    <row r="29" spans="2:21" s="16" customFormat="1" ht="16.5" customHeight="1">
      <c r="B29" s="109"/>
      <c r="C29" s="639" t="s">
        <v>187</v>
      </c>
      <c r="D29" s="753" t="s">
        <v>28</v>
      </c>
      <c r="E29" s="753" t="s">
        <v>38</v>
      </c>
      <c r="F29" s="753">
        <v>132</v>
      </c>
      <c r="G29" s="318">
        <f t="shared" si="0"/>
        <v>9.43</v>
      </c>
      <c r="H29" s="724">
        <v>38377.21805555555</v>
      </c>
      <c r="I29" s="725">
        <v>38377.36736111111</v>
      </c>
      <c r="J29" s="56">
        <f t="shared" si="1"/>
        <v>3.583333333313931</v>
      </c>
      <c r="K29" s="25">
        <f t="shared" si="2"/>
        <v>215</v>
      </c>
      <c r="L29" s="659" t="s">
        <v>175</v>
      </c>
      <c r="M29" s="661" t="str">
        <f t="shared" si="3"/>
        <v>--</v>
      </c>
      <c r="N29" s="727">
        <f t="shared" si="4"/>
        <v>40</v>
      </c>
      <c r="O29" s="728">
        <f t="shared" si="5"/>
        <v>135.0376</v>
      </c>
      <c r="P29" s="729" t="str">
        <f t="shared" si="6"/>
        <v>--</v>
      </c>
      <c r="Q29" s="730" t="str">
        <f t="shared" si="7"/>
        <v>--</v>
      </c>
      <c r="R29" s="731" t="str">
        <f t="shared" si="8"/>
        <v>--</v>
      </c>
      <c r="S29" s="661" t="str">
        <f t="shared" si="9"/>
        <v>SI</v>
      </c>
      <c r="T29" s="59">
        <f t="shared" si="10"/>
        <v>135.0376</v>
      </c>
      <c r="U29" s="113"/>
    </row>
    <row r="30" spans="2:21" s="16" customFormat="1" ht="16.5" customHeight="1">
      <c r="B30" s="109"/>
      <c r="C30" s="639" t="s">
        <v>188</v>
      </c>
      <c r="D30" s="753" t="s">
        <v>27</v>
      </c>
      <c r="E30" s="753" t="s">
        <v>35</v>
      </c>
      <c r="F30" s="753">
        <v>132</v>
      </c>
      <c r="G30" s="318">
        <f t="shared" si="0"/>
        <v>9.43</v>
      </c>
      <c r="H30" s="724">
        <v>38381.88055555556</v>
      </c>
      <c r="I30" s="725">
        <v>38381.95625</v>
      </c>
      <c r="J30" s="56">
        <f t="shared" si="1"/>
        <v>1.8166666666511446</v>
      </c>
      <c r="K30" s="25">
        <f t="shared" si="2"/>
        <v>109</v>
      </c>
      <c r="L30" s="659" t="s">
        <v>169</v>
      </c>
      <c r="M30" s="661" t="s">
        <v>176</v>
      </c>
      <c r="N30" s="727">
        <f t="shared" si="4"/>
        <v>40</v>
      </c>
      <c r="O30" s="728" t="str">
        <f t="shared" si="5"/>
        <v>--</v>
      </c>
      <c r="P30" s="729" t="str">
        <f t="shared" si="6"/>
        <v>--</v>
      </c>
      <c r="Q30" s="730">
        <f t="shared" si="7"/>
        <v>686.504</v>
      </c>
      <c r="R30" s="731" t="str">
        <f t="shared" si="8"/>
        <v>--</v>
      </c>
      <c r="S30" s="661" t="str">
        <f t="shared" si="9"/>
        <v>SI</v>
      </c>
      <c r="T30" s="59">
        <f t="shared" si="10"/>
        <v>686.504</v>
      </c>
      <c r="U30" s="113"/>
    </row>
    <row r="31" spans="2:21" s="16" customFormat="1" ht="16.5" customHeight="1">
      <c r="B31" s="109"/>
      <c r="C31" s="639"/>
      <c r="D31" s="721"/>
      <c r="E31" s="721"/>
      <c r="F31" s="722"/>
      <c r="G31" s="318">
        <f t="shared" si="0"/>
        <v>9.43</v>
      </c>
      <c r="H31" s="724"/>
      <c r="I31" s="725"/>
      <c r="J31" s="56">
        <f t="shared" si="1"/>
      </c>
      <c r="K31" s="25">
        <f t="shared" si="2"/>
      </c>
      <c r="L31" s="659"/>
      <c r="M31" s="661">
        <f t="shared" si="3"/>
      </c>
      <c r="N31" s="727">
        <f t="shared" si="4"/>
        <v>40</v>
      </c>
      <c r="O31" s="728" t="str">
        <f t="shared" si="5"/>
        <v>--</v>
      </c>
      <c r="P31" s="729" t="str">
        <f t="shared" si="6"/>
        <v>--</v>
      </c>
      <c r="Q31" s="730" t="str">
        <f t="shared" si="7"/>
        <v>--</v>
      </c>
      <c r="R31" s="731" t="str">
        <f t="shared" si="8"/>
        <v>--</v>
      </c>
      <c r="S31" s="661">
        <f t="shared" si="9"/>
      </c>
      <c r="T31" s="59">
        <f t="shared" si="10"/>
      </c>
      <c r="U31" s="113"/>
    </row>
    <row r="32" spans="2:21" s="16" customFormat="1" ht="16.5" customHeight="1">
      <c r="B32" s="109"/>
      <c r="C32" s="639"/>
      <c r="D32" s="721"/>
      <c r="E32" s="721"/>
      <c r="F32" s="722"/>
      <c r="G32" s="318">
        <f t="shared" si="0"/>
        <v>9.43</v>
      </c>
      <c r="H32" s="724"/>
      <c r="I32" s="725"/>
      <c r="J32" s="56">
        <f t="shared" si="1"/>
      </c>
      <c r="K32" s="25">
        <f t="shared" si="2"/>
      </c>
      <c r="L32" s="659"/>
      <c r="M32" s="661">
        <f t="shared" si="3"/>
      </c>
      <c r="N32" s="727">
        <f t="shared" si="4"/>
        <v>40</v>
      </c>
      <c r="O32" s="728" t="str">
        <f t="shared" si="5"/>
        <v>--</v>
      </c>
      <c r="P32" s="729" t="str">
        <f t="shared" si="6"/>
        <v>--</v>
      </c>
      <c r="Q32" s="730" t="str">
        <f t="shared" si="7"/>
        <v>--</v>
      </c>
      <c r="R32" s="731" t="str">
        <f t="shared" si="8"/>
        <v>--</v>
      </c>
      <c r="S32" s="661">
        <f t="shared" si="9"/>
      </c>
      <c r="T32" s="59">
        <f t="shared" si="10"/>
      </c>
      <c r="U32" s="113"/>
    </row>
    <row r="33" spans="2:21" s="16" customFormat="1" ht="16.5" customHeight="1">
      <c r="B33" s="109"/>
      <c r="C33" s="639"/>
      <c r="D33" s="721"/>
      <c r="E33" s="721"/>
      <c r="F33" s="722"/>
      <c r="G33" s="318">
        <f t="shared" si="0"/>
        <v>9.43</v>
      </c>
      <c r="H33" s="724"/>
      <c r="I33" s="725"/>
      <c r="J33" s="56">
        <f t="shared" si="1"/>
      </c>
      <c r="K33" s="25">
        <f t="shared" si="2"/>
      </c>
      <c r="L33" s="659"/>
      <c r="M33" s="661">
        <f t="shared" si="3"/>
      </c>
      <c r="N33" s="727">
        <f t="shared" si="4"/>
        <v>40</v>
      </c>
      <c r="O33" s="728" t="str">
        <f t="shared" si="5"/>
        <v>--</v>
      </c>
      <c r="P33" s="729" t="str">
        <f t="shared" si="6"/>
        <v>--</v>
      </c>
      <c r="Q33" s="730" t="str">
        <f t="shared" si="7"/>
        <v>--</v>
      </c>
      <c r="R33" s="731" t="str">
        <f t="shared" si="8"/>
        <v>--</v>
      </c>
      <c r="S33" s="661">
        <f t="shared" si="9"/>
      </c>
      <c r="T33" s="59">
        <f t="shared" si="10"/>
      </c>
      <c r="U33" s="113"/>
    </row>
    <row r="34" spans="2:21" s="16" customFormat="1" ht="16.5" customHeight="1">
      <c r="B34" s="109"/>
      <c r="C34" s="639"/>
      <c r="D34" s="721"/>
      <c r="E34" s="721"/>
      <c r="F34" s="722"/>
      <c r="G34" s="318">
        <f t="shared" si="0"/>
        <v>9.43</v>
      </c>
      <c r="H34" s="724"/>
      <c r="I34" s="725"/>
      <c r="J34" s="56">
        <f t="shared" si="1"/>
      </c>
      <c r="K34" s="25">
        <f t="shared" si="2"/>
      </c>
      <c r="L34" s="659"/>
      <c r="M34" s="661">
        <f t="shared" si="3"/>
      </c>
      <c r="N34" s="727">
        <f t="shared" si="4"/>
        <v>40</v>
      </c>
      <c r="O34" s="728" t="str">
        <f t="shared" si="5"/>
        <v>--</v>
      </c>
      <c r="P34" s="729" t="str">
        <f t="shared" si="6"/>
        <v>--</v>
      </c>
      <c r="Q34" s="730" t="str">
        <f t="shared" si="7"/>
        <v>--</v>
      </c>
      <c r="R34" s="731" t="str">
        <f t="shared" si="8"/>
        <v>--</v>
      </c>
      <c r="S34" s="661">
        <f t="shared" si="9"/>
      </c>
      <c r="T34" s="59">
        <f t="shared" si="10"/>
      </c>
      <c r="U34" s="113"/>
    </row>
    <row r="35" spans="2:21" s="16" customFormat="1" ht="16.5" customHeight="1">
      <c r="B35" s="109"/>
      <c r="C35" s="639"/>
      <c r="D35" s="721"/>
      <c r="E35" s="721"/>
      <c r="F35" s="722"/>
      <c r="G35" s="318">
        <f t="shared" si="0"/>
        <v>9.43</v>
      </c>
      <c r="H35" s="724"/>
      <c r="I35" s="725"/>
      <c r="J35" s="56">
        <f t="shared" si="1"/>
      </c>
      <c r="K35" s="25">
        <f t="shared" si="2"/>
      </c>
      <c r="L35" s="659"/>
      <c r="M35" s="661">
        <f t="shared" si="3"/>
      </c>
      <c r="N35" s="727">
        <f t="shared" si="4"/>
        <v>40</v>
      </c>
      <c r="O35" s="728" t="str">
        <f t="shared" si="5"/>
        <v>--</v>
      </c>
      <c r="P35" s="729" t="str">
        <f t="shared" si="6"/>
        <v>--</v>
      </c>
      <c r="Q35" s="730" t="str">
        <f t="shared" si="7"/>
        <v>--</v>
      </c>
      <c r="R35" s="731" t="str">
        <f t="shared" si="8"/>
        <v>--</v>
      </c>
      <c r="S35" s="661">
        <f t="shared" si="9"/>
      </c>
      <c r="T35" s="59">
        <f t="shared" si="10"/>
      </c>
      <c r="U35" s="113"/>
    </row>
    <row r="36" spans="2:21" s="16" customFormat="1" ht="16.5" customHeight="1">
      <c r="B36" s="109"/>
      <c r="C36" s="639"/>
      <c r="D36" s="721"/>
      <c r="E36" s="721"/>
      <c r="F36" s="722"/>
      <c r="G36" s="318">
        <f t="shared" si="0"/>
        <v>9.43</v>
      </c>
      <c r="H36" s="724"/>
      <c r="I36" s="725"/>
      <c r="J36" s="56">
        <f t="shared" si="1"/>
      </c>
      <c r="K36" s="25">
        <f t="shared" si="2"/>
      </c>
      <c r="L36" s="659"/>
      <c r="M36" s="661">
        <f t="shared" si="3"/>
      </c>
      <c r="N36" s="727">
        <f t="shared" si="4"/>
        <v>40</v>
      </c>
      <c r="O36" s="728" t="str">
        <f t="shared" si="5"/>
        <v>--</v>
      </c>
      <c r="P36" s="729" t="str">
        <f t="shared" si="6"/>
        <v>--</v>
      </c>
      <c r="Q36" s="730" t="str">
        <f t="shared" si="7"/>
        <v>--</v>
      </c>
      <c r="R36" s="731" t="str">
        <f t="shared" si="8"/>
        <v>--</v>
      </c>
      <c r="S36" s="661">
        <f t="shared" si="9"/>
      </c>
      <c r="T36" s="59">
        <f t="shared" si="10"/>
      </c>
      <c r="U36" s="113"/>
    </row>
    <row r="37" spans="2:21" s="16" customFormat="1" ht="16.5" customHeight="1">
      <c r="B37" s="109"/>
      <c r="C37" s="639"/>
      <c r="D37" s="721"/>
      <c r="E37" s="721"/>
      <c r="F37" s="722"/>
      <c r="G37" s="318">
        <f t="shared" si="0"/>
        <v>9.43</v>
      </c>
      <c r="H37" s="724"/>
      <c r="I37" s="725"/>
      <c r="J37" s="56">
        <f t="shared" si="1"/>
      </c>
      <c r="K37" s="25">
        <f t="shared" si="2"/>
      </c>
      <c r="L37" s="659"/>
      <c r="M37" s="661">
        <f t="shared" si="3"/>
      </c>
      <c r="N37" s="727">
        <f t="shared" si="4"/>
        <v>40</v>
      </c>
      <c r="O37" s="728" t="str">
        <f t="shared" si="5"/>
        <v>--</v>
      </c>
      <c r="P37" s="729" t="str">
        <f t="shared" si="6"/>
        <v>--</v>
      </c>
      <c r="Q37" s="730" t="str">
        <f t="shared" si="7"/>
        <v>--</v>
      </c>
      <c r="R37" s="731" t="str">
        <f t="shared" si="8"/>
        <v>--</v>
      </c>
      <c r="S37" s="661">
        <f t="shared" si="9"/>
      </c>
      <c r="T37" s="59">
        <f t="shared" si="10"/>
      </c>
      <c r="U37" s="113"/>
    </row>
    <row r="38" spans="2:21" s="16" customFormat="1" ht="16.5" customHeight="1">
      <c r="B38" s="109"/>
      <c r="C38" s="639"/>
      <c r="D38" s="721"/>
      <c r="E38" s="721"/>
      <c r="F38" s="722"/>
      <c r="G38" s="318">
        <f t="shared" si="0"/>
        <v>9.43</v>
      </c>
      <c r="H38" s="724"/>
      <c r="I38" s="725"/>
      <c r="J38" s="56">
        <f t="shared" si="1"/>
      </c>
      <c r="K38" s="25">
        <f t="shared" si="2"/>
      </c>
      <c r="L38" s="659"/>
      <c r="M38" s="661">
        <f t="shared" si="3"/>
      </c>
      <c r="N38" s="727">
        <f t="shared" si="4"/>
        <v>40</v>
      </c>
      <c r="O38" s="728" t="str">
        <f t="shared" si="5"/>
        <v>--</v>
      </c>
      <c r="P38" s="729" t="str">
        <f t="shared" si="6"/>
        <v>--</v>
      </c>
      <c r="Q38" s="730" t="str">
        <f t="shared" si="7"/>
        <v>--</v>
      </c>
      <c r="R38" s="731" t="str">
        <f t="shared" si="8"/>
        <v>--</v>
      </c>
      <c r="S38" s="661">
        <f t="shared" si="9"/>
      </c>
      <c r="T38" s="59">
        <f t="shared" si="10"/>
      </c>
      <c r="U38" s="113"/>
    </row>
    <row r="39" spans="2:21" s="16" customFormat="1" ht="16.5" customHeight="1">
      <c r="B39" s="109"/>
      <c r="C39" s="639"/>
      <c r="D39" s="721"/>
      <c r="E39" s="721"/>
      <c r="F39" s="722"/>
      <c r="G39" s="318">
        <f t="shared" si="0"/>
        <v>9.43</v>
      </c>
      <c r="H39" s="724"/>
      <c r="I39" s="725"/>
      <c r="J39" s="56">
        <f t="shared" si="1"/>
      </c>
      <c r="K39" s="25">
        <f t="shared" si="2"/>
      </c>
      <c r="L39" s="659"/>
      <c r="M39" s="661">
        <f t="shared" si="3"/>
      </c>
      <c r="N39" s="727">
        <f t="shared" si="4"/>
        <v>40</v>
      </c>
      <c r="O39" s="728" t="str">
        <f t="shared" si="5"/>
        <v>--</v>
      </c>
      <c r="P39" s="729" t="str">
        <f t="shared" si="6"/>
        <v>--</v>
      </c>
      <c r="Q39" s="730" t="str">
        <f t="shared" si="7"/>
        <v>--</v>
      </c>
      <c r="R39" s="731" t="str">
        <f t="shared" si="8"/>
        <v>--</v>
      </c>
      <c r="S39" s="661">
        <f t="shared" si="9"/>
      </c>
      <c r="T39" s="59">
        <f t="shared" si="10"/>
      </c>
      <c r="U39" s="113"/>
    </row>
    <row r="40" spans="2:21" s="16" customFormat="1" ht="16.5" customHeight="1">
      <c r="B40" s="109"/>
      <c r="C40" s="639"/>
      <c r="D40" s="721"/>
      <c r="E40" s="721"/>
      <c r="F40" s="722"/>
      <c r="G40" s="318">
        <f t="shared" si="0"/>
        <v>9.43</v>
      </c>
      <c r="H40" s="724"/>
      <c r="I40" s="725"/>
      <c r="J40" s="56">
        <f t="shared" si="1"/>
      </c>
      <c r="K40" s="25">
        <f t="shared" si="2"/>
      </c>
      <c r="L40" s="659"/>
      <c r="M40" s="661">
        <f t="shared" si="3"/>
      </c>
      <c r="N40" s="727">
        <f t="shared" si="4"/>
        <v>40</v>
      </c>
      <c r="O40" s="728" t="str">
        <f t="shared" si="5"/>
        <v>--</v>
      </c>
      <c r="P40" s="729" t="str">
        <f t="shared" si="6"/>
        <v>--</v>
      </c>
      <c r="Q40" s="730" t="str">
        <f t="shared" si="7"/>
        <v>--</v>
      </c>
      <c r="R40" s="731" t="str">
        <f t="shared" si="8"/>
        <v>--</v>
      </c>
      <c r="S40" s="661">
        <f t="shared" si="9"/>
      </c>
      <c r="T40" s="59">
        <f t="shared" si="10"/>
      </c>
      <c r="U40" s="113"/>
    </row>
    <row r="41" spans="2:21" s="16" customFormat="1" ht="16.5" customHeight="1">
      <c r="B41" s="109"/>
      <c r="C41" s="639"/>
      <c r="D41" s="721"/>
      <c r="E41" s="721"/>
      <c r="F41" s="722"/>
      <c r="G41" s="318">
        <f t="shared" si="0"/>
        <v>9.43</v>
      </c>
      <c r="H41" s="724"/>
      <c r="I41" s="725"/>
      <c r="J41" s="56">
        <f t="shared" si="1"/>
      </c>
      <c r="K41" s="25">
        <f t="shared" si="2"/>
      </c>
      <c r="L41" s="659"/>
      <c r="M41" s="661">
        <f t="shared" si="3"/>
      </c>
      <c r="N41" s="727">
        <f t="shared" si="4"/>
        <v>40</v>
      </c>
      <c r="O41" s="728" t="str">
        <f t="shared" si="5"/>
        <v>--</v>
      </c>
      <c r="P41" s="729" t="str">
        <f t="shared" si="6"/>
        <v>--</v>
      </c>
      <c r="Q41" s="730" t="str">
        <f t="shared" si="7"/>
        <v>--</v>
      </c>
      <c r="R41" s="731" t="str">
        <f t="shared" si="8"/>
        <v>--</v>
      </c>
      <c r="S41" s="661">
        <f t="shared" si="9"/>
      </c>
      <c r="T41" s="59">
        <f t="shared" si="10"/>
      </c>
      <c r="U41" s="113"/>
    </row>
    <row r="42" spans="2:21" s="16" customFormat="1" ht="16.5" customHeight="1" thickBot="1">
      <c r="B42" s="109"/>
      <c r="C42" s="648"/>
      <c r="D42" s="723"/>
      <c r="E42" s="723"/>
      <c r="F42" s="649"/>
      <c r="G42" s="319"/>
      <c r="H42" s="726"/>
      <c r="I42" s="726"/>
      <c r="J42" s="60"/>
      <c r="K42" s="60"/>
      <c r="L42" s="726"/>
      <c r="M42" s="658"/>
      <c r="N42" s="732"/>
      <c r="O42" s="733"/>
      <c r="P42" s="734"/>
      <c r="Q42" s="735"/>
      <c r="R42" s="736"/>
      <c r="S42" s="658"/>
      <c r="T42" s="219"/>
      <c r="U42" s="113"/>
    </row>
    <row r="43" spans="2:21" s="16" customFormat="1" ht="16.5" customHeight="1" thickBot="1" thickTop="1">
      <c r="B43" s="109"/>
      <c r="C43" s="251" t="s">
        <v>89</v>
      </c>
      <c r="D43" s="252" t="s">
        <v>90</v>
      </c>
      <c r="E43"/>
      <c r="F43" s="14"/>
      <c r="G43" s="14"/>
      <c r="H43" s="14"/>
      <c r="I43" s="14"/>
      <c r="J43" s="14"/>
      <c r="K43" s="14"/>
      <c r="L43" s="14"/>
      <c r="M43" s="14"/>
      <c r="N43" s="14"/>
      <c r="O43" s="468">
        <f>SUM(O20:O42)</f>
        <v>2206.6200000000003</v>
      </c>
      <c r="P43" s="475">
        <f>SUM(P20:P42)</f>
        <v>0</v>
      </c>
      <c r="Q43" s="476">
        <f>SUM(Q20:Q42)</f>
        <v>686.504</v>
      </c>
      <c r="R43" s="478">
        <f>SUM(R20:R42)</f>
        <v>0</v>
      </c>
      <c r="S43" s="61"/>
      <c r="T43" s="76">
        <f>ROUND(SUM(T20:T42),2)</f>
        <v>2893.12</v>
      </c>
      <c r="U43" s="113"/>
    </row>
    <row r="44" spans="2:21" s="255" customFormat="1" ht="13.5" thickTop="1">
      <c r="B44" s="256"/>
      <c r="C44" s="253"/>
      <c r="D44" s="254" t="s">
        <v>91</v>
      </c>
      <c r="E44"/>
      <c r="F44" s="272"/>
      <c r="G44" s="272"/>
      <c r="H44" s="272"/>
      <c r="I44" s="272"/>
      <c r="J44" s="272"/>
      <c r="K44" s="272"/>
      <c r="L44" s="272"/>
      <c r="M44" s="272"/>
      <c r="N44" s="272"/>
      <c r="O44" s="270"/>
      <c r="P44" s="270"/>
      <c r="Q44" s="270"/>
      <c r="R44" s="270"/>
      <c r="S44" s="270"/>
      <c r="T44" s="273"/>
      <c r="U44" s="274"/>
    </row>
    <row r="45" spans="2:21" s="16" customFormat="1" ht="16.5" customHeight="1" thickBot="1">
      <c r="B45" s="138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40"/>
    </row>
    <row r="46" spans="21:23" ht="16.5" customHeight="1" thickTop="1">
      <c r="U46" s="5"/>
      <c r="V46" s="5"/>
      <c r="W46" s="5"/>
    </row>
    <row r="47" spans="21:23" ht="16.5" customHeight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4:23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X156"/>
  <sheetViews>
    <sheetView zoomScale="75" zoomScaleNormal="75" workbookViewId="0" topLeftCell="E17">
      <selection activeCell="U22" sqref="U22:U24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77" customFormat="1" ht="26.25">
      <c r="A1" s="127"/>
      <c r="V1" s="625"/>
    </row>
    <row r="2" spans="1:22" s="77" customFormat="1" ht="26.25">
      <c r="A2" s="127"/>
      <c r="B2" s="238" t="str">
        <f>+'tot-0501'!B2</f>
        <v>ANEXO I a la Resolución E.N.R.E. N°             586 /2007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="16" customFormat="1" ht="12.75">
      <c r="A3" s="49"/>
    </row>
    <row r="4" spans="1:2" s="84" customFormat="1" ht="11.25">
      <c r="A4" s="82" t="s">
        <v>46</v>
      </c>
      <c r="B4" s="158"/>
    </row>
    <row r="5" spans="1:2" s="84" customFormat="1" ht="11.25">
      <c r="A5" s="82" t="s">
        <v>47</v>
      </c>
      <c r="B5" s="158"/>
    </row>
    <row r="6" s="16" customFormat="1" ht="13.5" thickBot="1"/>
    <row r="7" spans="2:22" s="16" customFormat="1" ht="13.5" thickTop="1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96"/>
    </row>
    <row r="8" spans="2:22" s="10" customFormat="1" ht="20.25">
      <c r="B8" s="142"/>
      <c r="D8" s="7" t="s">
        <v>111</v>
      </c>
      <c r="E8" s="63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33"/>
    </row>
    <row r="9" spans="2:22" s="16" customFormat="1" ht="12.75">
      <c r="B9" s="10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13"/>
    </row>
    <row r="10" spans="2:22" s="10" customFormat="1" ht="20.25">
      <c r="B10" s="142"/>
      <c r="D10" s="143" t="s">
        <v>112</v>
      </c>
      <c r="F10" s="234"/>
      <c r="G10" s="235"/>
      <c r="H10" s="235"/>
      <c r="I10" s="235"/>
      <c r="J10" s="235"/>
      <c r="K10" s="235"/>
      <c r="L10" s="235"/>
      <c r="M10" s="235"/>
      <c r="N10" s="235"/>
      <c r="O10" s="235"/>
      <c r="P10" s="11"/>
      <c r="Q10" s="11"/>
      <c r="R10" s="11"/>
      <c r="S10" s="11"/>
      <c r="T10" s="11"/>
      <c r="U10" s="11"/>
      <c r="V10" s="205"/>
    </row>
    <row r="11" spans="2:22" s="16" customFormat="1" ht="16.5" customHeight="1">
      <c r="B11" s="109"/>
      <c r="C11" s="14"/>
      <c r="D11" s="222"/>
      <c r="F11" s="90"/>
      <c r="G11" s="133"/>
      <c r="H11" s="133"/>
      <c r="I11" s="133"/>
      <c r="J11" s="133"/>
      <c r="K11" s="133"/>
      <c r="L11" s="133"/>
      <c r="M11" s="133"/>
      <c r="N11" s="133"/>
      <c r="O11" s="133"/>
      <c r="P11" s="14"/>
      <c r="Q11" s="14"/>
      <c r="R11" s="14"/>
      <c r="S11" s="14"/>
      <c r="T11" s="14"/>
      <c r="U11" s="14"/>
      <c r="V11" s="113"/>
    </row>
    <row r="12" spans="2:22" s="10" customFormat="1" ht="20.25">
      <c r="B12" s="142"/>
      <c r="D12" s="143" t="s">
        <v>113</v>
      </c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11"/>
      <c r="Q12" s="11"/>
      <c r="R12" s="11"/>
      <c r="S12" s="11"/>
      <c r="T12" s="11"/>
      <c r="U12" s="11"/>
      <c r="V12" s="205"/>
    </row>
    <row r="13" spans="2:22" s="16" customFormat="1" ht="16.5" customHeight="1">
      <c r="B13" s="109"/>
      <c r="C13" s="14"/>
      <c r="D13" s="222"/>
      <c r="F13" s="90"/>
      <c r="G13" s="133"/>
      <c r="H13" s="133"/>
      <c r="I13" s="133"/>
      <c r="J13" s="133"/>
      <c r="K13" s="133"/>
      <c r="L13" s="133"/>
      <c r="M13" s="133"/>
      <c r="N13" s="133"/>
      <c r="O13" s="133"/>
      <c r="P13" s="14"/>
      <c r="Q13" s="14"/>
      <c r="R13" s="14"/>
      <c r="S13" s="14"/>
      <c r="T13" s="14"/>
      <c r="U13" s="14"/>
      <c r="V13" s="113"/>
    </row>
    <row r="14" spans="2:22" s="15" customFormat="1" ht="16.5" customHeight="1">
      <c r="B14" s="159" t="str">
        <f>+'tot-0501'!B14</f>
        <v>Desde el 01 al 31 de enero de 2005</v>
      </c>
      <c r="C14" s="145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145"/>
      <c r="Q14" s="145"/>
      <c r="R14" s="145"/>
      <c r="S14" s="145"/>
      <c r="T14" s="145"/>
      <c r="U14" s="145"/>
      <c r="V14" s="237"/>
    </row>
    <row r="15" spans="2:22" s="16" customFormat="1" ht="16.5" customHeight="1" thickBot="1">
      <c r="B15" s="109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13"/>
    </row>
    <row r="16" spans="2:22" s="16" customFormat="1" ht="16.5" customHeight="1" thickBot="1" thickTop="1">
      <c r="B16" s="109"/>
      <c r="C16" s="14"/>
      <c r="D16" s="215" t="s">
        <v>95</v>
      </c>
      <c r="E16" s="239"/>
      <c r="F16" s="247">
        <v>0.154</v>
      </c>
      <c r="G16" s="213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13"/>
    </row>
    <row r="17" spans="2:22" s="16" customFormat="1" ht="16.5" customHeight="1" thickBot="1" thickTop="1">
      <c r="B17" s="109"/>
      <c r="C17" s="14"/>
      <c r="D17" s="240" t="s">
        <v>96</v>
      </c>
      <c r="E17" s="241"/>
      <c r="F17" s="242">
        <v>20</v>
      </c>
      <c r="G17" s="213"/>
      <c r="H17"/>
      <c r="I17" s="627"/>
      <c r="J17" s="628"/>
      <c r="K17" s="14"/>
      <c r="L17" s="14"/>
      <c r="M17" s="14"/>
      <c r="O17" s="14"/>
      <c r="P17" s="14"/>
      <c r="Q17" s="14"/>
      <c r="R17" s="134"/>
      <c r="S17" s="134"/>
      <c r="T17" s="134"/>
      <c r="U17" s="134"/>
      <c r="V17" s="113"/>
    </row>
    <row r="18" spans="2:22" s="16" customFormat="1" ht="16.5" customHeight="1" thickBot="1" thickTop="1">
      <c r="B18" s="109"/>
      <c r="C18" s="2"/>
      <c r="D18" s="223"/>
      <c r="E18" s="224"/>
      <c r="F18" s="224"/>
      <c r="G18" s="31"/>
      <c r="H18" s="31"/>
      <c r="I18" s="31"/>
      <c r="J18" s="31"/>
      <c r="K18" s="31"/>
      <c r="L18" s="31"/>
      <c r="M18" s="31"/>
      <c r="N18" s="31"/>
      <c r="O18" s="225"/>
      <c r="P18" s="226"/>
      <c r="Q18" s="227"/>
      <c r="R18" s="227"/>
      <c r="S18" s="227"/>
      <c r="T18" s="228"/>
      <c r="U18" s="229"/>
      <c r="V18" s="113"/>
    </row>
    <row r="19" spans="2:22" s="16" customFormat="1" ht="33.75" customHeight="1" thickBot="1" thickTop="1">
      <c r="B19" s="109"/>
      <c r="C19" s="149" t="s">
        <v>67</v>
      </c>
      <c r="D19" s="155" t="s">
        <v>97</v>
      </c>
      <c r="E19" s="151" t="s">
        <v>41</v>
      </c>
      <c r="F19" s="243" t="s">
        <v>98</v>
      </c>
      <c r="G19" s="317" t="s">
        <v>72</v>
      </c>
      <c r="H19" s="151" t="s">
        <v>73</v>
      </c>
      <c r="I19" s="151" t="s">
        <v>74</v>
      </c>
      <c r="J19" s="155" t="s">
        <v>75</v>
      </c>
      <c r="K19" s="155" t="s">
        <v>76</v>
      </c>
      <c r="L19" s="154" t="s">
        <v>77</v>
      </c>
      <c r="M19" s="154" t="s">
        <v>78</v>
      </c>
      <c r="N19" s="151" t="s">
        <v>80</v>
      </c>
      <c r="O19" s="317" t="s">
        <v>71</v>
      </c>
      <c r="P19" s="481" t="s">
        <v>92</v>
      </c>
      <c r="Q19" s="485" t="s">
        <v>114</v>
      </c>
      <c r="R19" s="486"/>
      <c r="S19" s="493" t="s">
        <v>85</v>
      </c>
      <c r="T19" s="156" t="s">
        <v>87</v>
      </c>
      <c r="U19" s="244" t="s">
        <v>88</v>
      </c>
      <c r="V19" s="113"/>
    </row>
    <row r="20" spans="2:22" s="16" customFormat="1" ht="16.5" customHeight="1" hidden="1" thickTop="1">
      <c r="B20" s="109"/>
      <c r="C20" s="230"/>
      <c r="D20" s="231"/>
      <c r="E20" s="231"/>
      <c r="F20" s="231"/>
      <c r="G20" s="323"/>
      <c r="H20" s="232"/>
      <c r="I20" s="232"/>
      <c r="J20" s="230"/>
      <c r="K20" s="230"/>
      <c r="L20" s="231"/>
      <c r="M20" s="17"/>
      <c r="N20" s="230"/>
      <c r="O20" s="329"/>
      <c r="P20" s="482"/>
      <c r="Q20" s="487"/>
      <c r="R20" s="488"/>
      <c r="S20" s="494"/>
      <c r="T20" s="497"/>
      <c r="U20" s="509"/>
      <c r="V20" s="113"/>
    </row>
    <row r="21" spans="2:22" s="16" customFormat="1" ht="16.5" customHeight="1" thickTop="1">
      <c r="B21" s="109"/>
      <c r="C21" s="26"/>
      <c r="D21" s="67"/>
      <c r="E21" s="68"/>
      <c r="F21" s="69"/>
      <c r="G21" s="328"/>
      <c r="H21" s="71"/>
      <c r="I21" s="72"/>
      <c r="J21" s="73"/>
      <c r="K21" s="74"/>
      <c r="L21" s="75"/>
      <c r="M21" s="18"/>
      <c r="N21" s="70"/>
      <c r="O21" s="330"/>
      <c r="P21" s="483"/>
      <c r="Q21" s="489"/>
      <c r="R21" s="490"/>
      <c r="S21" s="495"/>
      <c r="T21" s="70"/>
      <c r="U21" s="245"/>
      <c r="V21" s="113"/>
    </row>
    <row r="22" spans="2:22" s="16" customFormat="1" ht="16.5" customHeight="1">
      <c r="B22" s="109"/>
      <c r="C22" s="639">
        <v>47</v>
      </c>
      <c r="D22" s="738" t="s">
        <v>42</v>
      </c>
      <c r="E22" s="721" t="s">
        <v>45</v>
      </c>
      <c r="F22" s="739">
        <v>245</v>
      </c>
      <c r="G22" s="564">
        <f aca="true" t="shared" si="0" ref="G22:G39">F22*$F$16</f>
        <v>37.73</v>
      </c>
      <c r="H22" s="724">
        <v>38355.24652777778</v>
      </c>
      <c r="I22" s="657">
        <v>38356.236805555556</v>
      </c>
      <c r="J22" s="56">
        <f aca="true" t="shared" si="1" ref="J22:J39">IF(D22="","",(I22-H22)*24)</f>
        <v>23.76666666660458</v>
      </c>
      <c r="K22" s="25">
        <f aca="true" t="shared" si="2" ref="K22:K39">IF(D22="","",ROUND((I22-H22)*24*60,0))</f>
        <v>1426</v>
      </c>
      <c r="L22" s="659" t="s">
        <v>175</v>
      </c>
      <c r="M22" s="685" t="str">
        <f aca="true" t="shared" si="3" ref="M22:M39">IF(D22="","","--")</f>
        <v>--</v>
      </c>
      <c r="N22" s="661" t="str">
        <f aca="true" t="shared" si="4" ref="N22:N39">IF(D22="","",IF(OR(L22="P",L22="RP"),"--","NO"))</f>
        <v>--</v>
      </c>
      <c r="O22" s="742">
        <f aca="true" t="shared" si="5" ref="O22:O39">IF(L22="P",$F$17/10,$F$17)</f>
        <v>2</v>
      </c>
      <c r="P22" s="743">
        <f aca="true" t="shared" si="6" ref="P22:P39">IF(L22="P",G22*O22*ROUND(K22/60,2),"--")</f>
        <v>1793.6842</v>
      </c>
      <c r="Q22" s="744" t="str">
        <f aca="true" t="shared" si="7" ref="Q22:Q39">IF(AND(L22="F",N22="NO"),G22*O22,"--")</f>
        <v>--</v>
      </c>
      <c r="R22" s="745" t="str">
        <f aca="true" t="shared" si="8" ref="R22:R39">IF(L22="F",G22*O22*ROUND(K22/60,2),"--")</f>
        <v>--</v>
      </c>
      <c r="S22" s="746" t="str">
        <f aca="true" t="shared" si="9" ref="S22:S39">IF(L22="RF",G22*O22*ROUND(K22/60,2),"--")</f>
        <v>--</v>
      </c>
      <c r="T22" s="661" t="str">
        <f aca="true" t="shared" si="10" ref="T22:T39">IF(D22="","","SI")</f>
        <v>SI</v>
      </c>
      <c r="U22" s="59">
        <f aca="true" t="shared" si="11" ref="U22:U39">IF(D22="","",SUM(P22:S22)*IF(T22="SI",1,2))</f>
        <v>1793.6842</v>
      </c>
      <c r="V22" s="113"/>
    </row>
    <row r="23" spans="2:22" s="16" customFormat="1" ht="16.5" customHeight="1">
      <c r="B23" s="109"/>
      <c r="C23" s="639">
        <v>50</v>
      </c>
      <c r="D23" s="738" t="s">
        <v>42</v>
      </c>
      <c r="E23" s="721" t="s">
        <v>43</v>
      </c>
      <c r="F23" s="739">
        <v>245</v>
      </c>
      <c r="G23" s="564">
        <f t="shared" si="0"/>
        <v>37.73</v>
      </c>
      <c r="H23" s="724">
        <v>38381.32986111111</v>
      </c>
      <c r="I23" s="657">
        <v>38381.55138888889</v>
      </c>
      <c r="J23" s="56">
        <f t="shared" si="1"/>
        <v>5.316666666709352</v>
      </c>
      <c r="K23" s="25">
        <f t="shared" si="2"/>
        <v>319</v>
      </c>
      <c r="L23" s="659" t="s">
        <v>175</v>
      </c>
      <c r="M23" s="685" t="str">
        <f t="shared" si="3"/>
        <v>--</v>
      </c>
      <c r="N23" s="661" t="str">
        <f t="shared" si="4"/>
        <v>--</v>
      </c>
      <c r="O23" s="742">
        <f t="shared" si="5"/>
        <v>2</v>
      </c>
      <c r="P23" s="743">
        <f t="shared" si="6"/>
        <v>401.4472</v>
      </c>
      <c r="Q23" s="744" t="str">
        <f t="shared" si="7"/>
        <v>--</v>
      </c>
      <c r="R23" s="745" t="str">
        <f t="shared" si="8"/>
        <v>--</v>
      </c>
      <c r="S23" s="746" t="str">
        <f t="shared" si="9"/>
        <v>--</v>
      </c>
      <c r="T23" s="661" t="str">
        <f t="shared" si="10"/>
        <v>SI</v>
      </c>
      <c r="U23" s="59">
        <f t="shared" si="11"/>
        <v>401.4472</v>
      </c>
      <c r="V23" s="220"/>
    </row>
    <row r="24" spans="2:22" s="16" customFormat="1" ht="16.5" customHeight="1">
      <c r="B24" s="109"/>
      <c r="C24" s="639">
        <v>51</v>
      </c>
      <c r="D24" s="738" t="s">
        <v>42</v>
      </c>
      <c r="E24" s="721" t="s">
        <v>44</v>
      </c>
      <c r="F24" s="739">
        <v>245</v>
      </c>
      <c r="G24" s="564">
        <f t="shared" si="0"/>
        <v>37.73</v>
      </c>
      <c r="H24" s="724">
        <v>38381.32986111111</v>
      </c>
      <c r="I24" s="657">
        <v>38381.552777777775</v>
      </c>
      <c r="J24" s="56">
        <f t="shared" si="1"/>
        <v>5.349999999976717</v>
      </c>
      <c r="K24" s="25">
        <f t="shared" si="2"/>
        <v>321</v>
      </c>
      <c r="L24" s="659" t="s">
        <v>175</v>
      </c>
      <c r="M24" s="685" t="str">
        <f t="shared" si="3"/>
        <v>--</v>
      </c>
      <c r="N24" s="661" t="str">
        <f t="shared" si="4"/>
        <v>--</v>
      </c>
      <c r="O24" s="742">
        <f t="shared" si="5"/>
        <v>2</v>
      </c>
      <c r="P24" s="743">
        <f t="shared" si="6"/>
        <v>403.71099999999996</v>
      </c>
      <c r="Q24" s="744" t="str">
        <f t="shared" si="7"/>
        <v>--</v>
      </c>
      <c r="R24" s="745" t="str">
        <f t="shared" si="8"/>
        <v>--</v>
      </c>
      <c r="S24" s="746" t="str">
        <f t="shared" si="9"/>
        <v>--</v>
      </c>
      <c r="T24" s="661" t="str">
        <f t="shared" si="10"/>
        <v>SI</v>
      </c>
      <c r="U24" s="59">
        <f t="shared" si="11"/>
        <v>403.71099999999996</v>
      </c>
      <c r="V24" s="220"/>
    </row>
    <row r="25" spans="2:22" s="16" customFormat="1" ht="16.5" customHeight="1">
      <c r="B25" s="109"/>
      <c r="C25" s="639"/>
      <c r="D25" s="738"/>
      <c r="E25" s="721"/>
      <c r="F25" s="739"/>
      <c r="G25" s="564">
        <f t="shared" si="0"/>
        <v>0</v>
      </c>
      <c r="H25" s="724"/>
      <c r="I25" s="657"/>
      <c r="J25" s="56">
        <f t="shared" si="1"/>
      </c>
      <c r="K25" s="25">
        <f t="shared" si="2"/>
      </c>
      <c r="L25" s="659"/>
      <c r="M25" s="685">
        <f t="shared" si="3"/>
      </c>
      <c r="N25" s="661">
        <f t="shared" si="4"/>
      </c>
      <c r="O25" s="742">
        <f t="shared" si="5"/>
        <v>20</v>
      </c>
      <c r="P25" s="743" t="str">
        <f t="shared" si="6"/>
        <v>--</v>
      </c>
      <c r="Q25" s="744" t="str">
        <f t="shared" si="7"/>
        <v>--</v>
      </c>
      <c r="R25" s="745" t="str">
        <f t="shared" si="8"/>
        <v>--</v>
      </c>
      <c r="S25" s="746" t="str">
        <f t="shared" si="9"/>
        <v>--</v>
      </c>
      <c r="T25" s="661">
        <f t="shared" si="10"/>
      </c>
      <c r="U25" s="59">
        <f t="shared" si="11"/>
      </c>
      <c r="V25" s="220"/>
    </row>
    <row r="26" spans="2:22" s="16" customFormat="1" ht="16.5" customHeight="1">
      <c r="B26" s="109"/>
      <c r="C26" s="639"/>
      <c r="D26" s="738"/>
      <c r="E26" s="721"/>
      <c r="F26" s="739"/>
      <c r="G26" s="564"/>
      <c r="H26" s="724"/>
      <c r="I26" s="657"/>
      <c r="J26" s="56"/>
      <c r="K26" s="25"/>
      <c r="L26" s="659"/>
      <c r="M26" s="685"/>
      <c r="N26" s="661"/>
      <c r="O26" s="742"/>
      <c r="P26" s="743"/>
      <c r="Q26" s="744"/>
      <c r="R26" s="745"/>
      <c r="S26" s="746"/>
      <c r="T26" s="661"/>
      <c r="U26" s="59"/>
      <c r="V26" s="220"/>
    </row>
    <row r="27" spans="2:22" s="16" customFormat="1" ht="16.5" customHeight="1">
      <c r="B27" s="109"/>
      <c r="C27" s="639"/>
      <c r="D27" s="738"/>
      <c r="E27" s="721"/>
      <c r="F27" s="739"/>
      <c r="G27" s="564"/>
      <c r="H27" s="724"/>
      <c r="I27" s="657"/>
      <c r="J27" s="56"/>
      <c r="K27" s="25"/>
      <c r="L27" s="659"/>
      <c r="M27" s="685"/>
      <c r="N27" s="661"/>
      <c r="O27" s="742"/>
      <c r="P27" s="743"/>
      <c r="Q27" s="744"/>
      <c r="R27" s="745"/>
      <c r="S27" s="746"/>
      <c r="T27" s="661"/>
      <c r="U27" s="59"/>
      <c r="V27" s="220"/>
    </row>
    <row r="28" spans="2:22" s="16" customFormat="1" ht="16.5" customHeight="1">
      <c r="B28" s="109"/>
      <c r="C28" s="639"/>
      <c r="D28" s="738"/>
      <c r="E28" s="721"/>
      <c r="F28" s="739"/>
      <c r="G28" s="564">
        <f t="shared" si="0"/>
        <v>0</v>
      </c>
      <c r="H28" s="724"/>
      <c r="I28" s="657"/>
      <c r="J28" s="56">
        <f t="shared" si="1"/>
      </c>
      <c r="K28" s="25">
        <f t="shared" si="2"/>
      </c>
      <c r="L28" s="659"/>
      <c r="M28" s="685">
        <f t="shared" si="3"/>
      </c>
      <c r="N28" s="661">
        <f t="shared" si="4"/>
      </c>
      <c r="O28" s="742">
        <f t="shared" si="5"/>
        <v>20</v>
      </c>
      <c r="P28" s="743" t="str">
        <f t="shared" si="6"/>
        <v>--</v>
      </c>
      <c r="Q28" s="744" t="str">
        <f t="shared" si="7"/>
        <v>--</v>
      </c>
      <c r="R28" s="745" t="str">
        <f t="shared" si="8"/>
        <v>--</v>
      </c>
      <c r="S28" s="746" t="str">
        <f t="shared" si="9"/>
        <v>--</v>
      </c>
      <c r="T28" s="661">
        <f t="shared" si="10"/>
      </c>
      <c r="U28" s="59">
        <f t="shared" si="11"/>
      </c>
      <c r="V28" s="220"/>
    </row>
    <row r="29" spans="2:22" s="16" customFormat="1" ht="16.5" customHeight="1">
      <c r="B29" s="109"/>
      <c r="C29" s="639"/>
      <c r="D29" s="738"/>
      <c r="E29" s="721"/>
      <c r="F29" s="739"/>
      <c r="G29" s="564">
        <f t="shared" si="0"/>
        <v>0</v>
      </c>
      <c r="H29" s="724"/>
      <c r="I29" s="657"/>
      <c r="J29" s="56">
        <f t="shared" si="1"/>
      </c>
      <c r="K29" s="25">
        <f t="shared" si="2"/>
      </c>
      <c r="L29" s="659"/>
      <c r="M29" s="685">
        <f t="shared" si="3"/>
      </c>
      <c r="N29" s="661">
        <f t="shared" si="4"/>
      </c>
      <c r="O29" s="742">
        <f t="shared" si="5"/>
        <v>20</v>
      </c>
      <c r="P29" s="743" t="str">
        <f t="shared" si="6"/>
        <v>--</v>
      </c>
      <c r="Q29" s="744" t="str">
        <f t="shared" si="7"/>
        <v>--</v>
      </c>
      <c r="R29" s="745" t="str">
        <f t="shared" si="8"/>
        <v>--</v>
      </c>
      <c r="S29" s="746" t="str">
        <f t="shared" si="9"/>
        <v>--</v>
      </c>
      <c r="T29" s="661">
        <f t="shared" si="10"/>
      </c>
      <c r="U29" s="59">
        <f t="shared" si="11"/>
      </c>
      <c r="V29" s="113"/>
    </row>
    <row r="30" spans="2:22" s="16" customFormat="1" ht="16.5" customHeight="1">
      <c r="B30" s="109"/>
      <c r="C30" s="639"/>
      <c r="D30" s="738"/>
      <c r="E30" s="721"/>
      <c r="F30" s="739"/>
      <c r="G30" s="564">
        <f t="shared" si="0"/>
        <v>0</v>
      </c>
      <c r="H30" s="724"/>
      <c r="I30" s="657"/>
      <c r="J30" s="56">
        <f t="shared" si="1"/>
      </c>
      <c r="K30" s="25">
        <f t="shared" si="2"/>
      </c>
      <c r="L30" s="659"/>
      <c r="M30" s="685">
        <f t="shared" si="3"/>
      </c>
      <c r="N30" s="661">
        <f t="shared" si="4"/>
      </c>
      <c r="O30" s="742">
        <f t="shared" si="5"/>
        <v>20</v>
      </c>
      <c r="P30" s="743" t="str">
        <f t="shared" si="6"/>
        <v>--</v>
      </c>
      <c r="Q30" s="744" t="str">
        <f t="shared" si="7"/>
        <v>--</v>
      </c>
      <c r="R30" s="745" t="str">
        <f t="shared" si="8"/>
        <v>--</v>
      </c>
      <c r="S30" s="746" t="str">
        <f t="shared" si="9"/>
        <v>--</v>
      </c>
      <c r="T30" s="661">
        <f t="shared" si="10"/>
      </c>
      <c r="U30" s="59">
        <f t="shared" si="11"/>
      </c>
      <c r="V30" s="113"/>
    </row>
    <row r="31" spans="2:22" s="16" customFormat="1" ht="16.5" customHeight="1">
      <c r="B31" s="109"/>
      <c r="C31" s="639"/>
      <c r="D31" s="738"/>
      <c r="E31" s="721"/>
      <c r="F31" s="739"/>
      <c r="G31" s="564">
        <f t="shared" si="0"/>
        <v>0</v>
      </c>
      <c r="H31" s="724"/>
      <c r="I31" s="657"/>
      <c r="J31" s="56">
        <f t="shared" si="1"/>
      </c>
      <c r="K31" s="25">
        <f t="shared" si="2"/>
      </c>
      <c r="L31" s="659"/>
      <c r="M31" s="685">
        <f t="shared" si="3"/>
      </c>
      <c r="N31" s="661">
        <f t="shared" si="4"/>
      </c>
      <c r="O31" s="742">
        <f t="shared" si="5"/>
        <v>20</v>
      </c>
      <c r="P31" s="743" t="str">
        <f t="shared" si="6"/>
        <v>--</v>
      </c>
      <c r="Q31" s="744" t="str">
        <f t="shared" si="7"/>
        <v>--</v>
      </c>
      <c r="R31" s="745" t="str">
        <f t="shared" si="8"/>
        <v>--</v>
      </c>
      <c r="S31" s="746" t="str">
        <f t="shared" si="9"/>
        <v>--</v>
      </c>
      <c r="T31" s="661">
        <f t="shared" si="10"/>
      </c>
      <c r="U31" s="59">
        <f t="shared" si="11"/>
      </c>
      <c r="V31" s="113"/>
    </row>
    <row r="32" spans="2:22" s="16" customFormat="1" ht="16.5" customHeight="1">
      <c r="B32" s="109"/>
      <c r="C32" s="639"/>
      <c r="D32" s="738"/>
      <c r="E32" s="721"/>
      <c r="F32" s="739"/>
      <c r="G32" s="564">
        <f t="shared" si="0"/>
        <v>0</v>
      </c>
      <c r="H32" s="724"/>
      <c r="I32" s="657"/>
      <c r="J32" s="56">
        <f t="shared" si="1"/>
      </c>
      <c r="K32" s="25">
        <f t="shared" si="2"/>
      </c>
      <c r="L32" s="659"/>
      <c r="M32" s="685">
        <f t="shared" si="3"/>
      </c>
      <c r="N32" s="661">
        <f t="shared" si="4"/>
      </c>
      <c r="O32" s="742">
        <f t="shared" si="5"/>
        <v>20</v>
      </c>
      <c r="P32" s="743" t="str">
        <f t="shared" si="6"/>
        <v>--</v>
      </c>
      <c r="Q32" s="744" t="str">
        <f t="shared" si="7"/>
        <v>--</v>
      </c>
      <c r="R32" s="745" t="str">
        <f t="shared" si="8"/>
        <v>--</v>
      </c>
      <c r="S32" s="746" t="str">
        <f t="shared" si="9"/>
        <v>--</v>
      </c>
      <c r="T32" s="661">
        <f t="shared" si="10"/>
      </c>
      <c r="U32" s="59">
        <f t="shared" si="11"/>
      </c>
      <c r="V32" s="113"/>
    </row>
    <row r="33" spans="2:22" s="16" customFormat="1" ht="16.5" customHeight="1">
      <c r="B33" s="109"/>
      <c r="C33" s="639"/>
      <c r="D33" s="738"/>
      <c r="E33" s="721"/>
      <c r="F33" s="739"/>
      <c r="G33" s="564">
        <f t="shared" si="0"/>
        <v>0</v>
      </c>
      <c r="H33" s="724"/>
      <c r="I33" s="657"/>
      <c r="J33" s="56">
        <f t="shared" si="1"/>
      </c>
      <c r="K33" s="25">
        <f t="shared" si="2"/>
      </c>
      <c r="L33" s="659"/>
      <c r="M33" s="685">
        <f t="shared" si="3"/>
      </c>
      <c r="N33" s="661">
        <f t="shared" si="4"/>
      </c>
      <c r="O33" s="742">
        <f t="shared" si="5"/>
        <v>20</v>
      </c>
      <c r="P33" s="743" t="str">
        <f t="shared" si="6"/>
        <v>--</v>
      </c>
      <c r="Q33" s="744" t="str">
        <f t="shared" si="7"/>
        <v>--</v>
      </c>
      <c r="R33" s="745" t="str">
        <f t="shared" si="8"/>
        <v>--</v>
      </c>
      <c r="S33" s="746" t="str">
        <f t="shared" si="9"/>
        <v>--</v>
      </c>
      <c r="T33" s="661">
        <f t="shared" si="10"/>
      </c>
      <c r="U33" s="59">
        <f t="shared" si="11"/>
      </c>
      <c r="V33" s="113"/>
    </row>
    <row r="34" spans="2:22" s="16" customFormat="1" ht="16.5" customHeight="1">
      <c r="B34" s="109"/>
      <c r="C34" s="639"/>
      <c r="D34" s="738"/>
      <c r="E34" s="721"/>
      <c r="F34" s="739"/>
      <c r="G34" s="564">
        <f t="shared" si="0"/>
        <v>0</v>
      </c>
      <c r="H34" s="724"/>
      <c r="I34" s="657"/>
      <c r="J34" s="56">
        <f t="shared" si="1"/>
      </c>
      <c r="K34" s="25">
        <f t="shared" si="2"/>
      </c>
      <c r="L34" s="659"/>
      <c r="M34" s="685">
        <f t="shared" si="3"/>
      </c>
      <c r="N34" s="661">
        <f t="shared" si="4"/>
      </c>
      <c r="O34" s="742">
        <f t="shared" si="5"/>
        <v>20</v>
      </c>
      <c r="P34" s="743" t="str">
        <f t="shared" si="6"/>
        <v>--</v>
      </c>
      <c r="Q34" s="744" t="str">
        <f t="shared" si="7"/>
        <v>--</v>
      </c>
      <c r="R34" s="745" t="str">
        <f t="shared" si="8"/>
        <v>--</v>
      </c>
      <c r="S34" s="746" t="str">
        <f t="shared" si="9"/>
        <v>--</v>
      </c>
      <c r="T34" s="661">
        <f t="shared" si="10"/>
      </c>
      <c r="U34" s="59">
        <f t="shared" si="11"/>
      </c>
      <c r="V34" s="113"/>
    </row>
    <row r="35" spans="2:22" s="16" customFormat="1" ht="16.5" customHeight="1">
      <c r="B35" s="109"/>
      <c r="C35" s="639"/>
      <c r="D35" s="738"/>
      <c r="E35" s="721"/>
      <c r="F35" s="739"/>
      <c r="G35" s="564">
        <f t="shared" si="0"/>
        <v>0</v>
      </c>
      <c r="H35" s="724"/>
      <c r="I35" s="657"/>
      <c r="J35" s="56">
        <f t="shared" si="1"/>
      </c>
      <c r="K35" s="25">
        <f t="shared" si="2"/>
      </c>
      <c r="L35" s="659"/>
      <c r="M35" s="685">
        <f t="shared" si="3"/>
      </c>
      <c r="N35" s="661">
        <f t="shared" si="4"/>
      </c>
      <c r="O35" s="742">
        <f t="shared" si="5"/>
        <v>20</v>
      </c>
      <c r="P35" s="743" t="str">
        <f t="shared" si="6"/>
        <v>--</v>
      </c>
      <c r="Q35" s="744" t="str">
        <f t="shared" si="7"/>
        <v>--</v>
      </c>
      <c r="R35" s="745" t="str">
        <f t="shared" si="8"/>
        <v>--</v>
      </c>
      <c r="S35" s="746" t="str">
        <f t="shared" si="9"/>
        <v>--</v>
      </c>
      <c r="T35" s="661">
        <f t="shared" si="10"/>
      </c>
      <c r="U35" s="59">
        <f t="shared" si="11"/>
      </c>
      <c r="V35" s="113"/>
    </row>
    <row r="36" spans="2:22" s="16" customFormat="1" ht="16.5" customHeight="1">
      <c r="B36" s="109"/>
      <c r="C36" s="639"/>
      <c r="D36" s="738"/>
      <c r="E36" s="721"/>
      <c r="F36" s="739"/>
      <c r="G36" s="564">
        <f t="shared" si="0"/>
        <v>0</v>
      </c>
      <c r="H36" s="724"/>
      <c r="I36" s="657"/>
      <c r="J36" s="56">
        <f t="shared" si="1"/>
      </c>
      <c r="K36" s="25">
        <f t="shared" si="2"/>
      </c>
      <c r="L36" s="659"/>
      <c r="M36" s="685">
        <f t="shared" si="3"/>
      </c>
      <c r="N36" s="661">
        <f t="shared" si="4"/>
      </c>
      <c r="O36" s="742">
        <f t="shared" si="5"/>
        <v>20</v>
      </c>
      <c r="P36" s="743" t="str">
        <f t="shared" si="6"/>
        <v>--</v>
      </c>
      <c r="Q36" s="744" t="str">
        <f t="shared" si="7"/>
        <v>--</v>
      </c>
      <c r="R36" s="745" t="str">
        <f t="shared" si="8"/>
        <v>--</v>
      </c>
      <c r="S36" s="746" t="str">
        <f t="shared" si="9"/>
        <v>--</v>
      </c>
      <c r="T36" s="661">
        <f t="shared" si="10"/>
      </c>
      <c r="U36" s="59">
        <f t="shared" si="11"/>
      </c>
      <c r="V36" s="113"/>
    </row>
    <row r="37" spans="2:22" s="16" customFormat="1" ht="16.5" customHeight="1">
      <c r="B37" s="109"/>
      <c r="C37" s="639"/>
      <c r="D37" s="738"/>
      <c r="E37" s="721"/>
      <c r="F37" s="739"/>
      <c r="G37" s="564">
        <f t="shared" si="0"/>
        <v>0</v>
      </c>
      <c r="H37" s="724"/>
      <c r="I37" s="657"/>
      <c r="J37" s="56">
        <f t="shared" si="1"/>
      </c>
      <c r="K37" s="25">
        <f t="shared" si="2"/>
      </c>
      <c r="L37" s="659"/>
      <c r="M37" s="685">
        <f t="shared" si="3"/>
      </c>
      <c r="N37" s="661">
        <f t="shared" si="4"/>
      </c>
      <c r="O37" s="742">
        <f t="shared" si="5"/>
        <v>20</v>
      </c>
      <c r="P37" s="743" t="str">
        <f t="shared" si="6"/>
        <v>--</v>
      </c>
      <c r="Q37" s="744" t="str">
        <f t="shared" si="7"/>
        <v>--</v>
      </c>
      <c r="R37" s="745" t="str">
        <f t="shared" si="8"/>
        <v>--</v>
      </c>
      <c r="S37" s="746" t="str">
        <f t="shared" si="9"/>
        <v>--</v>
      </c>
      <c r="T37" s="661">
        <f t="shared" si="10"/>
      </c>
      <c r="U37" s="59">
        <f t="shared" si="11"/>
      </c>
      <c r="V37" s="113"/>
    </row>
    <row r="38" spans="2:22" s="16" customFormat="1" ht="16.5" customHeight="1">
      <c r="B38" s="109"/>
      <c r="C38" s="639"/>
      <c r="D38" s="738"/>
      <c r="E38" s="721"/>
      <c r="F38" s="739"/>
      <c r="G38" s="564">
        <f t="shared" si="0"/>
        <v>0</v>
      </c>
      <c r="H38" s="724"/>
      <c r="I38" s="657"/>
      <c r="J38" s="56">
        <f t="shared" si="1"/>
      </c>
      <c r="K38" s="25">
        <f t="shared" si="2"/>
      </c>
      <c r="L38" s="659"/>
      <c r="M38" s="685">
        <f t="shared" si="3"/>
      </c>
      <c r="N38" s="661">
        <f t="shared" si="4"/>
      </c>
      <c r="O38" s="742">
        <f t="shared" si="5"/>
        <v>20</v>
      </c>
      <c r="P38" s="743" t="str">
        <f t="shared" si="6"/>
        <v>--</v>
      </c>
      <c r="Q38" s="744" t="str">
        <f t="shared" si="7"/>
        <v>--</v>
      </c>
      <c r="R38" s="745" t="str">
        <f t="shared" si="8"/>
        <v>--</v>
      </c>
      <c r="S38" s="746" t="str">
        <f t="shared" si="9"/>
        <v>--</v>
      </c>
      <c r="T38" s="661">
        <f t="shared" si="10"/>
      </c>
      <c r="U38" s="59">
        <f t="shared" si="11"/>
      </c>
      <c r="V38" s="113"/>
    </row>
    <row r="39" spans="2:22" s="16" customFormat="1" ht="16.5" customHeight="1">
      <c r="B39" s="109"/>
      <c r="C39" s="639"/>
      <c r="D39" s="738"/>
      <c r="E39" s="721"/>
      <c r="F39" s="739"/>
      <c r="G39" s="564">
        <f t="shared" si="0"/>
        <v>0</v>
      </c>
      <c r="H39" s="724"/>
      <c r="I39" s="657"/>
      <c r="J39" s="56">
        <f t="shared" si="1"/>
      </c>
      <c r="K39" s="25">
        <f t="shared" si="2"/>
      </c>
      <c r="L39" s="659"/>
      <c r="M39" s="685">
        <f t="shared" si="3"/>
      </c>
      <c r="N39" s="661">
        <f t="shared" si="4"/>
      </c>
      <c r="O39" s="742">
        <f t="shared" si="5"/>
        <v>20</v>
      </c>
      <c r="P39" s="743" t="str">
        <f t="shared" si="6"/>
        <v>--</v>
      </c>
      <c r="Q39" s="744" t="str">
        <f t="shared" si="7"/>
        <v>--</v>
      </c>
      <c r="R39" s="745" t="str">
        <f t="shared" si="8"/>
        <v>--</v>
      </c>
      <c r="S39" s="746" t="str">
        <f t="shared" si="9"/>
        <v>--</v>
      </c>
      <c r="T39" s="661">
        <f t="shared" si="10"/>
      </c>
      <c r="U39" s="59">
        <f t="shared" si="11"/>
      </c>
      <c r="V39" s="113"/>
    </row>
    <row r="40" spans="2:22" s="16" customFormat="1" ht="16.5" customHeight="1" thickBot="1">
      <c r="B40" s="109"/>
      <c r="C40" s="648"/>
      <c r="D40" s="740"/>
      <c r="E40" s="723"/>
      <c r="F40" s="741"/>
      <c r="G40" s="319"/>
      <c r="H40" s="726"/>
      <c r="I40" s="726"/>
      <c r="J40" s="60"/>
      <c r="K40" s="60"/>
      <c r="L40" s="726"/>
      <c r="M40" s="673"/>
      <c r="N40" s="658"/>
      <c r="O40" s="747"/>
      <c r="P40" s="748"/>
      <c r="Q40" s="749"/>
      <c r="R40" s="750"/>
      <c r="S40" s="751"/>
      <c r="T40" s="658"/>
      <c r="U40" s="246"/>
      <c r="V40" s="113"/>
    </row>
    <row r="41" spans="2:22" s="16" customFormat="1" ht="16.5" customHeight="1" thickBot="1" thickTop="1">
      <c r="B41" s="109"/>
      <c r="C41" s="251" t="s">
        <v>89</v>
      </c>
      <c r="D41" s="252" t="s">
        <v>90</v>
      </c>
      <c r="G41" s="14"/>
      <c r="H41" s="14"/>
      <c r="I41" s="14"/>
      <c r="J41" s="14"/>
      <c r="K41" s="14"/>
      <c r="L41" s="14"/>
      <c r="M41" s="14"/>
      <c r="N41" s="14"/>
      <c r="O41" s="14"/>
      <c r="P41" s="484">
        <f>SUM(P20:P40)</f>
        <v>2598.8423999999995</v>
      </c>
      <c r="Q41" s="491">
        <f>SUM(Q20:Q40)</f>
        <v>0</v>
      </c>
      <c r="R41" s="492">
        <f>SUM(R20:R40)</f>
        <v>0</v>
      </c>
      <c r="S41" s="496">
        <f>SUM(S20:S40)</f>
        <v>0</v>
      </c>
      <c r="U41" s="62">
        <f>ROUND(SUM(U20:U40),2)</f>
        <v>2598.84</v>
      </c>
      <c r="V41" s="221"/>
    </row>
    <row r="42" spans="2:22" s="255" customFormat="1" ht="9.75" thickTop="1">
      <c r="B42" s="256"/>
      <c r="C42" s="253"/>
      <c r="D42" s="254" t="s">
        <v>91</v>
      </c>
      <c r="G42" s="272"/>
      <c r="H42" s="272"/>
      <c r="I42" s="272"/>
      <c r="J42" s="272"/>
      <c r="K42" s="272"/>
      <c r="L42" s="272"/>
      <c r="M42" s="272"/>
      <c r="N42" s="272"/>
      <c r="O42" s="272"/>
      <c r="P42" s="270"/>
      <c r="Q42" s="270"/>
      <c r="R42" s="270"/>
      <c r="S42" s="270"/>
      <c r="U42" s="273"/>
      <c r="V42" s="274"/>
    </row>
    <row r="43" spans="2:22" s="16" customFormat="1" ht="16.5" customHeight="1" thickBot="1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40"/>
    </row>
    <row r="44" spans="4:24" ht="16.5" customHeight="1" thickTop="1"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4:24" ht="16.5" customHeight="1"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4:24" ht="16.5" customHeight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W151" s="5"/>
      <c r="X151" s="5"/>
    </row>
    <row r="152" spans="4:6" ht="16.5" customHeight="1">
      <c r="D152" s="5"/>
      <c r="E152" s="5"/>
      <c r="F152" s="5"/>
    </row>
    <row r="153" spans="4:6" ht="16.5" customHeight="1">
      <c r="D153" s="5"/>
      <c r="E153" s="5"/>
      <c r="F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1"/>
  <sheetViews>
    <sheetView zoomScale="75" zoomScaleNormal="75" workbookViewId="0" topLeftCell="F1">
      <selection activeCell="J69" sqref="J69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4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25"/>
      <c r="AD1" s="573"/>
    </row>
    <row r="2" spans="1:23" ht="27" customHeight="1">
      <c r="A2" s="4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577" customFormat="1" ht="30.75">
      <c r="A3" s="574"/>
      <c r="B3" s="575" t="str">
        <f>+'tot-0501'!B2</f>
        <v>ANEXO I a la Resolución E.N.R.E. N°             586 /2007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AB3" s="576"/>
      <c r="AC3" s="576"/>
      <c r="AD3" s="576"/>
    </row>
    <row r="4" spans="1:2" s="84" customFormat="1" ht="11.25">
      <c r="A4" s="583" t="s">
        <v>46</v>
      </c>
      <c r="B4" s="595"/>
    </row>
    <row r="5" spans="1:2" s="84" customFormat="1" ht="12" thickBot="1">
      <c r="A5" s="583" t="s">
        <v>47</v>
      </c>
      <c r="B5" s="583"/>
    </row>
    <row r="6" spans="1:23" ht="16.5" customHeight="1" thickTop="1">
      <c r="A6" s="16"/>
      <c r="B6" s="128"/>
      <c r="C6" s="129"/>
      <c r="D6" s="129"/>
      <c r="E6" s="130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1"/>
    </row>
    <row r="7" spans="1:23" ht="20.25">
      <c r="A7" s="16"/>
      <c r="B7" s="109"/>
      <c r="C7" s="14"/>
      <c r="D7" s="7" t="s">
        <v>116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75"/>
      <c r="Q7" s="275"/>
      <c r="R7" s="14"/>
      <c r="S7" s="14"/>
      <c r="T7" s="14"/>
      <c r="U7" s="14"/>
      <c r="V7" s="14"/>
      <c r="W7" s="132"/>
    </row>
    <row r="8" spans="1:23" ht="16.5" customHeight="1">
      <c r="A8" s="16"/>
      <c r="B8" s="10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2"/>
    </row>
    <row r="9" spans="2:23" s="15" customFormat="1" ht="20.25">
      <c r="B9" s="104"/>
      <c r="C9" s="103"/>
      <c r="D9" s="7" t="s">
        <v>117</v>
      </c>
      <c r="E9" s="103"/>
      <c r="F9" s="103"/>
      <c r="G9" s="103"/>
      <c r="H9" s="103"/>
      <c r="N9" s="103"/>
      <c r="O9" s="103"/>
      <c r="P9" s="331"/>
      <c r="Q9" s="331"/>
      <c r="R9" s="103"/>
      <c r="S9" s="103"/>
      <c r="T9" s="103"/>
      <c r="U9" s="103"/>
      <c r="V9" s="103"/>
      <c r="W9" s="332"/>
    </row>
    <row r="10" spans="1:23" ht="16.5" customHeight="1">
      <c r="A10" s="16"/>
      <c r="B10" s="10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2"/>
    </row>
    <row r="11" spans="2:23" s="15" customFormat="1" ht="20.25">
      <c r="B11" s="104"/>
      <c r="C11" s="103"/>
      <c r="D11" s="7" t="s">
        <v>143</v>
      </c>
      <c r="E11" s="103"/>
      <c r="F11" s="103"/>
      <c r="G11" s="103"/>
      <c r="H11" s="103"/>
      <c r="N11" s="103"/>
      <c r="O11" s="103"/>
      <c r="P11" s="331"/>
      <c r="Q11" s="331"/>
      <c r="R11" s="103"/>
      <c r="S11" s="103"/>
      <c r="T11" s="103"/>
      <c r="U11" s="103"/>
      <c r="V11" s="103"/>
      <c r="W11" s="332"/>
    </row>
    <row r="12" spans="1:23" ht="16.5" customHeight="1">
      <c r="A12" s="16"/>
      <c r="B12" s="109"/>
      <c r="C12" s="14"/>
      <c r="D12" s="14"/>
      <c r="E12" s="16"/>
      <c r="F12" s="16"/>
      <c r="G12" s="16"/>
      <c r="H12" s="16"/>
      <c r="I12" s="133"/>
      <c r="J12" s="133"/>
      <c r="K12" s="133"/>
      <c r="L12" s="133"/>
      <c r="M12" s="133"/>
      <c r="N12" s="133"/>
      <c r="O12" s="133"/>
      <c r="P12" s="133"/>
      <c r="Q12" s="133"/>
      <c r="R12" s="14"/>
      <c r="S12" s="14"/>
      <c r="T12" s="14"/>
      <c r="U12" s="14"/>
      <c r="V12" s="14"/>
      <c r="W12" s="132"/>
    </row>
    <row r="13" spans="2:23" s="15" customFormat="1" ht="19.5">
      <c r="B13" s="97" t="str">
        <f>+'tot-0501'!B14</f>
        <v>Desde el 01 al 31 de enero de 2005</v>
      </c>
      <c r="C13" s="98"/>
      <c r="D13" s="100"/>
      <c r="E13" s="100"/>
      <c r="F13" s="100"/>
      <c r="G13" s="100"/>
      <c r="H13" s="100"/>
      <c r="I13" s="101"/>
      <c r="J13" s="4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333"/>
      <c r="V13" s="333"/>
      <c r="W13" s="102"/>
    </row>
    <row r="14" spans="1:23" ht="16.5" customHeight="1">
      <c r="A14" s="16"/>
      <c r="B14" s="109"/>
      <c r="C14" s="14"/>
      <c r="D14" s="14"/>
      <c r="E14" s="2"/>
      <c r="F14" s="2"/>
      <c r="G14" s="14"/>
      <c r="H14" s="14"/>
      <c r="I14" s="14"/>
      <c r="J14" s="276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32"/>
    </row>
    <row r="15" spans="1:23" ht="16.5" customHeight="1">
      <c r="A15" s="16"/>
      <c r="B15" s="109"/>
      <c r="C15" s="14"/>
      <c r="D15" s="14"/>
      <c r="E15" s="2"/>
      <c r="F15" s="2"/>
      <c r="G15" s="14"/>
      <c r="H15" s="14"/>
      <c r="I15" s="277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32"/>
    </row>
    <row r="16" spans="1:23" ht="16.5" customHeight="1">
      <c r="A16" s="16"/>
      <c r="B16" s="109"/>
      <c r="C16" s="14"/>
      <c r="D16" s="14"/>
      <c r="E16" s="2"/>
      <c r="F16" s="2"/>
      <c r="G16" s="14"/>
      <c r="H16" s="14"/>
      <c r="I16" s="277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32"/>
    </row>
    <row r="17" spans="1:23" ht="16.5" customHeight="1" thickBot="1">
      <c r="A17" s="16"/>
      <c r="B17" s="109"/>
      <c r="C17" s="544" t="s">
        <v>118</v>
      </c>
      <c r="D17" s="13" t="s">
        <v>119</v>
      </c>
      <c r="E17" s="2"/>
      <c r="F17" s="2"/>
      <c r="G17" s="14"/>
      <c r="H17" s="14"/>
      <c r="I17" s="14"/>
      <c r="J17" s="276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32"/>
    </row>
    <row r="18" spans="2:23" s="91" customFormat="1" ht="16.5" customHeight="1" thickBot="1">
      <c r="B18" s="286"/>
      <c r="C18" s="93"/>
      <c r="D18" s="518"/>
      <c r="E18" s="519"/>
      <c r="F18" s="281"/>
      <c r="G18" s="93"/>
      <c r="H18" s="93"/>
      <c r="I18" s="93"/>
      <c r="J18" s="537"/>
      <c r="K18" s="93"/>
      <c r="L18" s="93"/>
      <c r="M18" s="93"/>
      <c r="N18" s="596" t="s">
        <v>71</v>
      </c>
      <c r="P18" s="93"/>
      <c r="Q18" s="93"/>
      <c r="R18" s="93"/>
      <c r="S18" s="93"/>
      <c r="T18" s="93"/>
      <c r="U18" s="93"/>
      <c r="V18" s="93"/>
      <c r="W18" s="538"/>
    </row>
    <row r="19" spans="2:23" s="91" customFormat="1" ht="16.5" customHeight="1">
      <c r="B19" s="286"/>
      <c r="C19" s="93"/>
      <c r="E19" s="520" t="s">
        <v>120</v>
      </c>
      <c r="F19" s="521">
        <v>0.025</v>
      </c>
      <c r="G19" s="566"/>
      <c r="H19" s="93"/>
      <c r="I19" s="627"/>
      <c r="J19" s="628"/>
      <c r="K19" s="590" t="s">
        <v>157</v>
      </c>
      <c r="L19" s="591"/>
      <c r="M19" s="636">
        <v>30.733</v>
      </c>
      <c r="N19" s="637">
        <v>200</v>
      </c>
      <c r="R19" s="93"/>
      <c r="S19" s="93"/>
      <c r="T19" s="93"/>
      <c r="U19" s="93"/>
      <c r="V19" s="93"/>
      <c r="W19" s="538"/>
    </row>
    <row r="20" spans="2:23" s="91" customFormat="1" ht="16.5" customHeight="1">
      <c r="B20" s="286"/>
      <c r="C20" s="93"/>
      <c r="E20" s="518" t="s">
        <v>122</v>
      </c>
      <c r="F20" s="93">
        <f>MID(B13,16,2)*24</f>
        <v>744</v>
      </c>
      <c r="G20" s="93" t="s">
        <v>123</v>
      </c>
      <c r="H20" s="93"/>
      <c r="I20" s="93"/>
      <c r="J20" s="93"/>
      <c r="K20" s="585" t="s">
        <v>107</v>
      </c>
      <c r="L20" s="584"/>
      <c r="M20" s="586">
        <v>27.658</v>
      </c>
      <c r="N20" s="597">
        <v>100</v>
      </c>
      <c r="O20" s="93"/>
      <c r="P20" s="539"/>
      <c r="Q20" s="93"/>
      <c r="R20" s="93"/>
      <c r="S20" s="93"/>
      <c r="T20" s="93"/>
      <c r="U20" s="93"/>
      <c r="V20" s="93"/>
      <c r="W20" s="538"/>
    </row>
    <row r="21" spans="2:23" s="91" customFormat="1" ht="16.5" customHeight="1" thickBot="1">
      <c r="B21" s="286"/>
      <c r="C21" s="93"/>
      <c r="E21" s="518" t="s">
        <v>144</v>
      </c>
      <c r="F21" s="93">
        <v>0.154</v>
      </c>
      <c r="G21" s="91" t="s">
        <v>121</v>
      </c>
      <c r="H21" s="93"/>
      <c r="I21" s="93"/>
      <c r="J21" s="93"/>
      <c r="K21" s="587" t="s">
        <v>158</v>
      </c>
      <c r="L21" s="588"/>
      <c r="M21" s="589">
        <v>24.587</v>
      </c>
      <c r="N21" s="598">
        <v>40</v>
      </c>
      <c r="O21" s="93"/>
      <c r="P21" s="539"/>
      <c r="Q21" s="93"/>
      <c r="R21" s="93"/>
      <c r="S21" s="93"/>
      <c r="T21" s="93"/>
      <c r="U21" s="93"/>
      <c r="V21" s="93"/>
      <c r="W21" s="538"/>
    </row>
    <row r="22" spans="2:23" s="91" customFormat="1" ht="16.5" customHeight="1">
      <c r="B22" s="286"/>
      <c r="C22" s="93"/>
      <c r="D22" s="93"/>
      <c r="E22" s="28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538"/>
    </row>
    <row r="23" spans="1:23" ht="16.5" customHeight="1">
      <c r="A23" s="16"/>
      <c r="B23" s="109"/>
      <c r="C23" s="544" t="s">
        <v>124</v>
      </c>
      <c r="D23" s="92" t="s">
        <v>125</v>
      </c>
      <c r="I23" s="14"/>
      <c r="J23" s="91"/>
      <c r="O23" s="14"/>
      <c r="P23" s="14"/>
      <c r="Q23" s="14"/>
      <c r="R23" s="14"/>
      <c r="S23" s="14"/>
      <c r="T23" s="14"/>
      <c r="V23" s="14"/>
      <c r="W23" s="132"/>
    </row>
    <row r="24" spans="1:23" ht="10.5" customHeight="1" thickBot="1">
      <c r="A24" s="16"/>
      <c r="B24" s="109"/>
      <c r="C24" s="2"/>
      <c r="D24" s="92"/>
      <c r="I24" s="14"/>
      <c r="J24" s="91"/>
      <c r="O24" s="14"/>
      <c r="P24" s="14"/>
      <c r="Q24" s="14"/>
      <c r="R24" s="14"/>
      <c r="S24" s="14"/>
      <c r="T24" s="14"/>
      <c r="V24" s="14"/>
      <c r="W24" s="132"/>
    </row>
    <row r="25" spans="2:23" s="91" customFormat="1" ht="16.5" customHeight="1" thickBot="1" thickTop="1">
      <c r="B25" s="286"/>
      <c r="C25" s="281"/>
      <c r="D25"/>
      <c r="E25"/>
      <c r="F25"/>
      <c r="G25"/>
      <c r="H25"/>
      <c r="I25" s="578" t="s">
        <v>126</v>
      </c>
      <c r="J25" s="599">
        <f>+J62*F19</f>
        <v>18015.8112</v>
      </c>
      <c r="L25"/>
      <c r="S25"/>
      <c r="T25"/>
      <c r="U25"/>
      <c r="W25" s="538"/>
    </row>
    <row r="26" spans="2:23" s="91" customFormat="1" ht="11.25" customHeight="1" thickTop="1">
      <c r="B26" s="286"/>
      <c r="C26" s="281"/>
      <c r="D26" s="93"/>
      <c r="E26" s="28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/>
      <c r="W26" s="538"/>
    </row>
    <row r="27" spans="1:23" ht="16.5" customHeight="1">
      <c r="A27" s="16"/>
      <c r="B27" s="109"/>
      <c r="C27" s="544" t="s">
        <v>127</v>
      </c>
      <c r="D27" s="92" t="s">
        <v>128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32"/>
    </row>
    <row r="28" spans="1:23" ht="13.5" customHeight="1" thickBot="1">
      <c r="A28" s="91"/>
      <c r="B28" s="109"/>
      <c r="C28" s="281"/>
      <c r="D28" s="281"/>
      <c r="E28" s="282"/>
      <c r="F28" s="283"/>
      <c r="G28" s="279"/>
      <c r="H28" s="279"/>
      <c r="I28" s="284"/>
      <c r="J28" s="284"/>
      <c r="K28" s="284"/>
      <c r="L28" s="284"/>
      <c r="M28" s="284"/>
      <c r="N28" s="284"/>
      <c r="O28" s="285"/>
      <c r="P28" s="284"/>
      <c r="Q28" s="284"/>
      <c r="R28" s="600"/>
      <c r="S28" s="601"/>
      <c r="T28" s="602"/>
      <c r="U28" s="602"/>
      <c r="V28" s="602"/>
      <c r="W28" s="137"/>
    </row>
    <row r="29" spans="1:26" s="16" customFormat="1" ht="33.75" customHeight="1" thickBot="1" thickTop="1">
      <c r="A29" s="49"/>
      <c r="B29" s="162"/>
      <c r="C29" s="185" t="s">
        <v>67</v>
      </c>
      <c r="D29" s="188" t="s">
        <v>97</v>
      </c>
      <c r="E29" s="186" t="s">
        <v>41</v>
      </c>
      <c r="F29" s="189" t="s">
        <v>98</v>
      </c>
      <c r="G29" s="190" t="s">
        <v>68</v>
      </c>
      <c r="H29" s="317" t="s">
        <v>72</v>
      </c>
      <c r="I29" s="186" t="s">
        <v>73</v>
      </c>
      <c r="J29" s="186" t="s">
        <v>74</v>
      </c>
      <c r="K29" s="188" t="s">
        <v>99</v>
      </c>
      <c r="L29" s="188" t="s">
        <v>76</v>
      </c>
      <c r="M29" s="154" t="s">
        <v>115</v>
      </c>
      <c r="N29" s="186" t="s">
        <v>80</v>
      </c>
      <c r="O29" s="579" t="s">
        <v>100</v>
      </c>
      <c r="P29" s="317" t="s">
        <v>129</v>
      </c>
      <c r="Q29" s="530" t="s">
        <v>81</v>
      </c>
      <c r="R29" s="522" t="s">
        <v>130</v>
      </c>
      <c r="S29" s="523"/>
      <c r="T29" s="533" t="s">
        <v>85</v>
      </c>
      <c r="U29" s="156" t="s">
        <v>87</v>
      </c>
      <c r="V29" s="190" t="s">
        <v>88</v>
      </c>
      <c r="W29" s="132"/>
      <c r="Y29"/>
      <c r="Z29"/>
    </row>
    <row r="30" spans="1:23" ht="16.5" customHeight="1" thickTop="1">
      <c r="A30" s="16"/>
      <c r="B30" s="109"/>
      <c r="C30" s="39"/>
      <c r="D30" s="39"/>
      <c r="E30" s="39"/>
      <c r="F30" s="39"/>
      <c r="G30" s="334"/>
      <c r="H30" s="505"/>
      <c r="I30" s="39"/>
      <c r="J30" s="39"/>
      <c r="K30" s="39"/>
      <c r="L30" s="39"/>
      <c r="M30" s="39"/>
      <c r="N30" s="335"/>
      <c r="O30" s="603"/>
      <c r="P30" s="534"/>
      <c r="Q30" s="535"/>
      <c r="R30" s="524"/>
      <c r="S30" s="525"/>
      <c r="T30" s="536"/>
      <c r="U30" s="335"/>
      <c r="V30" s="336"/>
      <c r="W30" s="132"/>
    </row>
    <row r="31" spans="1:23" ht="16.5" customHeight="1">
      <c r="A31" s="16"/>
      <c r="B31" s="109"/>
      <c r="C31" s="640" t="s">
        <v>177</v>
      </c>
      <c r="D31" s="753" t="s">
        <v>29</v>
      </c>
      <c r="E31" s="753" t="s">
        <v>30</v>
      </c>
      <c r="F31" s="753">
        <v>300</v>
      </c>
      <c r="G31" s="753" t="s">
        <v>15</v>
      </c>
      <c r="H31" s="506">
        <f>F31*$F$21</f>
        <v>46.2</v>
      </c>
      <c r="I31" s="695">
        <v>38354.35486111111</v>
      </c>
      <c r="J31" s="695">
        <v>38354.791666666664</v>
      </c>
      <c r="K31" s="40">
        <f>IF(D31="","",(J31-I31)*24)</f>
        <v>10.483333333279006</v>
      </c>
      <c r="L31" s="41">
        <f>IF(D31="","",(J31-I31)*24*60)</f>
        <v>628.9999999967404</v>
      </c>
      <c r="M31" s="697" t="s">
        <v>175</v>
      </c>
      <c r="N31" s="42" t="str">
        <f>IF(D31="","",IF(OR(M31="P",M31="RP"),"--","NO"))</f>
        <v>--</v>
      </c>
      <c r="O31" s="604" t="str">
        <f>IF(D31="","","NO")</f>
        <v>NO</v>
      </c>
      <c r="P31" s="498">
        <f>200*IF(O31="SI",1,0.1)*IF(M31="P",0.1,1)</f>
        <v>2</v>
      </c>
      <c r="Q31" s="531">
        <f>IF(M31="P",H31*P31*ROUND(L31/60,2),"--")</f>
        <v>968.3520000000001</v>
      </c>
      <c r="R31" s="526" t="str">
        <f>IF(AND(M31="F",N31="NO"),H31*P31,"--")</f>
        <v>--</v>
      </c>
      <c r="S31" s="527" t="str">
        <f>IF(M31="F",H31*P31*ROUND(L31/60,2),"--")</f>
        <v>--</v>
      </c>
      <c r="T31" s="477" t="str">
        <f>IF(M31="RF",H31*P31*ROUND(L31/60,2),"--")</f>
        <v>--</v>
      </c>
      <c r="U31" s="43" t="str">
        <f>IF(D31="","","SI")</f>
        <v>SI</v>
      </c>
      <c r="V31" s="192">
        <f>IF(D31="","",SUM(Q31:T31)*IF(U31="SI",1,2))</f>
        <v>968.3520000000001</v>
      </c>
      <c r="W31" s="137"/>
    </row>
    <row r="32" spans="1:23" ht="16.5" customHeight="1">
      <c r="A32" s="16"/>
      <c r="B32" s="109"/>
      <c r="C32" s="640" t="s">
        <v>178</v>
      </c>
      <c r="D32" s="753" t="s">
        <v>29</v>
      </c>
      <c r="E32" s="753" t="s">
        <v>30</v>
      </c>
      <c r="F32" s="753">
        <v>300</v>
      </c>
      <c r="G32" s="753" t="s">
        <v>15</v>
      </c>
      <c r="H32" s="506">
        <f>F32*$F$21</f>
        <v>46.2</v>
      </c>
      <c r="I32" s="695">
        <v>38355.4625</v>
      </c>
      <c r="J32" s="695">
        <v>38355.64444444444</v>
      </c>
      <c r="K32" s="40">
        <f>IF(D32="","",(J32-I32)*24)</f>
        <v>4.366666666581295</v>
      </c>
      <c r="L32" s="41">
        <f>IF(D32="","",(J32-I32)*24*60)</f>
        <v>261.9999999948777</v>
      </c>
      <c r="M32" s="697" t="s">
        <v>175</v>
      </c>
      <c r="N32" s="42" t="str">
        <f>IF(D32="","",IF(OR(M32="P",M32="RP"),"--","NO"))</f>
        <v>--</v>
      </c>
      <c r="O32" s="604" t="str">
        <f>IF(D32="","","NO")</f>
        <v>NO</v>
      </c>
      <c r="P32" s="498">
        <f>200*IF(O32="SI",1,0.1)*IF(M32="P",0.1,1)</f>
        <v>2</v>
      </c>
      <c r="Q32" s="531">
        <f>IF(M32="P",H32*P32*ROUND(L32/60,2),"--")</f>
        <v>403.788</v>
      </c>
      <c r="R32" s="526" t="str">
        <f>IF(AND(M32="F",N32="NO"),H32*P32,"--")</f>
        <v>--</v>
      </c>
      <c r="S32" s="527" t="str">
        <f>IF(M32="F",H32*P32*ROUND(L32/60,2),"--")</f>
        <v>--</v>
      </c>
      <c r="T32" s="477" t="str">
        <f>IF(M32="RF",H32*P32*ROUND(L32/60,2),"--")</f>
        <v>--</v>
      </c>
      <c r="U32" s="43" t="str">
        <f>IF(D32="","","SI")</f>
        <v>SI</v>
      </c>
      <c r="V32" s="192">
        <f>IF(D32="","",SUM(Q32:T32)*IF(U32="SI",1,2))</f>
        <v>403.788</v>
      </c>
      <c r="W32" s="137"/>
    </row>
    <row r="33" spans="1:23" ht="16.5" customHeight="1">
      <c r="A33" s="16"/>
      <c r="B33" s="109"/>
      <c r="C33" s="640" t="s">
        <v>179</v>
      </c>
      <c r="D33" s="753" t="s">
        <v>29</v>
      </c>
      <c r="E33" s="753" t="s">
        <v>30</v>
      </c>
      <c r="F33" s="753">
        <v>300</v>
      </c>
      <c r="G33" s="753" t="s">
        <v>15</v>
      </c>
      <c r="H33" s="506">
        <f>F33*$F$21</f>
        <v>46.2</v>
      </c>
      <c r="I33" s="695">
        <v>38356.35833333333</v>
      </c>
      <c r="J33" s="695">
        <v>38356.688888888886</v>
      </c>
      <c r="K33" s="40">
        <f>IF(D33="","",(J33-I33)*24)</f>
        <v>7.933333333348855</v>
      </c>
      <c r="L33" s="41">
        <f>IF(D33="","",(J33-I33)*24*60)</f>
        <v>476.0000000009313</v>
      </c>
      <c r="M33" s="697" t="s">
        <v>175</v>
      </c>
      <c r="N33" s="42" t="str">
        <f>IF(D33="","",IF(OR(M33="P",M33="RP"),"--","NO"))</f>
        <v>--</v>
      </c>
      <c r="O33" s="604" t="str">
        <f>IF(D33="","","NO")</f>
        <v>NO</v>
      </c>
      <c r="P33" s="498">
        <f>200*IF(O33="SI",1,0.1)*IF(M33="P",0.1,1)</f>
        <v>2</v>
      </c>
      <c r="Q33" s="531">
        <f>IF(M33="P",H33*P33*ROUND(L33/60,2),"--")</f>
        <v>732.732</v>
      </c>
      <c r="R33" s="526" t="str">
        <f>IF(AND(M33="F",N33="NO"),H33*P33,"--")</f>
        <v>--</v>
      </c>
      <c r="S33" s="527" t="str">
        <f>IF(M33="F",H33*P33*ROUND(L33/60,2),"--")</f>
        <v>--</v>
      </c>
      <c r="T33" s="477" t="str">
        <f>IF(M33="RF",H33*P33*ROUND(L33/60,2),"--")</f>
        <v>--</v>
      </c>
      <c r="U33" s="43" t="str">
        <f>IF(D33="","","SI")</f>
        <v>SI</v>
      </c>
      <c r="V33" s="192">
        <f>IF(D33="","",SUM(Q33:T33)*IF(U33="SI",1,2))</f>
        <v>732.732</v>
      </c>
      <c r="W33" s="137"/>
    </row>
    <row r="34" spans="1:23" ht="16.5" customHeight="1" thickBot="1">
      <c r="A34" s="91"/>
      <c r="B34" s="109"/>
      <c r="C34" s="44"/>
      <c r="D34" s="337"/>
      <c r="E34" s="338"/>
      <c r="F34" s="339"/>
      <c r="G34" s="340"/>
      <c r="H34" s="507"/>
      <c r="I34" s="341"/>
      <c r="J34" s="342"/>
      <c r="K34" s="343"/>
      <c r="L34" s="344"/>
      <c r="M34" s="45"/>
      <c r="N34" s="27"/>
      <c r="O34" s="605"/>
      <c r="P34" s="499"/>
      <c r="Q34" s="532"/>
      <c r="R34" s="528"/>
      <c r="S34" s="529"/>
      <c r="T34" s="503"/>
      <c r="U34" s="345"/>
      <c r="V34" s="346"/>
      <c r="W34" s="137"/>
    </row>
    <row r="35" spans="1:23" ht="16.5" customHeight="1" thickBot="1" thickTop="1">
      <c r="A35" s="91"/>
      <c r="B35" s="109"/>
      <c r="C35" s="163"/>
      <c r="D35" s="1"/>
      <c r="E35" s="1"/>
      <c r="F35" s="225"/>
      <c r="G35" s="347"/>
      <c r="H35" s="348"/>
      <c r="I35" s="349"/>
      <c r="J35" s="350"/>
      <c r="K35" s="351"/>
      <c r="L35" s="352"/>
      <c r="M35" s="348"/>
      <c r="N35" s="353"/>
      <c r="O35" s="31"/>
      <c r="P35" s="354"/>
      <c r="Q35" s="355"/>
      <c r="R35" s="356"/>
      <c r="S35" s="356"/>
      <c r="T35" s="356"/>
      <c r="U35" s="312"/>
      <c r="V35" s="357">
        <f>SUM(V30:V34)</f>
        <v>2104.8720000000003</v>
      </c>
      <c r="W35" s="137"/>
    </row>
    <row r="36" spans="1:23" ht="16.5" customHeight="1" thickBot="1" thickTop="1">
      <c r="A36" s="91"/>
      <c r="B36" s="109"/>
      <c r="C36" s="163"/>
      <c r="D36" s="1"/>
      <c r="E36" s="1"/>
      <c r="F36" s="225"/>
      <c r="G36" s="347"/>
      <c r="H36" s="348"/>
      <c r="I36" s="349"/>
      <c r="L36" s="352"/>
      <c r="M36" s="348"/>
      <c r="N36" s="580"/>
      <c r="O36" s="581"/>
      <c r="P36" s="354"/>
      <c r="Q36" s="355"/>
      <c r="R36" s="356"/>
      <c r="S36" s="356"/>
      <c r="T36" s="356"/>
      <c r="U36" s="312"/>
      <c r="V36" s="312"/>
      <c r="W36" s="137"/>
    </row>
    <row r="37" spans="2:23" s="16" customFormat="1" ht="33.75" customHeight="1" thickBot="1" thickTop="1">
      <c r="B37" s="109"/>
      <c r="C37" s="149" t="s">
        <v>67</v>
      </c>
      <c r="D37" s="155" t="s">
        <v>97</v>
      </c>
      <c r="E37" s="820" t="s">
        <v>41</v>
      </c>
      <c r="F37" s="821"/>
      <c r="G37" s="156" t="s">
        <v>68</v>
      </c>
      <c r="H37" s="317" t="s">
        <v>72</v>
      </c>
      <c r="I37" s="151" t="s">
        <v>73</v>
      </c>
      <c r="J37" s="153" t="s">
        <v>74</v>
      </c>
      <c r="K37" s="217" t="s">
        <v>75</v>
      </c>
      <c r="L37" s="217" t="s">
        <v>76</v>
      </c>
      <c r="M37" s="154" t="s">
        <v>77</v>
      </c>
      <c r="N37" s="820" t="s">
        <v>80</v>
      </c>
      <c r="O37" s="826"/>
      <c r="P37" s="462" t="s">
        <v>71</v>
      </c>
      <c r="Q37" s="450" t="s">
        <v>92</v>
      </c>
      <c r="R37" s="469" t="s">
        <v>109</v>
      </c>
      <c r="S37" s="470"/>
      <c r="T37" s="479" t="s">
        <v>85</v>
      </c>
      <c r="U37" s="156" t="s">
        <v>87</v>
      </c>
      <c r="V37" s="190" t="s">
        <v>88</v>
      </c>
      <c r="W37" s="113"/>
    </row>
    <row r="38" spans="2:23" s="16" customFormat="1" ht="16.5" customHeight="1" thickTop="1">
      <c r="B38" s="109"/>
      <c r="C38" s="20"/>
      <c r="D38" s="55"/>
      <c r="E38" s="822"/>
      <c r="F38" s="823"/>
      <c r="G38" s="55"/>
      <c r="H38" s="327"/>
      <c r="I38" s="55"/>
      <c r="J38" s="55"/>
      <c r="K38" s="55"/>
      <c r="L38" s="55"/>
      <c r="M38" s="55"/>
      <c r="N38" s="55"/>
      <c r="O38" s="606"/>
      <c r="P38" s="461"/>
      <c r="Q38" s="465"/>
      <c r="R38" s="473"/>
      <c r="S38" s="474"/>
      <c r="T38" s="477"/>
      <c r="U38" s="55"/>
      <c r="V38" s="218"/>
      <c r="W38" s="113"/>
    </row>
    <row r="39" spans="2:23" s="16" customFormat="1" ht="16.5" customHeight="1">
      <c r="B39" s="109"/>
      <c r="C39" s="639" t="s">
        <v>180</v>
      </c>
      <c r="D39" s="753" t="s">
        <v>29</v>
      </c>
      <c r="E39" s="824" t="s">
        <v>39</v>
      </c>
      <c r="F39" s="825"/>
      <c r="G39" s="753">
        <v>132</v>
      </c>
      <c r="H39" s="318">
        <f>IF(G39=500,$M$19,IF(G39=220,$M$20,$M$21))</f>
        <v>24.587</v>
      </c>
      <c r="I39" s="724">
        <v>38355.35763888889</v>
      </c>
      <c r="J39" s="725">
        <v>38355.81597222222</v>
      </c>
      <c r="K39" s="56">
        <f>IF(D39="","",(J39-I39)*24)</f>
        <v>10.999999999883585</v>
      </c>
      <c r="L39" s="25">
        <f>IF(D39="","",ROUND((J39-I39)*24*60,0))</f>
        <v>660</v>
      </c>
      <c r="M39" s="659" t="s">
        <v>175</v>
      </c>
      <c r="N39" s="827" t="str">
        <f>IF(D39="","",IF(OR(M39="P",M39="RP"),"--","NO"))</f>
        <v>--</v>
      </c>
      <c r="O39" s="828"/>
      <c r="P39" s="463">
        <f>IF(G39=500,$N$19,IF(G39=220,$N$20,$N$21))</f>
        <v>40</v>
      </c>
      <c r="Q39" s="466">
        <f>IF(M39="P",H39*P39*ROUND(L39/60,2)*0.1,"--")</f>
        <v>1081.8280000000002</v>
      </c>
      <c r="R39" s="473" t="str">
        <f>IF(AND(M39="F",N39="NO"),H39*P39,"--")</f>
        <v>--</v>
      </c>
      <c r="S39" s="474" t="str">
        <f>IF(M39="F",H39*P39*ROUND(L39/60,2),"--")</f>
        <v>--</v>
      </c>
      <c r="T39" s="477" t="str">
        <f>IF(M39="RF",H39*P39*ROUND(L39/60,2),"--")</f>
        <v>--</v>
      </c>
      <c r="U39" s="58" t="str">
        <f>IF(D39="","","SI")</f>
        <v>SI</v>
      </c>
      <c r="V39" s="59">
        <f>IF(D39="","",SUM(Q39:T39)*IF(U39="SI",1,2))</f>
        <v>1081.8280000000002</v>
      </c>
      <c r="W39" s="113"/>
    </row>
    <row r="40" spans="2:23" s="16" customFormat="1" ht="16.5" customHeight="1">
      <c r="B40" s="109"/>
      <c r="C40" s="639" t="s">
        <v>181</v>
      </c>
      <c r="D40" s="753" t="s">
        <v>27</v>
      </c>
      <c r="E40" s="824" t="s">
        <v>37</v>
      </c>
      <c r="F40" s="825"/>
      <c r="G40" s="753">
        <v>132</v>
      </c>
      <c r="H40" s="318">
        <f aca="true" t="shared" si="0" ref="H40:H47">IF(G40=500,$M$19,IF(G40=220,$M$20,$M$21))</f>
        <v>24.587</v>
      </c>
      <c r="I40" s="724">
        <v>38355.40694444445</v>
      </c>
      <c r="J40" s="725">
        <v>38355.61944444444</v>
      </c>
      <c r="K40" s="56">
        <f>IF(D40="","",(J40-I40)*24)</f>
        <v>5.099999999860302</v>
      </c>
      <c r="L40" s="25">
        <f>IF(D40="","",ROUND((J40-I40)*24*60,0))</f>
        <v>306</v>
      </c>
      <c r="M40" s="659" t="s">
        <v>175</v>
      </c>
      <c r="N40" s="827" t="str">
        <f>IF(D40="","",IF(OR(M40="P",M40="RP"),"--","NO"))</f>
        <v>--</v>
      </c>
      <c r="O40" s="828"/>
      <c r="P40" s="463">
        <f>IF(G40=500,$N$19,IF(G40=220,$N$20,$N$21))</f>
        <v>40</v>
      </c>
      <c r="Q40" s="466">
        <f>IF(M40="P",H40*P40*ROUND(L40/60,2)*0.1,"--")</f>
        <v>501.5748</v>
      </c>
      <c r="R40" s="473" t="str">
        <f>IF(AND(M40="F",N40="NO"),H40*P40,"--")</f>
        <v>--</v>
      </c>
      <c r="S40" s="474" t="str">
        <f>IF(M40="F",H40*P40*ROUND(L40/60,2),"--")</f>
        <v>--</v>
      </c>
      <c r="T40" s="477" t="str">
        <f>IF(M40="RF",H40*P40*ROUND(L40/60,2),"--")</f>
        <v>--</v>
      </c>
      <c r="U40" s="58" t="str">
        <f>IF(D40="","","SI")</f>
        <v>SI</v>
      </c>
      <c r="V40" s="59">
        <f>IF(D40="","",SUM(Q40:T40)*IF(U40="SI",1,2))</f>
        <v>501.5748</v>
      </c>
      <c r="W40" s="113"/>
    </row>
    <row r="41" spans="2:23" s="16" customFormat="1" ht="16.5" customHeight="1">
      <c r="B41" s="109"/>
      <c r="C41" s="639" t="s">
        <v>182</v>
      </c>
      <c r="D41" s="753" t="s">
        <v>29</v>
      </c>
      <c r="E41" s="824" t="s">
        <v>39</v>
      </c>
      <c r="F41" s="825"/>
      <c r="G41" s="753">
        <v>132</v>
      </c>
      <c r="H41" s="318">
        <f t="shared" si="0"/>
        <v>24.587</v>
      </c>
      <c r="I41" s="724">
        <v>38356.24513888889</v>
      </c>
      <c r="J41" s="725">
        <v>38356.79236111111</v>
      </c>
      <c r="K41" s="56">
        <f aca="true" t="shared" si="1" ref="K41:K47">IF(D41="","",(J41-I41)*24)</f>
        <v>13.133333333360497</v>
      </c>
      <c r="L41" s="25">
        <f aca="true" t="shared" si="2" ref="L41:L47">IF(D41="","",ROUND((J41-I41)*24*60,0))</f>
        <v>788</v>
      </c>
      <c r="M41" s="659" t="s">
        <v>175</v>
      </c>
      <c r="N41" s="827" t="str">
        <f aca="true" t="shared" si="3" ref="N41:N46">IF(D41="","",IF(OR(M41="P",M41="RP"),"--","NO"))</f>
        <v>--</v>
      </c>
      <c r="O41" s="828"/>
      <c r="P41" s="463">
        <f aca="true" t="shared" si="4" ref="P41:P47">IF(G41=500,$N$19,IF(G41=220,$N$20,$N$21))</f>
        <v>40</v>
      </c>
      <c r="Q41" s="466">
        <f aca="true" t="shared" si="5" ref="Q41:Q47">IF(M41="P",H41*P41*ROUND(L41/60,2)*0.1,"--")</f>
        <v>1291.3092400000003</v>
      </c>
      <c r="R41" s="473" t="str">
        <f aca="true" t="shared" si="6" ref="R41:R47">IF(AND(M41="F",N41="NO"),H41*P41,"--")</f>
        <v>--</v>
      </c>
      <c r="S41" s="474" t="str">
        <f aca="true" t="shared" si="7" ref="S41:S47">IF(M41="F",H41*P41*ROUND(L41/60,2),"--")</f>
        <v>--</v>
      </c>
      <c r="T41" s="477" t="str">
        <f aca="true" t="shared" si="8" ref="T41:T47">IF(M41="RF",H41*P41*ROUND(L41/60,2),"--")</f>
        <v>--</v>
      </c>
      <c r="U41" s="58" t="str">
        <f aca="true" t="shared" si="9" ref="U41:U47">IF(D41="","","SI")</f>
        <v>SI</v>
      </c>
      <c r="V41" s="59">
        <f aca="true" t="shared" si="10" ref="V41:V47">IF(D41="","",SUM(Q41:T41)*IF(U41="SI",1,2))</f>
        <v>1291.3092400000003</v>
      </c>
      <c r="W41" s="113"/>
    </row>
    <row r="42" spans="2:23" s="16" customFormat="1" ht="16.5" customHeight="1">
      <c r="B42" s="109"/>
      <c r="C42" s="639" t="s">
        <v>183</v>
      </c>
      <c r="D42" s="753" t="s">
        <v>27</v>
      </c>
      <c r="E42" s="824" t="s">
        <v>37</v>
      </c>
      <c r="F42" s="825"/>
      <c r="G42" s="753">
        <v>132</v>
      </c>
      <c r="H42" s="318">
        <f t="shared" si="0"/>
        <v>24.587</v>
      </c>
      <c r="I42" s="724">
        <v>38356.43125</v>
      </c>
      <c r="J42" s="725">
        <v>38356.59375</v>
      </c>
      <c r="K42" s="56">
        <f t="shared" si="1"/>
        <v>3.8999999999650754</v>
      </c>
      <c r="L42" s="25">
        <f t="shared" si="2"/>
        <v>234</v>
      </c>
      <c r="M42" s="659" t="s">
        <v>175</v>
      </c>
      <c r="N42" s="827" t="str">
        <f t="shared" si="3"/>
        <v>--</v>
      </c>
      <c r="O42" s="828"/>
      <c r="P42" s="463">
        <f t="shared" si="4"/>
        <v>40</v>
      </c>
      <c r="Q42" s="466">
        <f t="shared" si="5"/>
        <v>383.5572</v>
      </c>
      <c r="R42" s="473" t="str">
        <f t="shared" si="6"/>
        <v>--</v>
      </c>
      <c r="S42" s="474" t="str">
        <f t="shared" si="7"/>
        <v>--</v>
      </c>
      <c r="T42" s="477" t="str">
        <f t="shared" si="8"/>
        <v>--</v>
      </c>
      <c r="U42" s="58" t="str">
        <f t="shared" si="9"/>
        <v>SI</v>
      </c>
      <c r="V42" s="59">
        <f t="shared" si="10"/>
        <v>383.5572</v>
      </c>
      <c r="W42" s="113"/>
    </row>
    <row r="43" spans="2:23" s="16" customFormat="1" ht="16.5" customHeight="1">
      <c r="B43" s="109"/>
      <c r="C43" s="639" t="s">
        <v>184</v>
      </c>
      <c r="D43" s="753" t="s">
        <v>27</v>
      </c>
      <c r="E43" s="824" t="s">
        <v>35</v>
      </c>
      <c r="F43" s="825"/>
      <c r="G43" s="753">
        <v>132</v>
      </c>
      <c r="H43" s="318">
        <f t="shared" si="0"/>
        <v>24.587</v>
      </c>
      <c r="I43" s="724">
        <v>38357.28611111111</v>
      </c>
      <c r="J43" s="725">
        <v>38357.76597222222</v>
      </c>
      <c r="K43" s="56">
        <f t="shared" si="1"/>
        <v>11.516666666662786</v>
      </c>
      <c r="L43" s="25">
        <f t="shared" si="2"/>
        <v>691</v>
      </c>
      <c r="M43" s="659" t="s">
        <v>175</v>
      </c>
      <c r="N43" s="827" t="str">
        <f t="shared" si="3"/>
        <v>--</v>
      </c>
      <c r="O43" s="828"/>
      <c r="P43" s="463">
        <f t="shared" si="4"/>
        <v>40</v>
      </c>
      <c r="Q43" s="466">
        <f t="shared" si="5"/>
        <v>1132.96896</v>
      </c>
      <c r="R43" s="473" t="str">
        <f t="shared" si="6"/>
        <v>--</v>
      </c>
      <c r="S43" s="474" t="str">
        <f t="shared" si="7"/>
        <v>--</v>
      </c>
      <c r="T43" s="477" t="str">
        <f t="shared" si="8"/>
        <v>--</v>
      </c>
      <c r="U43" s="58" t="str">
        <f t="shared" si="9"/>
        <v>SI</v>
      </c>
      <c r="V43" s="59">
        <f t="shared" si="10"/>
        <v>1132.96896</v>
      </c>
      <c r="W43" s="113"/>
    </row>
    <row r="44" spans="2:23" s="16" customFormat="1" ht="16.5" customHeight="1">
      <c r="B44" s="109"/>
      <c r="C44" s="639" t="s">
        <v>185</v>
      </c>
      <c r="D44" s="753" t="s">
        <v>29</v>
      </c>
      <c r="E44" s="824" t="s">
        <v>40</v>
      </c>
      <c r="F44" s="825"/>
      <c r="G44" s="753">
        <v>132</v>
      </c>
      <c r="H44" s="318">
        <f t="shared" si="0"/>
        <v>24.587</v>
      </c>
      <c r="I44" s="724">
        <v>38357.38611111111</v>
      </c>
      <c r="J44" s="725">
        <v>38357.62569444445</v>
      </c>
      <c r="K44" s="56">
        <f t="shared" si="1"/>
        <v>5.750000000058208</v>
      </c>
      <c r="L44" s="25">
        <f t="shared" si="2"/>
        <v>345</v>
      </c>
      <c r="M44" s="659" t="s">
        <v>175</v>
      </c>
      <c r="N44" s="827" t="str">
        <f t="shared" si="3"/>
        <v>--</v>
      </c>
      <c r="O44" s="828"/>
      <c r="P44" s="463">
        <f t="shared" si="4"/>
        <v>40</v>
      </c>
      <c r="Q44" s="466">
        <f t="shared" si="5"/>
        <v>565.5010000000001</v>
      </c>
      <c r="R44" s="473" t="str">
        <f t="shared" si="6"/>
        <v>--</v>
      </c>
      <c r="S44" s="474" t="str">
        <f t="shared" si="7"/>
        <v>--</v>
      </c>
      <c r="T44" s="477" t="str">
        <f t="shared" si="8"/>
        <v>--</v>
      </c>
      <c r="U44" s="58" t="str">
        <f t="shared" si="9"/>
        <v>SI</v>
      </c>
      <c r="V44" s="59">
        <f t="shared" si="10"/>
        <v>565.5010000000001</v>
      </c>
      <c r="W44" s="113"/>
    </row>
    <row r="45" spans="2:23" s="16" customFormat="1" ht="16.5" customHeight="1">
      <c r="B45" s="109"/>
      <c r="C45" s="639" t="s">
        <v>186</v>
      </c>
      <c r="D45" s="753" t="s">
        <v>27</v>
      </c>
      <c r="E45" s="824" t="s">
        <v>36</v>
      </c>
      <c r="F45" s="825"/>
      <c r="G45" s="753">
        <v>132</v>
      </c>
      <c r="H45" s="318">
        <f t="shared" si="0"/>
        <v>24.587</v>
      </c>
      <c r="I45" s="724">
        <v>38359.38611111111</v>
      </c>
      <c r="J45" s="725">
        <v>38359.57430555556</v>
      </c>
      <c r="K45" s="56">
        <f t="shared" si="1"/>
        <v>4.516666666720994</v>
      </c>
      <c r="L45" s="25">
        <f t="shared" si="2"/>
        <v>271</v>
      </c>
      <c r="M45" s="659" t="s">
        <v>175</v>
      </c>
      <c r="N45" s="827" t="str">
        <f t="shared" si="3"/>
        <v>--</v>
      </c>
      <c r="O45" s="828"/>
      <c r="P45" s="463">
        <f t="shared" si="4"/>
        <v>40</v>
      </c>
      <c r="Q45" s="466">
        <f t="shared" si="5"/>
        <v>444.53296</v>
      </c>
      <c r="R45" s="473" t="str">
        <f t="shared" si="6"/>
        <v>--</v>
      </c>
      <c r="S45" s="474" t="str">
        <f t="shared" si="7"/>
        <v>--</v>
      </c>
      <c r="T45" s="477" t="str">
        <f t="shared" si="8"/>
        <v>--</v>
      </c>
      <c r="U45" s="58" t="str">
        <f t="shared" si="9"/>
        <v>SI</v>
      </c>
      <c r="V45" s="59">
        <f t="shared" si="10"/>
        <v>444.53296</v>
      </c>
      <c r="W45" s="113"/>
    </row>
    <row r="46" spans="2:23" s="16" customFormat="1" ht="16.5" customHeight="1">
      <c r="B46" s="109"/>
      <c r="C46" s="639" t="s">
        <v>187</v>
      </c>
      <c r="D46" s="753" t="s">
        <v>28</v>
      </c>
      <c r="E46" s="824" t="s">
        <v>38</v>
      </c>
      <c r="F46" s="825"/>
      <c r="G46" s="753">
        <v>132</v>
      </c>
      <c r="H46" s="318">
        <f t="shared" si="0"/>
        <v>24.587</v>
      </c>
      <c r="I46" s="724">
        <v>38377.21805555555</v>
      </c>
      <c r="J46" s="725">
        <v>38377.36736111111</v>
      </c>
      <c r="K46" s="56">
        <f t="shared" si="1"/>
        <v>3.583333333313931</v>
      </c>
      <c r="L46" s="25">
        <f t="shared" si="2"/>
        <v>215</v>
      </c>
      <c r="M46" s="659" t="s">
        <v>175</v>
      </c>
      <c r="N46" s="827" t="str">
        <f t="shared" si="3"/>
        <v>--</v>
      </c>
      <c r="O46" s="828"/>
      <c r="P46" s="463">
        <f t="shared" si="4"/>
        <v>40</v>
      </c>
      <c r="Q46" s="466">
        <f t="shared" si="5"/>
        <v>352.08584</v>
      </c>
      <c r="R46" s="473" t="str">
        <f t="shared" si="6"/>
        <v>--</v>
      </c>
      <c r="S46" s="474" t="str">
        <f t="shared" si="7"/>
        <v>--</v>
      </c>
      <c r="T46" s="477" t="str">
        <f t="shared" si="8"/>
        <v>--</v>
      </c>
      <c r="U46" s="58" t="str">
        <f t="shared" si="9"/>
        <v>SI</v>
      </c>
      <c r="V46" s="59">
        <f t="shared" si="10"/>
        <v>352.08584</v>
      </c>
      <c r="W46" s="113"/>
    </row>
    <row r="47" spans="2:23" s="16" customFormat="1" ht="16.5" customHeight="1">
      <c r="B47" s="109"/>
      <c r="C47" s="639" t="s">
        <v>188</v>
      </c>
      <c r="D47" s="753" t="s">
        <v>27</v>
      </c>
      <c r="E47" s="824" t="s">
        <v>35</v>
      </c>
      <c r="F47" s="825"/>
      <c r="G47" s="753">
        <v>132</v>
      </c>
      <c r="H47" s="318">
        <f t="shared" si="0"/>
        <v>24.587</v>
      </c>
      <c r="I47" s="724">
        <v>38381.88055555556</v>
      </c>
      <c r="J47" s="725">
        <v>38381.95625</v>
      </c>
      <c r="K47" s="56">
        <f t="shared" si="1"/>
        <v>1.8166666666511446</v>
      </c>
      <c r="L47" s="25">
        <f t="shared" si="2"/>
        <v>109</v>
      </c>
      <c r="M47" s="659" t="s">
        <v>169</v>
      </c>
      <c r="N47" s="827" t="s">
        <v>176</v>
      </c>
      <c r="O47" s="828"/>
      <c r="P47" s="463">
        <f t="shared" si="4"/>
        <v>40</v>
      </c>
      <c r="Q47" s="466" t="str">
        <f t="shared" si="5"/>
        <v>--</v>
      </c>
      <c r="R47" s="473" t="str">
        <f t="shared" si="6"/>
        <v>--</v>
      </c>
      <c r="S47" s="474">
        <f t="shared" si="7"/>
        <v>1789.9336</v>
      </c>
      <c r="T47" s="477" t="str">
        <f t="shared" si="8"/>
        <v>--</v>
      </c>
      <c r="U47" s="58" t="str">
        <f t="shared" si="9"/>
        <v>SI</v>
      </c>
      <c r="V47" s="59">
        <f t="shared" si="10"/>
        <v>1789.9336</v>
      </c>
      <c r="W47" s="113"/>
    </row>
    <row r="48" spans="2:28" s="16" customFormat="1" ht="16.5" customHeight="1" thickBot="1">
      <c r="B48" s="109"/>
      <c r="C48" s="607"/>
      <c r="D48" s="608"/>
      <c r="E48" s="608"/>
      <c r="F48" s="609"/>
      <c r="G48" s="610"/>
      <c r="H48" s="611"/>
      <c r="I48" s="612"/>
      <c r="J48" s="613"/>
      <c r="K48" s="614"/>
      <c r="L48" s="615"/>
      <c r="M48" s="616"/>
      <c r="N48" s="617"/>
      <c r="O48" s="616"/>
      <c r="P48" s="618"/>
      <c r="Q48" s="619"/>
      <c r="R48" s="620"/>
      <c r="S48" s="621"/>
      <c r="T48" s="622"/>
      <c r="U48" s="623"/>
      <c r="V48" s="624"/>
      <c r="W48" s="113"/>
      <c r="X48"/>
      <c r="Y48"/>
      <c r="Z48"/>
      <c r="AA48"/>
      <c r="AB48"/>
    </row>
    <row r="49" spans="1:23" ht="17.25" thickBot="1" thickTop="1">
      <c r="A49" s="91"/>
      <c r="B49" s="286"/>
      <c r="C49" s="281"/>
      <c r="D49" s="287"/>
      <c r="E49" s="288"/>
      <c r="F49" s="289"/>
      <c r="G49" s="290"/>
      <c r="H49" s="290"/>
      <c r="I49" s="288"/>
      <c r="J49" s="278"/>
      <c r="K49" s="278"/>
      <c r="L49" s="288"/>
      <c r="M49" s="288"/>
      <c r="N49" s="288"/>
      <c r="O49" s="291"/>
      <c r="P49" s="288"/>
      <c r="Q49" s="288"/>
      <c r="R49" s="292"/>
      <c r="S49" s="293"/>
      <c r="T49" s="293"/>
      <c r="U49" s="294"/>
      <c r="V49" s="357">
        <f>SUM(V39:V48)</f>
        <v>7543.2916000000005</v>
      </c>
      <c r="W49" s="296"/>
    </row>
    <row r="50" spans="1:23" ht="17.25" thickBot="1" thickTop="1">
      <c r="A50" s="91"/>
      <c r="B50" s="286"/>
      <c r="C50" s="281"/>
      <c r="D50" s="287"/>
      <c r="E50" s="288"/>
      <c r="F50" s="289"/>
      <c r="G50" s="290"/>
      <c r="H50" s="290"/>
      <c r="I50" s="578" t="s">
        <v>131</v>
      </c>
      <c r="J50" s="599">
        <f>+V49+V35</f>
        <v>9648.1636</v>
      </c>
      <c r="L50" s="288"/>
      <c r="M50" s="288"/>
      <c r="N50" s="288"/>
      <c r="O50" s="291"/>
      <c r="P50" s="288"/>
      <c r="Q50" s="288"/>
      <c r="R50" s="292"/>
      <c r="S50" s="293"/>
      <c r="T50" s="293"/>
      <c r="U50" s="294"/>
      <c r="W50" s="296"/>
    </row>
    <row r="51" spans="1:23" ht="13.5" customHeight="1" thickTop="1">
      <c r="A51" s="91"/>
      <c r="B51" s="286"/>
      <c r="C51" s="281"/>
      <c r="D51" s="287"/>
      <c r="E51" s="288"/>
      <c r="F51" s="289"/>
      <c r="G51" s="290"/>
      <c r="H51" s="290"/>
      <c r="I51" s="288"/>
      <c r="J51" s="278"/>
      <c r="K51" s="278"/>
      <c r="L51" s="288"/>
      <c r="M51" s="288"/>
      <c r="N51" s="288"/>
      <c r="O51" s="291"/>
      <c r="P51" s="288"/>
      <c r="Q51" s="288"/>
      <c r="R51" s="292"/>
      <c r="S51" s="293"/>
      <c r="T51" s="293"/>
      <c r="U51" s="294"/>
      <c r="W51" s="296"/>
    </row>
    <row r="52" spans="1:23" ht="16.5" customHeight="1">
      <c r="A52" s="91"/>
      <c r="B52" s="286"/>
      <c r="C52" s="297" t="s">
        <v>132</v>
      </c>
      <c r="D52" s="298" t="s">
        <v>133</v>
      </c>
      <c r="E52" s="288"/>
      <c r="F52" s="289"/>
      <c r="G52" s="290"/>
      <c r="H52" s="290"/>
      <c r="I52" s="288"/>
      <c r="J52" s="278"/>
      <c r="K52" s="278"/>
      <c r="L52" s="288"/>
      <c r="M52" s="288"/>
      <c r="N52" s="288"/>
      <c r="O52" s="291"/>
      <c r="P52" s="288"/>
      <c r="Q52" s="288"/>
      <c r="R52" s="292"/>
      <c r="S52" s="293"/>
      <c r="T52" s="293"/>
      <c r="U52" s="294"/>
      <c r="W52" s="296"/>
    </row>
    <row r="53" spans="1:23" ht="16.5" customHeight="1">
      <c r="A53" s="91"/>
      <c r="B53" s="286"/>
      <c r="C53" s="297"/>
      <c r="D53" s="287"/>
      <c r="E53" s="288"/>
      <c r="F53" s="289"/>
      <c r="G53" s="290"/>
      <c r="H53" s="290"/>
      <c r="I53" s="288"/>
      <c r="J53" s="278"/>
      <c r="K53" s="278"/>
      <c r="L53" s="288"/>
      <c r="M53" s="288"/>
      <c r="N53" s="288"/>
      <c r="O53" s="291"/>
      <c r="P53" s="288"/>
      <c r="Q53" s="288"/>
      <c r="R53" s="288"/>
      <c r="S53" s="292"/>
      <c r="T53" s="293"/>
      <c r="W53" s="296"/>
    </row>
    <row r="54" spans="2:23" s="91" customFormat="1" ht="16.5" customHeight="1">
      <c r="B54" s="286"/>
      <c r="C54" s="281"/>
      <c r="D54" s="306" t="s">
        <v>135</v>
      </c>
      <c r="E54" s="284" t="s">
        <v>136</v>
      </c>
      <c r="F54" s="284" t="s">
        <v>134</v>
      </c>
      <c r="G54" s="547" t="s">
        <v>137</v>
      </c>
      <c r="H54"/>
      <c r="I54" s="569"/>
      <c r="J54" s="302" t="s">
        <v>138</v>
      </c>
      <c r="K54" s="302"/>
      <c r="L54" s="284" t="s">
        <v>134</v>
      </c>
      <c r="M54" t="s">
        <v>145</v>
      </c>
      <c r="O54" s="547" t="s">
        <v>146</v>
      </c>
      <c r="P54"/>
      <c r="Q54" s="301"/>
      <c r="R54" s="301"/>
      <c r="S54" s="93"/>
      <c r="T54"/>
      <c r="U54"/>
      <c r="V54"/>
      <c r="W54" s="296"/>
    </row>
    <row r="55" spans="2:23" s="91" customFormat="1" ht="16.5" customHeight="1">
      <c r="B55" s="286"/>
      <c r="C55" s="281"/>
      <c r="D55" s="570" t="s">
        <v>147</v>
      </c>
      <c r="E55" s="570">
        <v>300</v>
      </c>
      <c r="F55" s="592">
        <v>500</v>
      </c>
      <c r="G55" s="829">
        <f>+E55*$F$20*$F$21</f>
        <v>34372.8</v>
      </c>
      <c r="H55" s="829"/>
      <c r="I55" s="829"/>
      <c r="J55" s="593" t="s">
        <v>148</v>
      </c>
      <c r="K55" s="593"/>
      <c r="L55" s="570">
        <v>500</v>
      </c>
      <c r="M55" s="570">
        <v>2</v>
      </c>
      <c r="O55" s="829">
        <f>+M55*$F$20*$M$19</f>
        <v>45730.704</v>
      </c>
      <c r="P55" s="829"/>
      <c r="Q55" s="829"/>
      <c r="R55" s="829"/>
      <c r="S55" s="829"/>
      <c r="T55" s="829"/>
      <c r="U55" s="829"/>
      <c r="V55"/>
      <c r="W55" s="296"/>
    </row>
    <row r="56" spans="2:23" s="91" customFormat="1" ht="16.5" customHeight="1">
      <c r="B56" s="286"/>
      <c r="C56" s="281"/>
      <c r="D56" s="570" t="s">
        <v>149</v>
      </c>
      <c r="E56" s="572">
        <v>300</v>
      </c>
      <c r="F56" s="592">
        <v>500</v>
      </c>
      <c r="G56" s="829">
        <f>+E56*$F$20*$F$21</f>
        <v>34372.8</v>
      </c>
      <c r="H56" s="829"/>
      <c r="I56" s="829"/>
      <c r="J56" s="593" t="s">
        <v>148</v>
      </c>
      <c r="K56" s="593"/>
      <c r="L56" s="570">
        <v>132</v>
      </c>
      <c r="M56" s="570">
        <v>9</v>
      </c>
      <c r="O56" s="829">
        <f>+M56*$F$20*$M$19</f>
        <v>205788.168</v>
      </c>
      <c r="P56" s="829"/>
      <c r="Q56" s="829"/>
      <c r="R56" s="829"/>
      <c r="S56" s="829"/>
      <c r="T56" s="829"/>
      <c r="U56" s="829"/>
      <c r="V56"/>
      <c r="W56" s="296"/>
    </row>
    <row r="57" spans="2:23" s="91" customFormat="1" ht="16.5" customHeight="1">
      <c r="B57" s="286"/>
      <c r="C57" s="281"/>
      <c r="D57" s="571" t="s">
        <v>150</v>
      </c>
      <c r="E57" s="572">
        <v>300</v>
      </c>
      <c r="F57" s="592">
        <v>500</v>
      </c>
      <c r="G57" s="829">
        <f>+E57*$F$20*$F$21</f>
        <v>34372.8</v>
      </c>
      <c r="H57" s="829"/>
      <c r="I57" s="829"/>
      <c r="J57" s="593" t="s">
        <v>151</v>
      </c>
      <c r="K57" s="593"/>
      <c r="L57" s="570">
        <v>132</v>
      </c>
      <c r="M57" s="570">
        <v>8</v>
      </c>
      <c r="O57" s="829">
        <f>+M57*$F$20*$M$19</f>
        <v>182922.816</v>
      </c>
      <c r="P57" s="829"/>
      <c r="Q57" s="829"/>
      <c r="R57" s="829"/>
      <c r="S57" s="829"/>
      <c r="T57" s="829"/>
      <c r="U57" s="829"/>
      <c r="V57"/>
      <c r="W57" s="296"/>
    </row>
    <row r="58" spans="1:23" ht="16.5" customHeight="1">
      <c r="A58" s="91"/>
      <c r="B58" s="286"/>
      <c r="C58" s="281"/>
      <c r="D58" s="571" t="s">
        <v>152</v>
      </c>
      <c r="E58" s="572">
        <v>300</v>
      </c>
      <c r="F58" s="592">
        <v>500</v>
      </c>
      <c r="G58" s="829">
        <f>+E58*$F$20*$F$21</f>
        <v>34372.8</v>
      </c>
      <c r="H58" s="829"/>
      <c r="I58" s="829"/>
      <c r="J58" s="593" t="s">
        <v>153</v>
      </c>
      <c r="K58" s="593"/>
      <c r="L58" s="570">
        <v>132</v>
      </c>
      <c r="M58" s="570">
        <v>5</v>
      </c>
      <c r="O58" s="830">
        <f>+M58*$F$20*$M$19</f>
        <v>114326.76</v>
      </c>
      <c r="P58" s="830"/>
      <c r="Q58" s="830"/>
      <c r="R58" s="830"/>
      <c r="S58" s="830"/>
      <c r="T58" s="830"/>
      <c r="U58" s="830"/>
      <c r="W58" s="296"/>
    </row>
    <row r="59" spans="1:23" ht="16.5" customHeight="1">
      <c r="A59" s="91"/>
      <c r="B59" s="286"/>
      <c r="C59" s="281"/>
      <c r="D59" s="571" t="s">
        <v>154</v>
      </c>
      <c r="E59" s="572">
        <v>300</v>
      </c>
      <c r="F59" s="592">
        <v>500</v>
      </c>
      <c r="G59" s="830">
        <f>+E59*$F$20*$F$21</f>
        <v>34372.8</v>
      </c>
      <c r="H59" s="830"/>
      <c r="I59" s="830"/>
      <c r="M59" s="570"/>
      <c r="O59" s="829">
        <f>SUM(O55:P58)</f>
        <v>548768.448</v>
      </c>
      <c r="P59" s="829"/>
      <c r="Q59" s="829"/>
      <c r="R59" s="829"/>
      <c r="S59" s="829"/>
      <c r="T59" s="829"/>
      <c r="U59" s="829"/>
      <c r="W59" s="296"/>
    </row>
    <row r="60" spans="1:23" ht="16.5" customHeight="1">
      <c r="A60" s="91"/>
      <c r="B60" s="286"/>
      <c r="C60" s="281"/>
      <c r="D60" s="571"/>
      <c r="E60" s="572"/>
      <c r="F60" s="592"/>
      <c r="G60" s="829">
        <f>SUM(G55:G59)</f>
        <v>171864</v>
      </c>
      <c r="H60" s="829"/>
      <c r="I60" s="829"/>
      <c r="M60" s="570"/>
      <c r="N60" s="569"/>
      <c r="O60" s="569"/>
      <c r="P60" s="295"/>
      <c r="Q60" s="295"/>
      <c r="R60" s="295"/>
      <c r="S60" s="295"/>
      <c r="W60" s="296"/>
    </row>
    <row r="61" spans="1:23" ht="16.5" customHeight="1" thickBot="1">
      <c r="A61" s="91"/>
      <c r="B61" s="286"/>
      <c r="C61" s="281"/>
      <c r="D61" s="306"/>
      <c r="E61" s="504"/>
      <c r="F61" s="504"/>
      <c r="G61" s="284"/>
      <c r="I61" s="299"/>
      <c r="J61" s="547"/>
      <c r="L61" s="546"/>
      <c r="M61" s="299"/>
      <c r="N61" s="300"/>
      <c r="O61" s="301"/>
      <c r="P61" s="301"/>
      <c r="Q61" s="301"/>
      <c r="R61" s="301"/>
      <c r="S61" s="301"/>
      <c r="W61" s="296"/>
    </row>
    <row r="62" spans="1:23" ht="16.5" customHeight="1" thickBot="1" thickTop="1">
      <c r="A62" s="91"/>
      <c r="B62" s="286"/>
      <c r="C62" s="281"/>
      <c r="D62" s="284"/>
      <c r="E62" s="594"/>
      <c r="F62" s="594"/>
      <c r="G62" s="358"/>
      <c r="H62" s="4"/>
      <c r="I62" s="578" t="s">
        <v>155</v>
      </c>
      <c r="J62" s="599">
        <f>+G60+O59</f>
        <v>720632.448</v>
      </c>
      <c r="L62" s="543"/>
      <c r="M62" s="4"/>
      <c r="N62" s="545"/>
      <c r="O62" s="295"/>
      <c r="P62" s="295"/>
      <c r="Q62" s="295"/>
      <c r="R62" s="295"/>
      <c r="S62" s="295"/>
      <c r="W62" s="296"/>
    </row>
    <row r="63" spans="1:23" ht="16.5" customHeight="1" thickTop="1">
      <c r="A63" s="91"/>
      <c r="B63" s="286"/>
      <c r="C63" s="281"/>
      <c r="D63" s="278"/>
      <c r="E63" s="280"/>
      <c r="F63" s="284"/>
      <c r="G63" s="284"/>
      <c r="H63" s="285"/>
      <c r="J63" s="284"/>
      <c r="L63" s="303"/>
      <c r="M63" s="300"/>
      <c r="N63" s="300"/>
      <c r="O63" s="301"/>
      <c r="P63" s="301"/>
      <c r="Q63" s="301"/>
      <c r="R63" s="301"/>
      <c r="S63" s="301"/>
      <c r="W63" s="296"/>
    </row>
    <row r="64" spans="2:23" ht="16.5" customHeight="1">
      <c r="B64" s="286"/>
      <c r="C64" s="297" t="s">
        <v>139</v>
      </c>
      <c r="D64" s="304" t="s">
        <v>140</v>
      </c>
      <c r="E64" s="284"/>
      <c r="F64" s="305"/>
      <c r="G64" s="279"/>
      <c r="H64" s="278"/>
      <c r="I64" s="278"/>
      <c r="J64" s="278"/>
      <c r="K64" s="284"/>
      <c r="L64" s="284"/>
      <c r="M64" s="278"/>
      <c r="N64" s="284"/>
      <c r="O64" s="278"/>
      <c r="P64" s="278"/>
      <c r="Q64" s="278"/>
      <c r="R64" s="278"/>
      <c r="S64" s="278"/>
      <c r="T64" s="278"/>
      <c r="U64" s="278"/>
      <c r="W64" s="296"/>
    </row>
    <row r="65" spans="2:23" s="91" customFormat="1" ht="16.5" customHeight="1">
      <c r="B65" s="286"/>
      <c r="C65" s="281"/>
      <c r="D65" s="306" t="s">
        <v>141</v>
      </c>
      <c r="E65" s="307">
        <f>10*J50*J25/J62</f>
        <v>2412.0409</v>
      </c>
      <c r="G65" s="279"/>
      <c r="L65" s="284"/>
      <c r="N65" s="284"/>
      <c r="O65" s="285"/>
      <c r="V65"/>
      <c r="W65" s="296"/>
    </row>
    <row r="66" spans="2:23" s="91" customFormat="1" ht="12.75" customHeight="1">
      <c r="B66" s="286"/>
      <c r="C66" s="281"/>
      <c r="E66" s="542"/>
      <c r="F66" s="283"/>
      <c r="G66" s="279"/>
      <c r="J66" s="279"/>
      <c r="K66" s="309"/>
      <c r="L66" s="284"/>
      <c r="M66" s="284"/>
      <c r="N66" s="284"/>
      <c r="O66" s="285"/>
      <c r="P66" s="284"/>
      <c r="Q66" s="284"/>
      <c r="R66" s="540"/>
      <c r="S66" s="540"/>
      <c r="T66" s="540"/>
      <c r="U66" s="541"/>
      <c r="V66"/>
      <c r="W66" s="296"/>
    </row>
    <row r="67" spans="2:23" ht="16.5" customHeight="1">
      <c r="B67" s="286"/>
      <c r="C67" s="281"/>
      <c r="D67" s="310" t="s">
        <v>159</v>
      </c>
      <c r="E67" s="308"/>
      <c r="F67" s="283"/>
      <c r="G67" s="279"/>
      <c r="H67" s="278"/>
      <c r="I67" s="278"/>
      <c r="N67" s="284"/>
      <c r="O67" s="285"/>
      <c r="P67" s="284"/>
      <c r="Q67" s="284"/>
      <c r="R67" s="299"/>
      <c r="S67" s="299"/>
      <c r="T67" s="299"/>
      <c r="U67" s="300"/>
      <c r="W67" s="296"/>
    </row>
    <row r="68" spans="2:23" ht="13.5" customHeight="1" thickBot="1">
      <c r="B68" s="286"/>
      <c r="C68" s="281"/>
      <c r="D68" s="310"/>
      <c r="E68" s="308"/>
      <c r="F68" s="283"/>
      <c r="G68" s="279"/>
      <c r="H68" s="278"/>
      <c r="I68" s="278"/>
      <c r="N68" s="284"/>
      <c r="O68" s="285"/>
      <c r="P68" s="284"/>
      <c r="Q68" s="284"/>
      <c r="R68" s="299"/>
      <c r="S68" s="299"/>
      <c r="T68" s="299"/>
      <c r="U68" s="300"/>
      <c r="W68" s="296"/>
    </row>
    <row r="69" spans="2:23" s="554" customFormat="1" ht="21" thickBot="1" thickTop="1">
      <c r="B69" s="548"/>
      <c r="C69" s="549"/>
      <c r="D69" s="550"/>
      <c r="E69" s="551"/>
      <c r="F69" s="552"/>
      <c r="G69" s="553"/>
      <c r="I69" s="555" t="s">
        <v>142</v>
      </c>
      <c r="J69" s="556">
        <f>IF(E65&gt;3*J25,J25*3,E65)</f>
        <v>2412.0409</v>
      </c>
      <c r="M69" s="557"/>
      <c r="N69" s="557"/>
      <c r="O69" s="558"/>
      <c r="P69" s="557"/>
      <c r="Q69" s="557"/>
      <c r="R69" s="559"/>
      <c r="S69" s="559"/>
      <c r="T69" s="559"/>
      <c r="U69" s="560"/>
      <c r="V69"/>
      <c r="W69" s="561"/>
    </row>
    <row r="70" spans="2:23" ht="16.5" customHeight="1" thickBot="1" thickTop="1">
      <c r="B70" s="116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313"/>
      <c r="W70" s="311"/>
    </row>
    <row r="71" spans="2:23" ht="16.5" customHeight="1" thickTop="1">
      <c r="B71" s="12"/>
      <c r="C71" s="582"/>
      <c r="W71" s="12"/>
    </row>
  </sheetData>
  <sheetProtection password="CC12"/>
  <mergeCells count="32">
    <mergeCell ref="E41:F41"/>
    <mergeCell ref="E42:F42"/>
    <mergeCell ref="E43:F43"/>
    <mergeCell ref="E44:F44"/>
    <mergeCell ref="G59:I59"/>
    <mergeCell ref="G60:I60"/>
    <mergeCell ref="G55:I55"/>
    <mergeCell ref="G56:I56"/>
    <mergeCell ref="G57:I57"/>
    <mergeCell ref="G58:I58"/>
    <mergeCell ref="E45:F45"/>
    <mergeCell ref="E46:F46"/>
    <mergeCell ref="E47:F47"/>
    <mergeCell ref="O58:U58"/>
    <mergeCell ref="N46:O46"/>
    <mergeCell ref="N47:O47"/>
    <mergeCell ref="O59:U59"/>
    <mergeCell ref="O56:U56"/>
    <mergeCell ref="O57:U57"/>
    <mergeCell ref="O55:U55"/>
    <mergeCell ref="N37:O37"/>
    <mergeCell ref="N39:O39"/>
    <mergeCell ref="N40:O40"/>
    <mergeCell ref="N45:O45"/>
    <mergeCell ref="N41:O41"/>
    <mergeCell ref="N42:O42"/>
    <mergeCell ref="N43:O43"/>
    <mergeCell ref="N44:O44"/>
    <mergeCell ref="E37:F37"/>
    <mergeCell ref="E38:F38"/>
    <mergeCell ref="E39:F39"/>
    <mergeCell ref="E40:F4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emartilotta</cp:lastModifiedBy>
  <cp:lastPrinted>2007-09-11T15:05:59Z</cp:lastPrinted>
  <dcterms:created xsi:type="dcterms:W3CDTF">1998-04-21T14:28:46Z</dcterms:created>
  <dcterms:modified xsi:type="dcterms:W3CDTF">2007-09-18T19:47:24Z</dcterms:modified>
  <cp:category/>
  <cp:version/>
  <cp:contentType/>
  <cp:contentStatus/>
</cp:coreProperties>
</file>