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815" sheetId="1" r:id="rId1"/>
    <sheet name="LI-08 (1)" sheetId="2" r:id="rId2"/>
    <sheet name="LI-08 (2)" sheetId="3" r:id="rId3"/>
    <sheet name="LI-08 (3)" sheetId="4" r:id="rId4"/>
    <sheet name="LI-08 (4)" sheetId="5" r:id="rId5"/>
    <sheet name="T-08 (1)" sheetId="6" r:id="rId6"/>
    <sheet name="T-08 (2)" sheetId="7" r:id="rId7"/>
    <sheet name="T-08 (3)" sheetId="8" r:id="rId8"/>
    <sheet name="T-08 (4)" sheetId="9" r:id="rId9"/>
    <sheet name="SA-08 (1)" sheetId="10" r:id="rId10"/>
    <sheet name="SA-08 (2)" sheetId="11" r:id="rId11"/>
    <sheet name="SA-08 (3)" sheetId="12" r:id="rId12"/>
    <sheet name="Hoja1" sheetId="13" r:id="rId13"/>
    <sheet name="SA-08 (4)" sheetId="14" r:id="rId14"/>
    <sheet name="SA-08 (5)" sheetId="15" r:id="rId15"/>
    <sheet name="RE-08 (1)" sheetId="16" r:id="rId16"/>
    <sheet name="DATO" sheetId="17" r:id="rId17"/>
  </sheets>
  <definedNames/>
  <calcPr fullCalcOnLoad="1"/>
</workbook>
</file>

<file path=xl/sharedStrings.xml><?xml version="1.0" encoding="utf-8"?>
<sst xmlns="http://schemas.openxmlformats.org/spreadsheetml/2006/main" count="1680" uniqueCount="333">
  <si>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</si>
  <si>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</si>
  <si>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</si>
  <si>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</si>
  <si>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</si>
  <si>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</si>
  <si>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</si>
  <si>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</si>
  <si>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</si>
  <si>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</si>
  <si>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</si>
  <si>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</si>
  <si>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</si>
  <si>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</si>
  <si>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</si>
  <si>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</si>
  <si>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</si>
  <si>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</si>
  <si>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</si>
  <si>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</si>
  <si>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</si>
  <si>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</si>
  <si>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</si>
  <si>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</si>
  <si>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</si>
  <si>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</si>
  <si>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</si>
  <si>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</si>
  <si>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</si>
  <si>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</si>
  <si>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</si>
  <si>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</si>
  <si>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</si>
  <si>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</si>
  <si>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</si>
  <si>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</si>
  <si>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</si>
  <si>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</si>
  <si>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</si>
  <si>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</si>
  <si>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</si>
  <si>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</si>
  <si>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</si>
  <si>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</si>
  <si>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</si>
  <si>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</si>
  <si>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</si>
  <si>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</si>
  <si>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</si>
  <si>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</si>
  <si>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</si>
  <si>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</si>
  <si>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</si>
  <si>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</si>
  <si>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</si>
  <si>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</si>
  <si>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</si>
  <si>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</si>
  <si>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</si>
  <si>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</si>
  <si>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</si>
  <si>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</si>
  <si>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</si>
  <si>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</si>
  <si>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</si>
  <si>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</si>
  <si>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</si>
  <si>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</si>
  <si>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</si>
  <si>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</si>
  <si>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</si>
  <si>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</si>
  <si>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</si>
  <si>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</si>
  <si>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</si>
  <si>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</si>
  <si>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</si>
  <si>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</si>
  <si>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</si>
  <si>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</si>
  <si>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</si>
  <si>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</si>
  <si>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</si>
  <si>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</si>
  <si>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</si>
  <si>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</si>
  <si>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</si>
  <si>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</si>
  <si>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</si>
  <si>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</si>
  <si>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</si>
  <si>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</si>
  <si>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</si>
  <si>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</si>
  <si>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</si>
  <si>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</si>
  <si>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</si>
  <si>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</si>
  <si>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</si>
  <si>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</si>
  <si>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</si>
  <si>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</si>
  <si>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</si>
  <si>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</si>
  <si>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</si>
  <si>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</si>
  <si>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</si>
  <si>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</si>
  <si>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</si>
  <si>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</si>
  <si>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</si>
  <si>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</si>
  <si>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</si>
  <si>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</si>
  <si>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</si>
  <si>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</si>
  <si>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</si>
  <si>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</si>
  <si>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</si>
  <si>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</si>
  <si>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</si>
  <si>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</si>
  <si>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</si>
  <si>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</si>
  <si>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</si>
  <si>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</si>
  <si>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</si>
  <si>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</si>
  <si>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</si>
  <si>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</si>
  <si>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</si>
  <si>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</si>
  <si>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</si>
  <si>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</si>
  <si>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</si>
  <si>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TRANSBA_CAUSAS_VST.XLS</t>
  </si>
  <si>
    <t>MODELO R</t>
  </si>
  <si>
    <t>TRANSBA_INDISPONIBILIDADES_LINEAS_TRANSBA.XLS</t>
  </si>
  <si>
    <t>TRANSBA_INDISPONIBILIDADES_TRAFOS_TRANSBA.XLS</t>
  </si>
  <si>
    <t>TRANSBA_INDISPONIBILIDADES_SALIDAS_TRANSBA.XLS</t>
  </si>
  <si>
    <t>TRANSBA_INDISPONIBILIDADES_REACTIVOS_TRANSBA.XLS</t>
  </si>
  <si>
    <t>Desde el 01 al 31 de agosto de 2015</t>
  </si>
  <si>
    <t>LAS PALMAS - SAN PEDRO</t>
  </si>
  <si>
    <t>C</t>
  </si>
  <si>
    <t>P</t>
  </si>
  <si>
    <t>SI</t>
  </si>
  <si>
    <t>0,000</t>
  </si>
  <si>
    <t>LA PAMPITA - OLAVARRÍA</t>
  </si>
  <si>
    <t>CNEL. DORREGO - TRES ARROYOS</t>
  </si>
  <si>
    <t>F</t>
  </si>
  <si>
    <t>PERGAMINO - ARRECIFES</t>
  </si>
  <si>
    <t>B</t>
  </si>
  <si>
    <t>CARLOS CASARES - 9 DE JULIO</t>
  </si>
  <si>
    <t>TRENQUE LAUQUEN - HENDERSON</t>
  </si>
  <si>
    <t>A</t>
  </si>
  <si>
    <t>BRAGADO - CHIVILCOY</t>
  </si>
  <si>
    <t>MONTE - ROSAS</t>
  </si>
  <si>
    <t>LUJAN - MORÓN 2</t>
  </si>
  <si>
    <t>CACHARI - RAUCH</t>
  </si>
  <si>
    <t>LAPRIDA - PRINGLES</t>
  </si>
  <si>
    <t>BAHIA BLANCA - PETROQ. BAHIA BLANCA 1</t>
  </si>
  <si>
    <t>FICTICIO PICO - T. LAUQUEN</t>
  </si>
  <si>
    <t>LOMA NEGRA - C. AVELLANEDA</t>
  </si>
  <si>
    <t>PUNTA ALTA - BAHIA BLANCA</t>
  </si>
  <si>
    <t>OLAVARRIA - HENDERSON</t>
  </si>
  <si>
    <t>NUEVA CAMPANA - SIDERCA 1</t>
  </si>
  <si>
    <t>LAS ARMAS - DOLORES</t>
  </si>
  <si>
    <t>BRAGADO - SALADILLO</t>
  </si>
  <si>
    <t>LOMA NEGRA - OLAVARRIA</t>
  </si>
  <si>
    <t>P. LURO - C. PATAGONES</t>
  </si>
  <si>
    <t>OLAVARRIA - TANDIL</t>
  </si>
  <si>
    <t>GRAL. MADARIAGA - LAS ARMAS</t>
  </si>
  <si>
    <t>ZARATE - ATUCHA I</t>
  </si>
  <si>
    <t>CHACABUCO IND. - SALTO   1</t>
  </si>
  <si>
    <t>BARADERO - PAPEL PRENSA</t>
  </si>
  <si>
    <t>SAN PEDRO - PAPEL PRENSA</t>
  </si>
  <si>
    <t>OLAVARRIA - BARKER</t>
  </si>
  <si>
    <t>VILLA GESELL - GRAL. MADARIAGA</t>
  </si>
  <si>
    <t>CHIVILCOY - MERCEDES B.A.</t>
  </si>
  <si>
    <t>SIDERCA - CAMPANA</t>
  </si>
  <si>
    <t>0,38</t>
  </si>
  <si>
    <t>RAMALLO - SIDERAR  1</t>
  </si>
  <si>
    <t>NORTE 2</t>
  </si>
  <si>
    <t>Trafo 2</t>
  </si>
  <si>
    <t>132/33/13,2</t>
  </si>
  <si>
    <t>BRAGADO</t>
  </si>
  <si>
    <t>Trafo</t>
  </si>
  <si>
    <t>LAPRIDA</t>
  </si>
  <si>
    <t xml:space="preserve">Trafo 2 </t>
  </si>
  <si>
    <t>MAR DE AJO</t>
  </si>
  <si>
    <t>Trafo 1</t>
  </si>
  <si>
    <t>Trafo 3</t>
  </si>
  <si>
    <t>CAMPANA</t>
  </si>
  <si>
    <t>R</t>
  </si>
  <si>
    <t>JUNIN</t>
  </si>
  <si>
    <t>SALTO - BA</t>
  </si>
  <si>
    <t>PERGAMINO</t>
  </si>
  <si>
    <t>BARKER</t>
  </si>
  <si>
    <t>Trafo 6</t>
  </si>
  <si>
    <t>CARLOS CASARES</t>
  </si>
  <si>
    <t>CAMPANA III</t>
  </si>
  <si>
    <t>TRAFO 2</t>
  </si>
  <si>
    <t>ROJAS</t>
  </si>
  <si>
    <t>C. SARMIENTO</t>
  </si>
  <si>
    <t>66/33/13,2</t>
  </si>
  <si>
    <t>CHIVILCOY</t>
  </si>
  <si>
    <t>PUNTA ALTA</t>
  </si>
  <si>
    <t>URBANA BBCA</t>
  </si>
  <si>
    <t>OLAVARRIA VIEJA</t>
  </si>
  <si>
    <t>T1OA</t>
  </si>
  <si>
    <t>ZARATE</t>
  </si>
  <si>
    <t>AutoTrafo 1</t>
  </si>
  <si>
    <t>PETROQUIMICA</t>
  </si>
  <si>
    <t>PAPEL PRENSA</t>
  </si>
  <si>
    <t>LAS ARMAS</t>
  </si>
  <si>
    <t>T. LAUQUEN</t>
  </si>
  <si>
    <t>Trafo 4</t>
  </si>
  <si>
    <t>132/66/13,2</t>
  </si>
  <si>
    <t>SAN PEDRO</t>
  </si>
  <si>
    <t>Trafo 5</t>
  </si>
  <si>
    <t>MERCEDES BS.AS</t>
  </si>
  <si>
    <t>T2MD</t>
  </si>
  <si>
    <t>DORREGO</t>
  </si>
  <si>
    <t>Alimentador 1 a DORREGO</t>
  </si>
  <si>
    <t>Alimentador a MONTE HERMOSO</t>
  </si>
  <si>
    <t>Alimentador SUIPACHA</t>
  </si>
  <si>
    <t>Alimentador 2 a MAR DE AJO</t>
  </si>
  <si>
    <t>Alimentador 3 a MAR DE AJO</t>
  </si>
  <si>
    <t>LA PAMPITA</t>
  </si>
  <si>
    <t>SALIDA ALIM. 2 A LA AMALI</t>
  </si>
  <si>
    <t>Alimentador a TRES LOMAS</t>
  </si>
  <si>
    <t>Alimentador a RIVADAVIA</t>
  </si>
  <si>
    <t>Alimentador a ORIENTE</t>
  </si>
  <si>
    <t>Alimentador 4 a SAN BERNARDO</t>
  </si>
  <si>
    <t>TANDIL</t>
  </si>
  <si>
    <t>Alimentador 4  Coop. TANDIL</t>
  </si>
  <si>
    <t>PIGUE</t>
  </si>
  <si>
    <t>Alimentador 4 a Coop. GOYENA</t>
  </si>
  <si>
    <t>Alimentador 5  Coop. TANDIL</t>
  </si>
  <si>
    <t>SUAREZ</t>
  </si>
  <si>
    <t>Alimentador 1 a SUAREZ</t>
  </si>
  <si>
    <t>Alimentador 5 a SAN BERNARDO</t>
  </si>
  <si>
    <t>BALCARCE</t>
  </si>
  <si>
    <t>Alimentador 3 a ESTACION TERRENA</t>
  </si>
  <si>
    <t>Alimentador a EL DORADO y LAGUNA</t>
  </si>
  <si>
    <t>NECOCHEA</t>
  </si>
  <si>
    <t>Alimentador 1 a Coop. NECOCHEA</t>
  </si>
  <si>
    <t>Línea a E.T. "B" 1</t>
  </si>
  <si>
    <t>LINCOLN</t>
  </si>
  <si>
    <t>Alimentador a LAPLACETTE</t>
  </si>
  <si>
    <t>Alimentador 2 a Coop. NECOCHEA</t>
  </si>
  <si>
    <t>Línea a E.T. "B" 2</t>
  </si>
  <si>
    <t>Alimentador 6 a SAN BERNARDO</t>
  </si>
  <si>
    <t>Alimentador 8 a SAN BERNARDO</t>
  </si>
  <si>
    <t>CHILLAR</t>
  </si>
  <si>
    <t>Alimentador EB CHILLAR (REPSOL YPF)</t>
  </si>
  <si>
    <t>Banco de Capacitores de 6 MVAR 1</t>
  </si>
  <si>
    <t>Alimentador 1 a MAR DE AJO</t>
  </si>
  <si>
    <t>Alimentador a ARENALES</t>
  </si>
  <si>
    <t>OLAVARRIA</t>
  </si>
  <si>
    <t>Alimentador 7 a S. BAYAS</t>
  </si>
  <si>
    <t>HENDERSON</t>
  </si>
  <si>
    <t>Alimentador a BOLIVAR</t>
  </si>
  <si>
    <t>Banco de Capacitores de 6 MVAR 2</t>
  </si>
  <si>
    <t>Alimentador a URDAMPILLETA</t>
  </si>
  <si>
    <t>ET URBANA BBCA</t>
  </si>
  <si>
    <t>Alimentador a ET ING. WHITE 2</t>
  </si>
  <si>
    <t>Alimentador 4 a C. SARMIENTO</t>
  </si>
  <si>
    <t>Alimentador 6 a C. SARMIENTO</t>
  </si>
  <si>
    <t>Alimentador a C. DE ARECO</t>
  </si>
  <si>
    <t>Alimentador 3 a Coop. NECOCHEA</t>
  </si>
  <si>
    <t>SALADILLO</t>
  </si>
  <si>
    <t>Alimentador a 25 de MAYO</t>
  </si>
  <si>
    <t>Alimentador 8 a S. BAYAS</t>
  </si>
  <si>
    <t>Alimentador 1 P.I.TANDIL</t>
  </si>
  <si>
    <t>Alimentador a G. ALVEAR</t>
  </si>
  <si>
    <t>Alimentador 4 a Coop. NECOCHEA</t>
  </si>
  <si>
    <t>Alimentador 2 P.I.TANDIL</t>
  </si>
  <si>
    <t>Alimentador 5 a CHIVILCOY</t>
  </si>
  <si>
    <t>Alimentador 11 a CHIVILCOY</t>
  </si>
  <si>
    <t>Alimentador 5 a AZUL</t>
  </si>
  <si>
    <t>S. A. de ARECO</t>
  </si>
  <si>
    <t>Alimentador 6 a S.A. de ARECO</t>
  </si>
  <si>
    <t>Línea a P.PRENSA terna 1</t>
  </si>
  <si>
    <t>Línea a P.PRENSA terna 2</t>
  </si>
  <si>
    <t>Alimentador 6 a AZUL</t>
  </si>
  <si>
    <t>CHACABUCO</t>
  </si>
  <si>
    <t>Alimentador 1 a CHACABUCO</t>
  </si>
  <si>
    <t>Alimentador 3  Coop. TANDIL</t>
  </si>
  <si>
    <t>Alimentador 2 a Coop. ROJAS</t>
  </si>
  <si>
    <t>Alimentador 5 a S.A. de ARECO</t>
  </si>
  <si>
    <t>Alimentador 6 a CHACABUCO</t>
  </si>
  <si>
    <t>SALIDA MONSANTO</t>
  </si>
  <si>
    <t>Línea a INDUPA 2</t>
  </si>
  <si>
    <t>Alimentador a MONOMEROS VINILICOS 1</t>
  </si>
  <si>
    <t>Alimentador a INDUPA 1</t>
  </si>
  <si>
    <t>Alimentador a LA OXÍGENA</t>
  </si>
  <si>
    <t>Alimentador 9 a CHACABUCO</t>
  </si>
  <si>
    <t>SALTO BA</t>
  </si>
  <si>
    <t>ALIMENTADOR A C.T. SALTO</t>
  </si>
  <si>
    <t>K3CB</t>
  </si>
  <si>
    <t>C. CASARES</t>
  </si>
  <si>
    <t>K1CJ</t>
  </si>
  <si>
    <t>K2CJ</t>
  </si>
  <si>
    <t>K1JU</t>
  </si>
  <si>
    <t>IMSA - LINCOLN</t>
  </si>
  <si>
    <t>BARADERO</t>
  </si>
  <si>
    <t>66/33</t>
  </si>
  <si>
    <t xml:space="preserve">LUJAN </t>
  </si>
  <si>
    <t>AZUL</t>
  </si>
  <si>
    <t>TRAFO 1</t>
  </si>
  <si>
    <t>TRAFO 4</t>
  </si>
  <si>
    <t>220/132/13,2</t>
  </si>
  <si>
    <t>SALTO</t>
  </si>
  <si>
    <t>Alimentador 2 a DORREGO</t>
  </si>
  <si>
    <t>Alimentador 5</t>
  </si>
  <si>
    <t>SAN NICOLAS</t>
  </si>
  <si>
    <t>SALIDA TRAFO S. AUX. CENTR.</t>
  </si>
  <si>
    <t>LUJAN II - MALVINAS    1</t>
  </si>
  <si>
    <t>P - PROGRAMADA  ; F - FORZADA</t>
  </si>
  <si>
    <t xml:space="preserve">P - PROGRAMADA </t>
  </si>
  <si>
    <t>P - PROGRAMADA</t>
  </si>
  <si>
    <t>TOTAL DE PENALIZACIONES A APLICAR</t>
  </si>
  <si>
    <t>Valores remuneratorios según Convenio de Renovación - Nota ENRE Nº 118778</t>
  </si>
  <si>
    <t>79b</t>
  </si>
  <si>
    <t>RR</t>
  </si>
  <si>
    <t>108b</t>
  </si>
  <si>
    <t>RF</t>
  </si>
  <si>
    <t>NO</t>
  </si>
  <si>
    <t>P - PROGRAMADA  ; F - FORZADA  ; R - REDUCCIÓN FORZADA  ; RR - REDUCCIÓN RESTANTE</t>
  </si>
  <si>
    <t>P - PROGRAMADA  ; F - FORZADA  ; RF - RESTANTE FORZADA</t>
  </si>
  <si>
    <t>118b</t>
  </si>
  <si>
    <t>ANEXO III al Memorándum D.T.E.E. N°  316 / 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</si>
</sst>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</numFmts>
  <fonts count="98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color indexed="50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9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0" fontId="97" fillId="0" borderId="9" applyNumberFormat="0" applyFill="0" applyAlignment="0" applyProtection="0"/>
  </cellStyleXfs>
  <cellXfs count="472">
    <xf numFmtId="0" fontId="0" fillId="0" borderId="0" xfId="0" applyAlignment="1">
      <alignment/>
    </xf>
    <xf numFmtId="0" fontId="6" fillId="0" borderId="0" xfId="58" applyFont="1">
      <alignment/>
      <protection/>
    </xf>
    <xf numFmtId="0" fontId="6" fillId="0" borderId="0" xfId="58" applyFont="1" applyFill="1" applyBorder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Continuous"/>
      <protection/>
    </xf>
    <xf numFmtId="0" fontId="1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 applyBorder="1">
      <alignment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3" fillId="0" borderId="10" xfId="58" applyFont="1" applyBorder="1" applyAlignment="1">
      <alignment horizontal="centerContinuous"/>
      <protection/>
    </xf>
    <xf numFmtId="0" fontId="13" fillId="0" borderId="0" xfId="58" applyFont="1" applyBorder="1" applyAlignment="1">
      <alignment horizontal="centerContinuous"/>
      <protection/>
    </xf>
    <xf numFmtId="0" fontId="6" fillId="0" borderId="10" xfId="58" applyFont="1" applyBorder="1">
      <alignment/>
      <protection/>
    </xf>
    <xf numFmtId="0" fontId="6" fillId="0" borderId="11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9" fillId="0" borderId="0" xfId="58" applyFont="1" applyAlignment="1" applyProtection="1">
      <alignment horizontal="centerContinuous"/>
      <protection locked="0"/>
    </xf>
    <xf numFmtId="0" fontId="12" fillId="0" borderId="0" xfId="58" applyFont="1" applyAlignment="1" applyProtection="1">
      <alignment horizontal="centerContinuous"/>
      <protection locked="0"/>
    </xf>
    <xf numFmtId="0" fontId="4" fillId="0" borderId="0" xfId="58" applyFont="1" applyBorder="1" applyAlignment="1" applyProtection="1">
      <alignment horizontal="centerContinuous"/>
      <protection/>
    </xf>
    <xf numFmtId="0" fontId="6" fillId="0" borderId="12" xfId="58" applyFont="1" applyBorder="1">
      <alignment/>
      <protection/>
    </xf>
    <xf numFmtId="0" fontId="6" fillId="0" borderId="13" xfId="58" applyFont="1" applyBorder="1">
      <alignment/>
      <protection/>
    </xf>
    <xf numFmtId="0" fontId="6" fillId="0" borderId="14" xfId="58" applyFont="1" applyBorder="1">
      <alignment/>
      <protection/>
    </xf>
    <xf numFmtId="0" fontId="15" fillId="0" borderId="0" xfId="58" applyFont="1">
      <alignment/>
      <protection/>
    </xf>
    <xf numFmtId="0" fontId="15" fillId="0" borderId="10" xfId="58" applyFont="1" applyBorder="1">
      <alignment/>
      <protection/>
    </xf>
    <xf numFmtId="0" fontId="16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5" fillId="0" borderId="11" xfId="58" applyFont="1" applyBorder="1">
      <alignment/>
      <protection/>
    </xf>
    <xf numFmtId="0" fontId="3" fillId="0" borderId="0" xfId="58" applyFont="1" applyBorder="1">
      <alignment/>
      <protection/>
    </xf>
    <xf numFmtId="0" fontId="13" fillId="0" borderId="0" xfId="58" applyFont="1" applyFill="1" applyBorder="1" applyAlignment="1" applyProtection="1">
      <alignment horizontal="centerContinuous"/>
      <protection locked="0"/>
    </xf>
    <xf numFmtId="0" fontId="13" fillId="0" borderId="0" xfId="58" applyFont="1" applyAlignment="1">
      <alignment horizontal="centerContinuous"/>
      <protection/>
    </xf>
    <xf numFmtId="0" fontId="13" fillId="0" borderId="0" xfId="58" applyFont="1" applyBorder="1" applyAlignment="1" applyProtection="1">
      <alignment horizontal="centerContinuous"/>
      <protection/>
    </xf>
    <xf numFmtId="0" fontId="13" fillId="0" borderId="11" xfId="58" applyFont="1" applyBorder="1" applyAlignment="1">
      <alignment horizontal="centerContinuous"/>
      <protection/>
    </xf>
    <xf numFmtId="0" fontId="12" fillId="0" borderId="0" xfId="58" applyFont="1" applyBorder="1">
      <alignment/>
      <protection/>
    </xf>
    <xf numFmtId="0" fontId="3" fillId="0" borderId="0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1" fillId="0" borderId="15" xfId="58" applyFont="1" applyBorder="1" applyAlignment="1" applyProtection="1">
      <alignment horizontal="center"/>
      <protection/>
    </xf>
    <xf numFmtId="175" fontId="1" fillId="0" borderId="15" xfId="58" applyNumberFormat="1" applyFont="1" applyBorder="1" applyAlignment="1">
      <alignment horizontal="centerContinuous"/>
      <protection/>
    </xf>
    <xf numFmtId="0" fontId="3" fillId="0" borderId="16" xfId="58" applyFont="1" applyBorder="1" applyAlignment="1" applyProtection="1">
      <alignment horizontal="centerContinuous"/>
      <protection/>
    </xf>
    <xf numFmtId="0" fontId="3" fillId="0" borderId="0" xfId="58" applyFont="1" applyBorder="1" applyAlignment="1" applyProtection="1">
      <alignment/>
      <protection/>
    </xf>
    <xf numFmtId="0" fontId="1" fillId="0" borderId="0" xfId="58" applyFont="1" applyBorder="1" applyAlignment="1">
      <alignment horizontal="right"/>
      <protection/>
    </xf>
    <xf numFmtId="0" fontId="1" fillId="0" borderId="0" xfId="58" applyFont="1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/>
    </xf>
    <xf numFmtId="171" fontId="6" fillId="0" borderId="16" xfId="58" applyNumberFormat="1" applyFont="1" applyBorder="1" applyAlignment="1">
      <alignment horizontal="centerContinuous"/>
      <protection/>
    </xf>
    <xf numFmtId="171" fontId="6" fillId="0" borderId="0" xfId="58" applyNumberFormat="1" applyFont="1" applyBorder="1" applyAlignment="1">
      <alignment/>
      <protection/>
    </xf>
    <xf numFmtId="0" fontId="1" fillId="0" borderId="0" xfId="58" applyFont="1" applyAlignment="1">
      <alignment horizontal="right"/>
      <protection/>
    </xf>
    <xf numFmtId="0" fontId="6" fillId="0" borderId="0" xfId="58" applyFont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17" fillId="0" borderId="17" xfId="58" applyFont="1" applyBorder="1" applyAlignment="1" applyProtection="1">
      <alignment horizontal="center" vertical="center"/>
      <protection/>
    </xf>
    <xf numFmtId="0" fontId="17" fillId="0" borderId="17" xfId="58" applyFont="1" applyBorder="1" applyAlignment="1" applyProtection="1">
      <alignment horizontal="center" vertical="center" wrapText="1"/>
      <protection/>
    </xf>
    <xf numFmtId="0" fontId="18" fillId="33" borderId="17" xfId="58" applyFont="1" applyFill="1" applyBorder="1" applyAlignment="1" applyProtection="1">
      <alignment horizontal="center" vertical="center"/>
      <protection/>
    </xf>
    <xf numFmtId="0" fontId="20" fillId="34" borderId="17" xfId="58" applyFont="1" applyFill="1" applyBorder="1" applyAlignment="1" applyProtection="1">
      <alignment horizontal="center" vertical="center" wrapText="1"/>
      <protection/>
    </xf>
    <xf numFmtId="0" fontId="21" fillId="35" borderId="17" xfId="58" applyFont="1" applyFill="1" applyBorder="1" applyAlignment="1">
      <alignment horizontal="center" vertical="center" wrapText="1"/>
      <protection/>
    </xf>
    <xf numFmtId="0" fontId="22" fillId="36" borderId="17" xfId="58" applyFont="1" applyFill="1" applyBorder="1" applyAlignment="1">
      <alignment horizontal="center" vertical="center" wrapText="1"/>
      <protection/>
    </xf>
    <xf numFmtId="0" fontId="23" fillId="33" borderId="15" xfId="58" applyFont="1" applyFill="1" applyBorder="1" applyAlignment="1" applyProtection="1">
      <alignment horizontal="centerContinuous" vertical="center" wrapText="1"/>
      <protection/>
    </xf>
    <xf numFmtId="0" fontId="24" fillId="33" borderId="18" xfId="58" applyFont="1" applyFill="1" applyBorder="1" applyAlignment="1">
      <alignment horizontal="centerContinuous"/>
      <protection/>
    </xf>
    <xf numFmtId="0" fontId="23" fillId="33" borderId="16" xfId="58" applyFont="1" applyFill="1" applyBorder="1" applyAlignment="1">
      <alignment horizontal="centerContinuous" vertical="center"/>
      <protection/>
    </xf>
    <xf numFmtId="0" fontId="21" fillId="37" borderId="15" xfId="58" applyFont="1" applyFill="1" applyBorder="1" applyAlignment="1" applyProtection="1">
      <alignment horizontal="centerContinuous" vertical="center" wrapText="1"/>
      <protection/>
    </xf>
    <xf numFmtId="0" fontId="21" fillId="37" borderId="18" xfId="58" applyFont="1" applyFill="1" applyBorder="1" applyAlignment="1">
      <alignment horizontal="centerContinuous" vertical="center"/>
      <protection/>
    </xf>
    <xf numFmtId="0" fontId="21" fillId="37" borderId="16" xfId="58" applyFont="1" applyFill="1" applyBorder="1" applyAlignment="1">
      <alignment horizontal="centerContinuous" vertical="center"/>
      <protection/>
    </xf>
    <xf numFmtId="0" fontId="25" fillId="38" borderId="17" xfId="58" applyFont="1" applyFill="1" applyBorder="1" applyAlignment="1">
      <alignment horizontal="center" vertical="center" wrapText="1"/>
      <protection/>
    </xf>
    <xf numFmtId="0" fontId="26" fillId="39" borderId="17" xfId="58" applyFont="1" applyFill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9" xfId="58" applyFont="1" applyBorder="1" applyProtection="1">
      <alignment/>
      <protection locked="0"/>
    </xf>
    <xf numFmtId="0" fontId="6" fillId="0" borderId="19" xfId="58" applyFont="1" applyBorder="1" applyAlignment="1" applyProtection="1">
      <alignment horizontal="center"/>
      <protection locked="0"/>
    </xf>
    <xf numFmtId="0" fontId="27" fillId="33" borderId="19" xfId="58" applyFont="1" applyFill="1" applyBorder="1" applyProtection="1">
      <alignment/>
      <protection locked="0"/>
    </xf>
    <xf numFmtId="0" fontId="6" fillId="0" borderId="19" xfId="58" applyFont="1" applyBorder="1" applyAlignment="1">
      <alignment horizontal="center"/>
      <protection/>
    </xf>
    <xf numFmtId="0" fontId="28" fillId="34" borderId="19" xfId="58" applyFont="1" applyFill="1" applyBorder="1" applyProtection="1">
      <alignment/>
      <protection locked="0"/>
    </xf>
    <xf numFmtId="0" fontId="29" fillId="35" borderId="19" xfId="58" applyFont="1" applyFill="1" applyBorder="1" applyProtection="1">
      <alignment/>
      <protection locked="0"/>
    </xf>
    <xf numFmtId="0" fontId="30" fillId="36" borderId="19" xfId="58" applyFont="1" applyFill="1" applyBorder="1" applyProtection="1">
      <alignment/>
      <protection locked="0"/>
    </xf>
    <xf numFmtId="0" fontId="31" fillId="33" borderId="19" xfId="58" applyFont="1" applyFill="1" applyBorder="1" applyAlignment="1" applyProtection="1">
      <alignment horizontal="center"/>
      <protection locked="0"/>
    </xf>
    <xf numFmtId="0" fontId="31" fillId="33" borderId="19" xfId="58" applyFont="1" applyFill="1" applyBorder="1" applyProtection="1">
      <alignment/>
      <protection locked="0"/>
    </xf>
    <xf numFmtId="0" fontId="29" fillId="37" borderId="19" xfId="58" applyFont="1" applyFill="1" applyBorder="1" applyProtection="1">
      <alignment/>
      <protection locked="0"/>
    </xf>
    <xf numFmtId="0" fontId="32" fillId="38" borderId="19" xfId="58" applyFont="1" applyFill="1" applyBorder="1" applyProtection="1">
      <alignment/>
      <protection locked="0"/>
    </xf>
    <xf numFmtId="0" fontId="33" fillId="39" borderId="19" xfId="58" applyFont="1" applyFill="1" applyBorder="1" applyProtection="1">
      <alignment/>
      <protection locked="0"/>
    </xf>
    <xf numFmtId="176" fontId="34" fillId="0" borderId="19" xfId="58" applyNumberFormat="1" applyFont="1" applyBorder="1" applyAlignment="1">
      <alignment horizontal="right"/>
      <protection/>
    </xf>
    <xf numFmtId="0" fontId="6" fillId="0" borderId="20" xfId="58" applyFont="1" applyBorder="1" applyProtection="1">
      <alignment/>
      <protection locked="0"/>
    </xf>
    <xf numFmtId="0" fontId="6" fillId="0" borderId="21" xfId="58" applyFont="1" applyBorder="1" applyAlignment="1" applyProtection="1">
      <alignment horizontal="center"/>
      <protection locked="0"/>
    </xf>
    <xf numFmtId="0" fontId="27" fillId="33" borderId="20" xfId="58" applyFont="1" applyFill="1" applyBorder="1" applyProtection="1">
      <alignment/>
      <protection locked="0"/>
    </xf>
    <xf numFmtId="0" fontId="6" fillId="0" borderId="20" xfId="58" applyFont="1" applyBorder="1" applyAlignment="1" applyProtection="1">
      <alignment horizontal="center"/>
      <protection locked="0"/>
    </xf>
    <xf numFmtId="0" fontId="6" fillId="0" borderId="20" xfId="58" applyFont="1" applyBorder="1" applyAlignment="1">
      <alignment horizontal="center"/>
      <protection/>
    </xf>
    <xf numFmtId="0" fontId="28" fillId="34" borderId="20" xfId="58" applyFont="1" applyFill="1" applyBorder="1" applyProtection="1">
      <alignment/>
      <protection locked="0"/>
    </xf>
    <xf numFmtId="0" fontId="29" fillId="35" borderId="20" xfId="58" applyFont="1" applyFill="1" applyBorder="1" applyProtection="1">
      <alignment/>
      <protection locked="0"/>
    </xf>
    <xf numFmtId="0" fontId="30" fillId="36" borderId="20" xfId="58" applyFont="1" applyFill="1" applyBorder="1" applyProtection="1">
      <alignment/>
      <protection locked="0"/>
    </xf>
    <xf numFmtId="0" fontId="31" fillId="33" borderId="20" xfId="58" applyFont="1" applyFill="1" applyBorder="1" applyAlignment="1" applyProtection="1">
      <alignment horizontal="center"/>
      <protection locked="0"/>
    </xf>
    <xf numFmtId="0" fontId="31" fillId="33" borderId="20" xfId="58" applyFont="1" applyFill="1" applyBorder="1" applyProtection="1">
      <alignment/>
      <protection locked="0"/>
    </xf>
    <xf numFmtId="0" fontId="29" fillId="37" borderId="20" xfId="58" applyFont="1" applyFill="1" applyBorder="1" applyProtection="1">
      <alignment/>
      <protection locked="0"/>
    </xf>
    <xf numFmtId="0" fontId="32" fillId="38" borderId="20" xfId="58" applyFont="1" applyFill="1" applyBorder="1" applyProtection="1">
      <alignment/>
      <protection locked="0"/>
    </xf>
    <xf numFmtId="0" fontId="33" fillId="39" borderId="20" xfId="58" applyFont="1" applyFill="1" applyBorder="1" applyProtection="1">
      <alignment/>
      <protection locked="0"/>
    </xf>
    <xf numFmtId="0" fontId="34" fillId="0" borderId="20" xfId="58" applyFont="1" applyBorder="1" applyAlignment="1">
      <alignment horizontal="center"/>
      <protection/>
    </xf>
    <xf numFmtId="2" fontId="6" fillId="0" borderId="21" xfId="58" applyNumberFormat="1" applyFont="1" applyBorder="1" applyAlignment="1" applyProtection="1">
      <alignment horizontal="center"/>
      <protection locked="0"/>
    </xf>
    <xf numFmtId="2" fontId="6" fillId="0" borderId="20" xfId="58" applyNumberFormat="1" applyFont="1" applyBorder="1" applyAlignment="1" applyProtection="1">
      <alignment horizontal="center"/>
      <protection locked="0"/>
    </xf>
    <xf numFmtId="172" fontId="27" fillId="33" borderId="20" xfId="58" applyNumberFormat="1" applyFont="1" applyFill="1" applyBorder="1" applyAlignment="1" applyProtection="1">
      <alignment horizontal="center"/>
      <protection locked="0"/>
    </xf>
    <xf numFmtId="22" fontId="6" fillId="0" borderId="20" xfId="58" applyNumberFormat="1" applyFont="1" applyBorder="1" applyAlignment="1" applyProtection="1">
      <alignment horizontal="center"/>
      <protection locked="0"/>
    </xf>
    <xf numFmtId="2" fontId="6" fillId="0" borderId="20" xfId="58" applyNumberFormat="1" applyFont="1" applyBorder="1" applyAlignment="1" applyProtection="1">
      <alignment horizontal="center"/>
      <protection/>
    </xf>
    <xf numFmtId="1" fontId="6" fillId="0" borderId="20" xfId="58" applyNumberFormat="1" applyFont="1" applyBorder="1" applyAlignment="1" applyProtection="1">
      <alignment horizontal="center"/>
      <protection/>
    </xf>
    <xf numFmtId="172" fontId="6" fillId="0" borderId="20" xfId="58" applyNumberFormat="1" applyFont="1" applyBorder="1" applyAlignment="1" applyProtection="1">
      <alignment horizontal="center"/>
      <protection locked="0"/>
    </xf>
    <xf numFmtId="172" fontId="28" fillId="34" borderId="20" xfId="58" applyNumberFormat="1" applyFont="1" applyFill="1" applyBorder="1" applyAlignment="1" applyProtection="1" quotePrefix="1">
      <alignment horizontal="center"/>
      <protection locked="0"/>
    </xf>
    <xf numFmtId="2" fontId="29" fillId="35" borderId="20" xfId="58" applyNumberFormat="1" applyFont="1" applyFill="1" applyBorder="1" applyAlignment="1" applyProtection="1">
      <alignment horizontal="center"/>
      <protection locked="0"/>
    </xf>
    <xf numFmtId="2" fontId="30" fillId="36" borderId="20" xfId="58" applyNumberFormat="1" applyFont="1" applyFill="1" applyBorder="1" applyAlignment="1" applyProtection="1">
      <alignment horizontal="center"/>
      <protection locked="0"/>
    </xf>
    <xf numFmtId="172" fontId="31" fillId="33" borderId="20" xfId="58" applyNumberFormat="1" applyFont="1" applyFill="1" applyBorder="1" applyAlignment="1" applyProtection="1" quotePrefix="1">
      <alignment horizontal="center"/>
      <protection locked="0"/>
    </xf>
    <xf numFmtId="4" fontId="31" fillId="33" borderId="20" xfId="58" applyNumberFormat="1" applyFont="1" applyFill="1" applyBorder="1" applyAlignment="1" applyProtection="1">
      <alignment horizontal="center"/>
      <protection locked="0"/>
    </xf>
    <xf numFmtId="172" fontId="29" fillId="37" borderId="20" xfId="58" applyNumberFormat="1" applyFont="1" applyFill="1" applyBorder="1" applyAlignment="1" applyProtection="1" quotePrefix="1">
      <alignment horizontal="center"/>
      <protection locked="0"/>
    </xf>
    <xf numFmtId="4" fontId="29" fillId="37" borderId="20" xfId="58" applyNumberFormat="1" applyFont="1" applyFill="1" applyBorder="1" applyAlignment="1" applyProtection="1">
      <alignment horizontal="center"/>
      <protection locked="0"/>
    </xf>
    <xf numFmtId="4" fontId="32" fillId="38" borderId="20" xfId="58" applyNumberFormat="1" applyFont="1" applyFill="1" applyBorder="1" applyAlignment="1" applyProtection="1">
      <alignment horizontal="center"/>
      <protection locked="0"/>
    </xf>
    <xf numFmtId="4" fontId="33" fillId="39" borderId="20" xfId="58" applyNumberFormat="1" applyFont="1" applyFill="1" applyBorder="1" applyAlignment="1" applyProtection="1">
      <alignment horizontal="center"/>
      <protection locked="0"/>
    </xf>
    <xf numFmtId="4" fontId="34" fillId="0" borderId="20" xfId="58" applyNumberFormat="1" applyFont="1" applyBorder="1" applyAlignment="1">
      <alignment horizontal="right"/>
      <protection/>
    </xf>
    <xf numFmtId="2" fontId="6" fillId="0" borderId="11" xfId="58" applyNumberFormat="1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22" xfId="58" applyFont="1" applyBorder="1" applyAlignment="1" applyProtection="1">
      <alignment horizontal="center"/>
      <protection locked="0"/>
    </xf>
    <xf numFmtId="172" fontId="6" fillId="0" borderId="22" xfId="58" applyNumberFormat="1" applyFont="1" applyBorder="1" applyAlignment="1" applyProtection="1">
      <alignment horizontal="center"/>
      <protection/>
    </xf>
    <xf numFmtId="172" fontId="27" fillId="33" borderId="22" xfId="58" applyNumberFormat="1" applyFont="1" applyFill="1" applyBorder="1" applyAlignment="1" applyProtection="1">
      <alignment horizontal="center"/>
      <protection/>
    </xf>
    <xf numFmtId="7" fontId="34" fillId="0" borderId="23" xfId="58" applyNumberFormat="1" applyFont="1" applyBorder="1" applyAlignment="1">
      <alignment horizontal="center"/>
      <protection/>
    </xf>
    <xf numFmtId="0" fontId="36" fillId="0" borderId="24" xfId="58" applyFont="1" applyBorder="1" applyAlignment="1">
      <alignment horizontal="center"/>
      <protection/>
    </xf>
    <xf numFmtId="0" fontId="37" fillId="0" borderId="0" xfId="58" applyFont="1" applyBorder="1" applyAlignment="1" applyProtection="1">
      <alignment horizontal="left"/>
      <protection/>
    </xf>
    <xf numFmtId="0" fontId="6" fillId="0" borderId="0" xfId="58" applyFont="1" applyBorder="1" applyAlignment="1" applyProtection="1">
      <alignment horizontal="center"/>
      <protection/>
    </xf>
    <xf numFmtId="2" fontId="6" fillId="0" borderId="0" xfId="58" applyNumberFormat="1" applyFont="1" applyBorder="1" applyAlignment="1" applyProtection="1">
      <alignment horizontal="center"/>
      <protection/>
    </xf>
    <xf numFmtId="172" fontId="6" fillId="0" borderId="0" xfId="58" applyNumberFormat="1" applyFont="1" applyBorder="1" applyAlignment="1" applyProtection="1">
      <alignment horizontal="center"/>
      <protection/>
    </xf>
    <xf numFmtId="172" fontId="6" fillId="0" borderId="0" xfId="58" applyNumberFormat="1" applyFont="1" applyBorder="1" applyAlignment="1" applyProtection="1" quotePrefix="1">
      <alignment horizontal="center"/>
      <protection/>
    </xf>
    <xf numFmtId="2" fontId="29" fillId="35" borderId="17" xfId="58" applyNumberFormat="1" applyFont="1" applyFill="1" applyBorder="1" applyAlignment="1">
      <alignment horizontal="center"/>
      <protection/>
    </xf>
    <xf numFmtId="2" fontId="30" fillId="36" borderId="17" xfId="58" applyNumberFormat="1" applyFont="1" applyFill="1" applyBorder="1" applyAlignment="1">
      <alignment horizontal="center"/>
      <protection/>
    </xf>
    <xf numFmtId="172" fontId="31" fillId="33" borderId="17" xfId="58" applyNumberFormat="1" applyFont="1" applyFill="1" applyBorder="1" applyAlignment="1" applyProtection="1" quotePrefix="1">
      <alignment horizontal="center"/>
      <protection/>
    </xf>
    <xf numFmtId="172" fontId="29" fillId="37" borderId="17" xfId="58" applyNumberFormat="1" applyFont="1" applyFill="1" applyBorder="1" applyAlignment="1" applyProtection="1" quotePrefix="1">
      <alignment horizontal="center"/>
      <protection/>
    </xf>
    <xf numFmtId="172" fontId="32" fillId="38" borderId="17" xfId="58" applyNumberFormat="1" applyFont="1" applyFill="1" applyBorder="1" applyAlignment="1" applyProtection="1" quotePrefix="1">
      <alignment horizontal="center"/>
      <protection/>
    </xf>
    <xf numFmtId="172" fontId="33" fillId="39" borderId="17" xfId="58" applyNumberFormat="1" applyFont="1" applyFill="1" applyBorder="1" applyAlignment="1" applyProtection="1" quotePrefix="1">
      <alignment horizontal="center"/>
      <protection/>
    </xf>
    <xf numFmtId="4" fontId="7" fillId="0" borderId="0" xfId="58" applyNumberFormat="1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6" fillId="0" borderId="10" xfId="58" applyFont="1" applyBorder="1">
      <alignment/>
      <protection/>
    </xf>
    <xf numFmtId="0" fontId="36" fillId="0" borderId="0" xfId="58" applyFont="1" applyBorder="1" applyAlignment="1">
      <alignment horizontal="center"/>
      <protection/>
    </xf>
    <xf numFmtId="0" fontId="37" fillId="0" borderId="0" xfId="58" applyFont="1" applyBorder="1" applyAlignment="1" applyProtection="1">
      <alignment horizontal="left" vertical="top"/>
      <protection/>
    </xf>
    <xf numFmtId="0" fontId="36" fillId="0" borderId="0" xfId="58" applyFont="1" applyBorder="1" applyAlignment="1" applyProtection="1">
      <alignment horizontal="center"/>
      <protection/>
    </xf>
    <xf numFmtId="2" fontId="36" fillId="0" borderId="0" xfId="58" applyNumberFormat="1" applyFont="1" applyBorder="1" applyAlignment="1" applyProtection="1">
      <alignment horizontal="center"/>
      <protection/>
    </xf>
    <xf numFmtId="172" fontId="36" fillId="0" borderId="0" xfId="58" applyNumberFormat="1" applyFont="1" applyBorder="1" applyAlignment="1" applyProtection="1">
      <alignment horizontal="center"/>
      <protection/>
    </xf>
    <xf numFmtId="172" fontId="36" fillId="0" borderId="0" xfId="58" applyNumberFormat="1" applyFont="1" applyBorder="1" applyAlignment="1" applyProtection="1" quotePrefix="1">
      <alignment horizontal="center"/>
      <protection/>
    </xf>
    <xf numFmtId="2" fontId="38" fillId="0" borderId="0" xfId="58" applyNumberFormat="1" applyFont="1" applyBorder="1" applyAlignment="1">
      <alignment horizontal="center"/>
      <protection/>
    </xf>
    <xf numFmtId="172" fontId="39" fillId="0" borderId="0" xfId="58" applyNumberFormat="1" applyFont="1" applyBorder="1" applyAlignment="1" applyProtection="1" quotePrefix="1">
      <alignment horizontal="center"/>
      <protection/>
    </xf>
    <xf numFmtId="4" fontId="39" fillId="0" borderId="0" xfId="58" applyNumberFormat="1" applyFont="1" applyBorder="1" applyAlignment="1">
      <alignment horizontal="center"/>
      <protection/>
    </xf>
    <xf numFmtId="8" fontId="40" fillId="0" borderId="0" xfId="58" applyNumberFormat="1" applyFont="1" applyBorder="1" applyAlignment="1" applyProtection="1">
      <alignment horizontal="right"/>
      <protection locked="0"/>
    </xf>
    <xf numFmtId="2" fontId="36" fillId="0" borderId="11" xfId="58" applyNumberFormat="1" applyFont="1" applyBorder="1" applyAlignment="1">
      <alignment horizontal="center"/>
      <protection/>
    </xf>
    <xf numFmtId="0" fontId="6" fillId="0" borderId="25" xfId="58" applyFont="1" applyBorder="1">
      <alignment/>
      <protection/>
    </xf>
    <xf numFmtId="0" fontId="6" fillId="0" borderId="26" xfId="58" applyFont="1" applyBorder="1">
      <alignment/>
      <protection/>
    </xf>
    <xf numFmtId="0" fontId="6" fillId="0" borderId="27" xfId="58" applyFont="1" applyBorder="1">
      <alignment/>
      <protection/>
    </xf>
    <xf numFmtId="0" fontId="1" fillId="0" borderId="0" xfId="58" applyBorder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/>
      <protection/>
    </xf>
    <xf numFmtId="0" fontId="10" fillId="0" borderId="0" xfId="58" applyFont="1" applyFill="1" applyAlignment="1">
      <alignment horizontal="centerContinuous"/>
      <protection/>
    </xf>
    <xf numFmtId="0" fontId="10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6" fillId="0" borderId="12" xfId="58" applyFont="1" applyFill="1" applyBorder="1">
      <alignment/>
      <protection/>
    </xf>
    <xf numFmtId="0" fontId="6" fillId="0" borderId="13" xfId="58" applyFont="1" applyFill="1" applyBorder="1">
      <alignment/>
      <protection/>
    </xf>
    <xf numFmtId="0" fontId="6" fillId="0" borderId="14" xfId="58" applyFont="1" applyFill="1" applyBorder="1">
      <alignment/>
      <protection/>
    </xf>
    <xf numFmtId="0" fontId="15" fillId="0" borderId="10" xfId="58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0" fontId="15" fillId="0" borderId="11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1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0" fontId="15" fillId="0" borderId="0" xfId="58" applyFont="1" applyFill="1" applyBorder="1" applyProtection="1">
      <alignment/>
      <protection/>
    </xf>
    <xf numFmtId="0" fontId="6" fillId="0" borderId="0" xfId="58" applyFont="1" applyFill="1" applyBorder="1" applyAlignment="1" applyProtection="1">
      <alignment horizontal="left"/>
      <protection/>
    </xf>
    <xf numFmtId="168" fontId="6" fillId="0" borderId="0" xfId="58" applyNumberFormat="1" applyFont="1" applyFill="1" applyBorder="1" applyProtection="1">
      <alignment/>
      <protection/>
    </xf>
    <xf numFmtId="0" fontId="6" fillId="0" borderId="0" xfId="58" applyFont="1" applyFill="1" applyBorder="1" applyProtection="1">
      <alignment/>
      <protection/>
    </xf>
    <xf numFmtId="0" fontId="13" fillId="0" borderId="10" xfId="58" applyFont="1" applyFill="1" applyBorder="1" applyAlignment="1">
      <alignment horizontal="centerContinuous"/>
      <protection/>
    </xf>
    <xf numFmtId="0" fontId="13" fillId="0" borderId="0" xfId="58" applyFont="1" applyFill="1" applyBorder="1" applyAlignment="1">
      <alignment horizontal="centerContinuous"/>
      <protection/>
    </xf>
    <xf numFmtId="0" fontId="13" fillId="0" borderId="11" xfId="58" applyFont="1" applyFill="1" applyBorder="1" applyAlignment="1">
      <alignment horizontal="centerContinuous"/>
      <protection/>
    </xf>
    <xf numFmtId="0" fontId="6" fillId="0" borderId="0" xfId="58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left"/>
      <protection/>
    </xf>
    <xf numFmtId="0" fontId="1" fillId="0" borderId="15" xfId="58" applyFont="1" applyFill="1" applyBorder="1" applyAlignment="1" applyProtection="1">
      <alignment horizontal="left"/>
      <protection/>
    </xf>
    <xf numFmtId="0" fontId="1" fillId="0" borderId="24" xfId="58" applyFont="1" applyFill="1" applyBorder="1" applyAlignment="1" applyProtection="1">
      <alignment horizontal="center"/>
      <protection/>
    </xf>
    <xf numFmtId="0" fontId="1" fillId="0" borderId="24" xfId="58" applyFont="1" applyFill="1" applyBorder="1">
      <alignment/>
      <protection/>
    </xf>
    <xf numFmtId="0" fontId="1" fillId="0" borderId="15" xfId="58" applyFont="1" applyFill="1" applyBorder="1" applyAlignment="1" applyProtection="1" quotePrefix="1">
      <alignment horizontal="left"/>
      <protection/>
    </xf>
    <xf numFmtId="0" fontId="1" fillId="0" borderId="18" xfId="58" applyFont="1" applyFill="1" applyBorder="1" applyAlignment="1" applyProtection="1">
      <alignment horizontal="center"/>
      <protection/>
    </xf>
    <xf numFmtId="168" fontId="1" fillId="0" borderId="17" xfId="58" applyNumberFormat="1" applyFont="1" applyFill="1" applyBorder="1" applyAlignment="1" applyProtection="1">
      <alignment horizontal="center"/>
      <protection/>
    </xf>
    <xf numFmtId="0" fontId="6" fillId="0" borderId="0" xfId="58" applyFont="1" applyAlignment="1" applyProtection="1">
      <alignment/>
      <protection/>
    </xf>
    <xf numFmtId="22" fontId="6" fillId="0" borderId="0" xfId="58" applyNumberFormat="1" applyFont="1" applyFill="1" applyBorder="1">
      <alignment/>
      <protection/>
    </xf>
    <xf numFmtId="0" fontId="6" fillId="0" borderId="0" xfId="58" applyFont="1" applyAlignment="1">
      <alignment vertical="center"/>
      <protection/>
    </xf>
    <xf numFmtId="0" fontId="6" fillId="0" borderId="10" xfId="58" applyFont="1" applyFill="1" applyBorder="1" applyAlignment="1">
      <alignment vertical="center"/>
      <protection/>
    </xf>
    <xf numFmtId="0" fontId="17" fillId="0" borderId="17" xfId="58" applyFont="1" applyFill="1" applyBorder="1" applyAlignment="1" applyProtection="1">
      <alignment horizontal="center" vertical="center" wrapText="1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 quotePrefix="1">
      <alignment horizontal="center" vertical="center" wrapText="1"/>
      <protection/>
    </xf>
    <xf numFmtId="0" fontId="17" fillId="0" borderId="17" xfId="58" applyFont="1" applyFill="1" applyBorder="1" applyAlignment="1">
      <alignment horizontal="center" vertical="center" wrapText="1"/>
      <protection/>
    </xf>
    <xf numFmtId="0" fontId="18" fillId="33" borderId="17" xfId="58" applyFont="1" applyFill="1" applyBorder="1" applyAlignment="1" applyProtection="1">
      <alignment horizontal="center" vertical="center"/>
      <protection/>
    </xf>
    <xf numFmtId="0" fontId="26" fillId="39" borderId="17" xfId="58" applyFont="1" applyFill="1" applyBorder="1" applyAlignment="1" applyProtection="1">
      <alignment horizontal="center" vertical="center"/>
      <protection/>
    </xf>
    <xf numFmtId="0" fontId="21" fillId="37" borderId="17" xfId="58" applyFont="1" applyFill="1" applyBorder="1" applyAlignment="1">
      <alignment horizontal="center" vertical="center" wrapText="1"/>
      <protection/>
    </xf>
    <xf numFmtId="0" fontId="20" fillId="40" borderId="17" xfId="58" applyFont="1" applyFill="1" applyBorder="1" applyAlignment="1">
      <alignment horizontal="center" vertical="center" wrapText="1"/>
      <protection/>
    </xf>
    <xf numFmtId="0" fontId="20" fillId="34" borderId="15" xfId="58" applyFont="1" applyFill="1" applyBorder="1" applyAlignment="1" applyProtection="1">
      <alignment horizontal="centerContinuous" vertical="center" wrapText="1"/>
      <protection/>
    </xf>
    <xf numFmtId="0" fontId="20" fillId="34" borderId="16" xfId="58" applyFont="1" applyFill="1" applyBorder="1" applyAlignment="1">
      <alignment horizontal="centerContinuous" vertical="center"/>
      <protection/>
    </xf>
    <xf numFmtId="0" fontId="41" fillId="41" borderId="15" xfId="58" applyFont="1" applyFill="1" applyBorder="1" applyAlignment="1" applyProtection="1">
      <alignment horizontal="centerContinuous" vertical="center" wrapText="1"/>
      <protection/>
    </xf>
    <xf numFmtId="0" fontId="41" fillId="41" borderId="16" xfId="58" applyFont="1" applyFill="1" applyBorder="1" applyAlignment="1">
      <alignment horizontal="centerContinuous" vertical="center"/>
      <protection/>
    </xf>
    <xf numFmtId="0" fontId="25" fillId="42" borderId="17" xfId="58" applyFont="1" applyFill="1" applyBorder="1" applyAlignment="1">
      <alignment horizontal="center" vertical="center" wrapText="1"/>
      <protection/>
    </xf>
    <xf numFmtId="0" fontId="20" fillId="43" borderId="17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vertical="center"/>
      <protection/>
    </xf>
    <xf numFmtId="0" fontId="6" fillId="0" borderId="28" xfId="58" applyFont="1" applyFill="1" applyBorder="1" applyAlignment="1" applyProtection="1">
      <alignment horizontal="center"/>
      <protection locked="0"/>
    </xf>
    <xf numFmtId="0" fontId="6" fillId="0" borderId="19" xfId="58" applyFont="1" applyFill="1" applyBorder="1" applyAlignment="1" applyProtection="1">
      <alignment horizontal="center"/>
      <protection locked="0"/>
    </xf>
    <xf numFmtId="0" fontId="6" fillId="0" borderId="19" xfId="58" applyFont="1" applyFill="1" applyBorder="1" applyProtection="1">
      <alignment/>
      <protection locked="0"/>
    </xf>
    <xf numFmtId="0" fontId="42" fillId="33" borderId="19" xfId="58" applyFont="1" applyFill="1" applyBorder="1" applyProtection="1">
      <alignment/>
      <protection locked="0"/>
    </xf>
    <xf numFmtId="0" fontId="6" fillId="0" borderId="19" xfId="58" applyFont="1" applyFill="1" applyBorder="1" applyAlignment="1">
      <alignment horizontal="center"/>
      <protection/>
    </xf>
    <xf numFmtId="0" fontId="5" fillId="40" borderId="19" xfId="58" applyFont="1" applyFill="1" applyBorder="1" applyProtection="1">
      <alignment/>
      <protection locked="0"/>
    </xf>
    <xf numFmtId="0" fontId="5" fillId="34" borderId="29" xfId="58" applyFont="1" applyFill="1" applyBorder="1" applyAlignment="1" applyProtection="1">
      <alignment horizontal="center"/>
      <protection locked="0"/>
    </xf>
    <xf numFmtId="0" fontId="5" fillId="34" borderId="30" xfId="58" applyFont="1" applyFill="1" applyBorder="1" applyProtection="1">
      <alignment/>
      <protection locked="0"/>
    </xf>
    <xf numFmtId="0" fontId="43" fillId="41" borderId="29" xfId="58" applyFont="1" applyFill="1" applyBorder="1" applyAlignment="1" applyProtection="1">
      <alignment horizontal="center"/>
      <protection locked="0"/>
    </xf>
    <xf numFmtId="0" fontId="43" fillId="41" borderId="30" xfId="58" applyFont="1" applyFill="1" applyBorder="1" applyProtection="1">
      <alignment/>
      <protection locked="0"/>
    </xf>
    <xf numFmtId="0" fontId="32" fillId="42" borderId="19" xfId="58" applyFont="1" applyFill="1" applyBorder="1" applyProtection="1">
      <alignment/>
      <protection locked="0"/>
    </xf>
    <xf numFmtId="0" fontId="5" fillId="43" borderId="19" xfId="58" applyFont="1" applyFill="1" applyBorder="1" applyProtection="1">
      <alignment/>
      <protection locked="0"/>
    </xf>
    <xf numFmtId="176" fontId="34" fillId="0" borderId="19" xfId="58" applyNumberFormat="1" applyFont="1" applyFill="1" applyBorder="1" applyAlignment="1">
      <alignment horizontal="right"/>
      <protection/>
    </xf>
    <xf numFmtId="0" fontId="6" fillId="0" borderId="31" xfId="58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Protection="1">
      <alignment/>
      <protection locked="0"/>
    </xf>
    <xf numFmtId="0" fontId="42" fillId="33" borderId="20" xfId="58" applyFont="1" applyFill="1" applyBorder="1" applyProtection="1">
      <alignment/>
      <protection locked="0"/>
    </xf>
    <xf numFmtId="0" fontId="6" fillId="0" borderId="20" xfId="58" applyFont="1" applyFill="1" applyBorder="1" applyAlignment="1">
      <alignment horizontal="center"/>
      <protection/>
    </xf>
    <xf numFmtId="0" fontId="5" fillId="40" borderId="20" xfId="58" applyFont="1" applyFill="1" applyBorder="1" applyProtection="1">
      <alignment/>
      <protection locked="0"/>
    </xf>
    <xf numFmtId="0" fontId="5" fillId="34" borderId="32" xfId="58" applyFont="1" applyFill="1" applyBorder="1" applyAlignment="1" applyProtection="1">
      <alignment horizontal="center"/>
      <protection locked="0"/>
    </xf>
    <xf numFmtId="0" fontId="5" fillId="34" borderId="33" xfId="58" applyFont="1" applyFill="1" applyBorder="1" applyProtection="1">
      <alignment/>
      <protection locked="0"/>
    </xf>
    <xf numFmtId="0" fontId="43" fillId="41" borderId="32" xfId="58" applyFont="1" applyFill="1" applyBorder="1" applyAlignment="1" applyProtection="1">
      <alignment horizontal="center"/>
      <protection locked="0"/>
    </xf>
    <xf numFmtId="0" fontId="43" fillId="41" borderId="33" xfId="58" applyFont="1" applyFill="1" applyBorder="1" applyProtection="1">
      <alignment/>
      <protection locked="0"/>
    </xf>
    <xf numFmtId="0" fontId="32" fillId="42" borderId="20" xfId="58" applyFont="1" applyFill="1" applyBorder="1" applyProtection="1">
      <alignment/>
      <protection locked="0"/>
    </xf>
    <xf numFmtId="0" fontId="5" fillId="43" borderId="20" xfId="58" applyFont="1" applyFill="1" applyBorder="1" applyProtection="1">
      <alignment/>
      <protection locked="0"/>
    </xf>
    <xf numFmtId="0" fontId="34" fillId="0" borderId="33" xfId="58" applyFont="1" applyFill="1" applyBorder="1" applyAlignment="1">
      <alignment horizontal="right"/>
      <protection/>
    </xf>
    <xf numFmtId="169" fontId="6" fillId="0" borderId="21" xfId="58" applyNumberFormat="1" applyFont="1" applyBorder="1" applyAlignment="1" applyProtection="1" quotePrefix="1">
      <alignment horizontal="center"/>
      <protection locked="0"/>
    </xf>
    <xf numFmtId="2" fontId="6" fillId="0" borderId="21" xfId="58" applyNumberFormat="1" applyFont="1" applyBorder="1" applyAlignment="1" applyProtection="1" quotePrefix="1">
      <alignment horizontal="center"/>
      <protection locked="0"/>
    </xf>
    <xf numFmtId="172" fontId="42" fillId="33" borderId="20" xfId="58" applyNumberFormat="1" applyFont="1" applyFill="1" applyBorder="1" applyAlignment="1" applyProtection="1">
      <alignment horizontal="center"/>
      <protection locked="0"/>
    </xf>
    <xf numFmtId="2" fontId="6" fillId="0" borderId="20" xfId="58" applyNumberFormat="1" applyFont="1" applyFill="1" applyBorder="1" applyAlignment="1" applyProtection="1">
      <alignment horizontal="center"/>
      <protection/>
    </xf>
    <xf numFmtId="3" fontId="6" fillId="0" borderId="20" xfId="58" applyNumberFormat="1" applyFont="1" applyFill="1" applyBorder="1" applyAlignment="1" applyProtection="1">
      <alignment horizontal="center"/>
      <protection/>
    </xf>
    <xf numFmtId="172" fontId="6" fillId="0" borderId="20" xfId="58" applyNumberFormat="1" applyFont="1" applyFill="1" applyBorder="1" applyAlignment="1" applyProtection="1">
      <alignment horizontal="center"/>
      <protection locked="0"/>
    </xf>
    <xf numFmtId="172" fontId="6" fillId="0" borderId="20" xfId="58" applyNumberFormat="1" applyFont="1" applyFill="1" applyBorder="1" applyAlignment="1" applyProtection="1" quotePrefix="1">
      <alignment horizontal="center"/>
      <protection locked="0"/>
    </xf>
    <xf numFmtId="2" fontId="29" fillId="37" borderId="20" xfId="58" applyNumberFormat="1" applyFont="1" applyFill="1" applyBorder="1" applyAlignment="1" applyProtection="1">
      <alignment horizontal="center"/>
      <protection locked="0"/>
    </xf>
    <xf numFmtId="2" fontId="5" fillId="40" borderId="20" xfId="58" applyNumberFormat="1" applyFont="1" applyFill="1" applyBorder="1" applyAlignment="1" applyProtection="1">
      <alignment horizontal="center"/>
      <protection locked="0"/>
    </xf>
    <xf numFmtId="172" fontId="5" fillId="34" borderId="32" xfId="58" applyNumberFormat="1" applyFont="1" applyFill="1" applyBorder="1" applyAlignment="1" applyProtection="1" quotePrefix="1">
      <alignment horizontal="center"/>
      <protection locked="0"/>
    </xf>
    <xf numFmtId="172" fontId="5" fillId="34" borderId="34" xfId="58" applyNumberFormat="1" applyFont="1" applyFill="1" applyBorder="1" applyAlignment="1" applyProtection="1" quotePrefix="1">
      <alignment horizontal="center"/>
      <protection locked="0"/>
    </xf>
    <xf numFmtId="172" fontId="43" fillId="41" borderId="32" xfId="58" applyNumberFormat="1" applyFont="1" applyFill="1" applyBorder="1" applyAlignment="1" applyProtection="1" quotePrefix="1">
      <alignment horizontal="center"/>
      <protection locked="0"/>
    </xf>
    <xf numFmtId="172" fontId="43" fillId="41" borderId="34" xfId="58" applyNumberFormat="1" applyFont="1" applyFill="1" applyBorder="1" applyAlignment="1" applyProtection="1" quotePrefix="1">
      <alignment horizontal="center"/>
      <protection locked="0"/>
    </xf>
    <xf numFmtId="172" fontId="32" fillId="42" borderId="20" xfId="58" applyNumberFormat="1" applyFont="1" applyFill="1" applyBorder="1" applyAlignment="1" applyProtection="1" quotePrefix="1">
      <alignment horizontal="center"/>
      <protection locked="0"/>
    </xf>
    <xf numFmtId="172" fontId="5" fillId="43" borderId="21" xfId="58" applyNumberFormat="1" applyFont="1" applyFill="1" applyBorder="1" applyAlignment="1" applyProtection="1" quotePrefix="1">
      <alignment horizontal="center"/>
      <protection locked="0"/>
    </xf>
    <xf numFmtId="172" fontId="34" fillId="0" borderId="33" xfId="58" applyNumberFormat="1" applyFont="1" applyFill="1" applyBorder="1" applyAlignment="1">
      <alignment horizontal="right"/>
      <protection/>
    </xf>
    <xf numFmtId="2" fontId="6" fillId="0" borderId="11" xfId="58" applyNumberFormat="1" applyFont="1" applyFill="1" applyBorder="1">
      <alignment/>
      <protection/>
    </xf>
    <xf numFmtId="0" fontId="6" fillId="0" borderId="22" xfId="58" applyFont="1" applyFill="1" applyBorder="1">
      <alignment/>
      <protection/>
    </xf>
    <xf numFmtId="0" fontId="42" fillId="33" borderId="22" xfId="58" applyFont="1" applyFill="1" applyBorder="1">
      <alignment/>
      <protection/>
    </xf>
    <xf numFmtId="0" fontId="34" fillId="0" borderId="35" xfId="58" applyFont="1" applyFill="1" applyBorder="1" applyAlignment="1">
      <alignment horizontal="right"/>
      <protection/>
    </xf>
    <xf numFmtId="7" fontId="29" fillId="37" borderId="17" xfId="58" applyNumberFormat="1" applyFont="1" applyFill="1" applyBorder="1" applyAlignment="1">
      <alignment horizontal="center"/>
      <protection/>
    </xf>
    <xf numFmtId="7" fontId="5" fillId="40" borderId="17" xfId="58" applyNumberFormat="1" applyFont="1" applyFill="1" applyBorder="1" applyAlignment="1">
      <alignment horizontal="center"/>
      <protection/>
    </xf>
    <xf numFmtId="7" fontId="5" fillId="34" borderId="17" xfId="58" applyNumberFormat="1" applyFont="1" applyFill="1" applyBorder="1" applyAlignment="1">
      <alignment horizontal="center"/>
      <protection/>
    </xf>
    <xf numFmtId="7" fontId="5" fillId="34" borderId="36" xfId="58" applyNumberFormat="1" applyFont="1" applyFill="1" applyBorder="1" applyAlignment="1">
      <alignment horizontal="center"/>
      <protection/>
    </xf>
    <xf numFmtId="7" fontId="43" fillId="41" borderId="17" xfId="58" applyNumberFormat="1" applyFont="1" applyFill="1" applyBorder="1" applyAlignment="1">
      <alignment horizontal="center"/>
      <protection/>
    </xf>
    <xf numFmtId="7" fontId="32" fillId="42" borderId="17" xfId="58" applyNumberFormat="1" applyFont="1" applyFill="1" applyBorder="1" applyAlignment="1">
      <alignment horizontal="center"/>
      <protection/>
    </xf>
    <xf numFmtId="7" fontId="5" fillId="43" borderId="17" xfId="58" applyNumberFormat="1" applyFont="1" applyFill="1" applyBorder="1" applyAlignment="1">
      <alignment horizontal="center"/>
      <protection/>
    </xf>
    <xf numFmtId="0" fontId="6" fillId="0" borderId="37" xfId="58" applyFont="1" applyFill="1" applyBorder="1">
      <alignment/>
      <protection/>
    </xf>
    <xf numFmtId="0" fontId="36" fillId="0" borderId="10" xfId="58" applyFont="1" applyFill="1" applyBorder="1">
      <alignment/>
      <protection/>
    </xf>
    <xf numFmtId="0" fontId="36" fillId="0" borderId="0" xfId="58" applyFont="1" applyFill="1" applyBorder="1">
      <alignment/>
      <protection/>
    </xf>
    <xf numFmtId="7" fontId="36" fillId="0" borderId="0" xfId="58" applyNumberFormat="1" applyFont="1" applyFill="1" applyBorder="1" applyAlignment="1">
      <alignment horizontal="center"/>
      <protection/>
    </xf>
    <xf numFmtId="7" fontId="36" fillId="0" borderId="0" xfId="58" applyNumberFormat="1" applyFont="1" applyFill="1" applyBorder="1" applyAlignment="1" applyProtection="1">
      <alignment horizontal="right"/>
      <protection locked="0"/>
    </xf>
    <xf numFmtId="0" fontId="36" fillId="0" borderId="11" xfId="58" applyFont="1" applyFill="1" applyBorder="1">
      <alignment/>
      <protection/>
    </xf>
    <xf numFmtId="0" fontId="6" fillId="0" borderId="25" xfId="58" applyFont="1" applyFill="1" applyBorder="1">
      <alignment/>
      <protection/>
    </xf>
    <xf numFmtId="0" fontId="6" fillId="0" borderId="26" xfId="58" applyFont="1" applyFill="1" applyBorder="1">
      <alignment/>
      <protection/>
    </xf>
    <xf numFmtId="0" fontId="6" fillId="0" borderId="27" xfId="58" applyFont="1" applyFill="1" applyBorder="1">
      <alignment/>
      <protection/>
    </xf>
    <xf numFmtId="0" fontId="1" fillId="0" borderId="0" xfId="58" applyFill="1" applyBorder="1">
      <alignment/>
      <protection/>
    </xf>
    <xf numFmtId="0" fontId="0" fillId="0" borderId="0" xfId="58" applyFont="1" applyFill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 applyFont="1" applyAlignment="1">
      <alignment horizontal="centerContinuous" vertical="center"/>
      <protection/>
    </xf>
    <xf numFmtId="0" fontId="10" fillId="0" borderId="0" xfId="58" applyFont="1" applyAlignment="1">
      <alignment horizontal="centerContinuous"/>
      <protection/>
    </xf>
    <xf numFmtId="0" fontId="44" fillId="0" borderId="0" xfId="58" applyFont="1" applyBorder="1">
      <alignment/>
      <protection/>
    </xf>
    <xf numFmtId="0" fontId="13" fillId="0" borderId="0" xfId="58" applyFont="1" applyFill="1" applyBorder="1" applyAlignment="1" applyProtection="1" quotePrefix="1">
      <alignment horizontal="centerContinuous"/>
      <protection locked="0"/>
    </xf>
    <xf numFmtId="0" fontId="1" fillId="0" borderId="15" xfId="58" applyFont="1" applyBorder="1" applyAlignment="1" applyProtection="1">
      <alignment horizontal="left"/>
      <protection/>
    </xf>
    <xf numFmtId="173" fontId="1" fillId="0" borderId="36" xfId="58" applyNumberFormat="1" applyFont="1" applyBorder="1" applyAlignment="1" applyProtection="1">
      <alignment horizontal="center"/>
      <protection/>
    </xf>
    <xf numFmtId="0" fontId="1" fillId="0" borderId="17" xfId="58" applyFont="1" applyBorder="1" applyAlignment="1">
      <alignment horizontal="center"/>
      <protection/>
    </xf>
    <xf numFmtId="22" fontId="6" fillId="0" borderId="0" xfId="58" applyNumberFormat="1" applyFont="1" applyBorder="1">
      <alignment/>
      <protection/>
    </xf>
    <xf numFmtId="0" fontId="1" fillId="0" borderId="15" xfId="58" applyFont="1" applyBorder="1">
      <alignment/>
      <protection/>
    </xf>
    <xf numFmtId="173" fontId="45" fillId="0" borderId="36" xfId="58" applyNumberFormat="1" applyFont="1" applyBorder="1" applyAlignment="1">
      <alignment horizontal="center"/>
      <protection/>
    </xf>
    <xf numFmtId="0" fontId="1" fillId="0" borderId="22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173" fontId="6" fillId="0" borderId="0" xfId="58" applyNumberFormat="1" applyFont="1" applyBorder="1">
      <alignment/>
      <protection/>
    </xf>
    <xf numFmtId="0" fontId="6" fillId="0" borderId="0" xfId="58" applyFont="1" applyBorder="1" applyAlignment="1" quotePrefix="1">
      <alignment horizontal="center"/>
      <protection/>
    </xf>
    <xf numFmtId="0" fontId="1" fillId="0" borderId="15" xfId="58" applyFont="1" applyBorder="1" applyAlignment="1">
      <alignment horizontal="left"/>
      <protection/>
    </xf>
    <xf numFmtId="1" fontId="1" fillId="0" borderId="22" xfId="58" applyNumberFormat="1" applyFont="1" applyBorder="1" applyAlignment="1">
      <alignment horizontal="center"/>
      <protection/>
    </xf>
    <xf numFmtId="0" fontId="17" fillId="0" borderId="0" xfId="58" applyFont="1">
      <alignment/>
      <protection/>
    </xf>
    <xf numFmtId="0" fontId="17" fillId="0" borderId="10" xfId="58" applyFont="1" applyBorder="1">
      <alignment/>
      <protection/>
    </xf>
    <xf numFmtId="0" fontId="20" fillId="43" borderId="17" xfId="58" applyFont="1" applyFill="1" applyBorder="1" applyAlignment="1" applyProtection="1">
      <alignment horizontal="center" vertical="center"/>
      <protection/>
    </xf>
    <xf numFmtId="0" fontId="46" fillId="42" borderId="17" xfId="58" applyFont="1" applyFill="1" applyBorder="1" applyAlignment="1">
      <alignment horizontal="center" vertical="center" wrapText="1"/>
      <protection/>
    </xf>
    <xf numFmtId="0" fontId="20" fillId="41" borderId="15" xfId="58" applyFont="1" applyFill="1" applyBorder="1" applyAlignment="1" applyProtection="1">
      <alignment horizontal="centerContinuous" vertical="center" wrapText="1"/>
      <protection/>
    </xf>
    <xf numFmtId="0" fontId="20" fillId="41" borderId="16" xfId="58" applyFont="1" applyFill="1" applyBorder="1" applyAlignment="1">
      <alignment horizontal="centerContinuous" vertical="center"/>
      <protection/>
    </xf>
    <xf numFmtId="0" fontId="21" fillId="44" borderId="17" xfId="58" applyFont="1" applyFill="1" applyBorder="1" applyAlignment="1">
      <alignment horizontal="center" vertical="center" wrapText="1"/>
      <protection/>
    </xf>
    <xf numFmtId="0" fontId="17" fillId="0" borderId="11" xfId="58" applyFont="1" applyFill="1" applyBorder="1">
      <alignment/>
      <protection/>
    </xf>
    <xf numFmtId="168" fontId="6" fillId="0" borderId="19" xfId="58" applyNumberFormat="1" applyFont="1" applyFill="1" applyBorder="1" applyAlignment="1" applyProtection="1">
      <alignment horizontal="center"/>
      <protection locked="0"/>
    </xf>
    <xf numFmtId="0" fontId="27" fillId="33" borderId="19" xfId="58" applyFont="1" applyFill="1" applyBorder="1" applyAlignment="1" applyProtection="1">
      <alignment horizontal="center"/>
      <protection locked="0"/>
    </xf>
    <xf numFmtId="0" fontId="28" fillId="43" borderId="19" xfId="58" applyFont="1" applyFill="1" applyBorder="1" applyAlignment="1" applyProtection="1">
      <alignment horizontal="center"/>
      <protection locked="0"/>
    </xf>
    <xf numFmtId="0" fontId="47" fillId="42" borderId="19" xfId="58" applyFont="1" applyFill="1" applyBorder="1" applyAlignment="1" applyProtection="1">
      <alignment horizontal="center"/>
      <protection locked="0"/>
    </xf>
    <xf numFmtId="172" fontId="5" fillId="41" borderId="29" xfId="58" applyNumberFormat="1" applyFont="1" applyFill="1" applyBorder="1" applyAlignment="1" applyProtection="1" quotePrefix="1">
      <alignment horizontal="center"/>
      <protection locked="0"/>
    </xf>
    <xf numFmtId="172" fontId="5" fillId="41" borderId="38" xfId="58" applyNumberFormat="1" applyFont="1" applyFill="1" applyBorder="1" applyAlignment="1" applyProtection="1" quotePrefix="1">
      <alignment horizontal="center"/>
      <protection locked="0"/>
    </xf>
    <xf numFmtId="172" fontId="29" fillId="44" borderId="19" xfId="58" applyNumberFormat="1" applyFont="1" applyFill="1" applyBorder="1" applyAlignment="1" applyProtection="1" quotePrefix="1">
      <alignment horizontal="center"/>
      <protection locked="0"/>
    </xf>
    <xf numFmtId="0" fontId="6" fillId="0" borderId="28" xfId="58" applyFont="1" applyFill="1" applyBorder="1" applyAlignment="1" applyProtection="1">
      <alignment horizontal="left"/>
      <protection locked="0"/>
    </xf>
    <xf numFmtId="0" fontId="48" fillId="0" borderId="31" xfId="58" applyFont="1" applyFill="1" applyBorder="1" applyAlignment="1" applyProtection="1">
      <alignment horizontal="center"/>
      <protection locked="0"/>
    </xf>
    <xf numFmtId="174" fontId="7" fillId="0" borderId="20" xfId="58" applyNumberFormat="1" applyFont="1" applyFill="1" applyBorder="1" applyAlignment="1" applyProtection="1">
      <alignment horizontal="center"/>
      <protection locked="0"/>
    </xf>
    <xf numFmtId="173" fontId="27" fillId="33" borderId="20" xfId="58" applyNumberFormat="1" applyFont="1" applyFill="1" applyBorder="1" applyAlignment="1" applyProtection="1">
      <alignment horizontal="center"/>
      <protection locked="0"/>
    </xf>
    <xf numFmtId="168" fontId="6" fillId="0" borderId="20" xfId="58" applyNumberFormat="1" applyFont="1" applyFill="1" applyBorder="1" applyAlignment="1" applyProtection="1" quotePrefix="1">
      <alignment horizontal="center"/>
      <protection/>
    </xf>
    <xf numFmtId="168" fontId="28" fillId="43" borderId="20" xfId="58" applyNumberFormat="1" applyFont="1" applyFill="1" applyBorder="1" applyAlignment="1" applyProtection="1">
      <alignment horizontal="center"/>
      <protection locked="0"/>
    </xf>
    <xf numFmtId="2" fontId="47" fillId="42" borderId="20" xfId="58" applyNumberFormat="1" applyFont="1" applyFill="1" applyBorder="1" applyAlignment="1" applyProtection="1">
      <alignment horizontal="center"/>
      <protection locked="0"/>
    </xf>
    <xf numFmtId="172" fontId="5" fillId="41" borderId="32" xfId="58" applyNumberFormat="1" applyFont="1" applyFill="1" applyBorder="1" applyAlignment="1" applyProtection="1" quotePrefix="1">
      <alignment horizontal="center"/>
      <protection locked="0"/>
    </xf>
    <xf numFmtId="172" fontId="5" fillId="41" borderId="34" xfId="58" applyNumberFormat="1" applyFont="1" applyFill="1" applyBorder="1" applyAlignment="1" applyProtection="1" quotePrefix="1">
      <alignment horizontal="center"/>
      <protection locked="0"/>
    </xf>
    <xf numFmtId="172" fontId="29" fillId="44" borderId="20" xfId="58" applyNumberFormat="1" applyFont="1" applyFill="1" applyBorder="1" applyAlignment="1" applyProtection="1" quotePrefix="1">
      <alignment horizontal="center"/>
      <protection locked="0"/>
    </xf>
    <xf numFmtId="172" fontId="6" fillId="0" borderId="31" xfId="58" applyNumberFormat="1" applyFont="1" applyFill="1" applyBorder="1" applyAlignment="1" applyProtection="1">
      <alignment horizontal="center"/>
      <protection locked="0"/>
    </xf>
    <xf numFmtId="172" fontId="34" fillId="0" borderId="20" xfId="58" applyNumberFormat="1" applyFont="1" applyFill="1" applyBorder="1" applyAlignment="1">
      <alignment horizontal="center"/>
      <protection/>
    </xf>
    <xf numFmtId="174" fontId="7" fillId="0" borderId="20" xfId="58" applyNumberFormat="1" applyFont="1" applyFill="1" applyBorder="1" applyAlignment="1" applyProtection="1" quotePrefix="1">
      <alignment horizontal="center"/>
      <protection locked="0"/>
    </xf>
    <xf numFmtId="172" fontId="34" fillId="0" borderId="20" xfId="58" applyNumberFormat="1" applyFont="1" applyFill="1" applyBorder="1" applyAlignment="1">
      <alignment horizontal="right"/>
      <protection/>
    </xf>
    <xf numFmtId="0" fontId="27" fillId="33" borderId="22" xfId="58" applyFont="1" applyFill="1" applyBorder="1">
      <alignment/>
      <protection/>
    </xf>
    <xf numFmtId="0" fontId="34" fillId="0" borderId="35" xfId="58" applyFont="1" applyFill="1" applyBorder="1">
      <alignment/>
      <protection/>
    </xf>
    <xf numFmtId="2" fontId="47" fillId="42" borderId="17" xfId="58" applyNumberFormat="1" applyFont="1" applyFill="1" applyBorder="1" applyAlignment="1">
      <alignment horizontal="center"/>
      <protection/>
    </xf>
    <xf numFmtId="2" fontId="5" fillId="41" borderId="17" xfId="58" applyNumberFormat="1" applyFont="1" applyFill="1" applyBorder="1" applyAlignment="1">
      <alignment horizontal="center"/>
      <protection/>
    </xf>
    <xf numFmtId="2" fontId="29" fillId="44" borderId="17" xfId="58" applyNumberFormat="1" applyFont="1" applyFill="1" applyBorder="1" applyAlignment="1">
      <alignment horizontal="center"/>
      <protection/>
    </xf>
    <xf numFmtId="7" fontId="6" fillId="0" borderId="0" xfId="58" applyNumberFormat="1" applyFont="1" applyFill="1" applyBorder="1" applyAlignment="1">
      <alignment horizontal="center"/>
      <protection/>
    </xf>
    <xf numFmtId="7" fontId="40" fillId="0" borderId="0" xfId="58" applyNumberFormat="1" applyFont="1" applyFill="1" applyBorder="1" applyAlignment="1" applyProtection="1">
      <alignment horizontal="center"/>
      <protection locked="0"/>
    </xf>
    <xf numFmtId="0" fontId="1" fillId="0" borderId="0" xfId="58" applyFont="1">
      <alignment/>
      <protection/>
    </xf>
    <xf numFmtId="0" fontId="49" fillId="0" borderId="0" xfId="58" applyFont="1" applyAlignment="1">
      <alignment horizontal="right" vertical="top"/>
      <protection/>
    </xf>
    <xf numFmtId="0" fontId="49" fillId="0" borderId="0" xfId="58" applyFont="1" applyFill="1" applyAlignment="1">
      <alignment horizontal="right" vertical="top"/>
      <protection/>
    </xf>
    <xf numFmtId="175" fontId="1" fillId="0" borderId="17" xfId="58" applyNumberFormat="1" applyFont="1" applyFill="1" applyBorder="1" applyAlignment="1">
      <alignment horizontal="center"/>
      <protection/>
    </xf>
    <xf numFmtId="173" fontId="1" fillId="0" borderId="36" xfId="58" applyNumberFormat="1" applyFont="1" applyFill="1" applyBorder="1" applyAlignment="1" applyProtection="1">
      <alignment horizontal="center"/>
      <protection/>
    </xf>
    <xf numFmtId="0" fontId="6" fillId="0" borderId="22" xfId="58" applyFont="1" applyFill="1" applyBorder="1" applyProtection="1">
      <alignment/>
      <protection locked="0"/>
    </xf>
    <xf numFmtId="0" fontId="33" fillId="39" borderId="22" xfId="58" applyFont="1" applyFill="1" applyBorder="1" applyProtection="1">
      <alignment/>
      <protection locked="0"/>
    </xf>
    <xf numFmtId="0" fontId="29" fillId="37" borderId="22" xfId="58" applyFont="1" applyFill="1" applyBorder="1" applyProtection="1">
      <alignment/>
      <protection locked="0"/>
    </xf>
    <xf numFmtId="0" fontId="5" fillId="40" borderId="22" xfId="58" applyFont="1" applyFill="1" applyBorder="1" applyProtection="1">
      <alignment/>
      <protection locked="0"/>
    </xf>
    <xf numFmtId="0" fontId="5" fillId="34" borderId="39" xfId="58" applyFont="1" applyFill="1" applyBorder="1" applyProtection="1">
      <alignment/>
      <protection locked="0"/>
    </xf>
    <xf numFmtId="0" fontId="5" fillId="34" borderId="40" xfId="58" applyFont="1" applyFill="1" applyBorder="1" applyProtection="1">
      <alignment/>
      <protection locked="0"/>
    </xf>
    <xf numFmtId="0" fontId="43" fillId="41" borderId="39" xfId="58" applyFont="1" applyFill="1" applyBorder="1" applyProtection="1">
      <alignment/>
      <protection locked="0"/>
    </xf>
    <xf numFmtId="0" fontId="43" fillId="41" borderId="40" xfId="58" applyFont="1" applyFill="1" applyBorder="1" applyProtection="1">
      <alignment/>
      <protection locked="0"/>
    </xf>
    <xf numFmtId="0" fontId="32" fillId="42" borderId="22" xfId="58" applyFont="1" applyFill="1" applyBorder="1" applyProtection="1">
      <alignment/>
      <protection locked="0"/>
    </xf>
    <xf numFmtId="0" fontId="5" fillId="43" borderId="22" xfId="58" applyFont="1" applyFill="1" applyBorder="1" applyProtection="1">
      <alignment/>
      <protection locked="0"/>
    </xf>
    <xf numFmtId="0" fontId="28" fillId="43" borderId="22" xfId="58" applyFont="1" applyFill="1" applyBorder="1" applyProtection="1">
      <alignment/>
      <protection locked="0"/>
    </xf>
    <xf numFmtId="0" fontId="47" fillId="42" borderId="22" xfId="58" applyFont="1" applyFill="1" applyBorder="1" applyProtection="1">
      <alignment/>
      <protection locked="0"/>
    </xf>
    <xf numFmtId="0" fontId="5" fillId="41" borderId="39" xfId="58" applyFont="1" applyFill="1" applyBorder="1" applyProtection="1">
      <alignment/>
      <protection locked="0"/>
    </xf>
    <xf numFmtId="0" fontId="5" fillId="41" borderId="40" xfId="58" applyFont="1" applyFill="1" applyBorder="1" applyProtection="1">
      <alignment/>
      <protection locked="0"/>
    </xf>
    <xf numFmtId="0" fontId="29" fillId="44" borderId="22" xfId="58" applyFont="1" applyFill="1" applyBorder="1" applyProtection="1">
      <alignment/>
      <protection locked="0"/>
    </xf>
    <xf numFmtId="0" fontId="6" fillId="0" borderId="41" xfId="58" applyFont="1" applyBorder="1" applyAlignment="1" applyProtection="1">
      <alignment horizontal="center"/>
      <protection locked="0"/>
    </xf>
    <xf numFmtId="2" fontId="6" fillId="0" borderId="41" xfId="58" applyNumberFormat="1" applyFont="1" applyBorder="1" applyAlignment="1" applyProtection="1">
      <alignment horizontal="center"/>
      <protection locked="0"/>
    </xf>
    <xf numFmtId="172" fontId="6" fillId="0" borderId="22" xfId="58" applyNumberFormat="1" applyFont="1" applyBorder="1" applyAlignment="1" applyProtection="1">
      <alignment horizontal="center"/>
      <protection locked="0"/>
    </xf>
    <xf numFmtId="22" fontId="6" fillId="0" borderId="22" xfId="58" applyNumberFormat="1" applyFont="1" applyBorder="1" applyAlignment="1" applyProtection="1">
      <alignment horizontal="center"/>
      <protection locked="0"/>
    </xf>
    <xf numFmtId="22" fontId="28" fillId="34" borderId="22" xfId="58" applyNumberFormat="1" applyFont="1" applyFill="1" applyBorder="1" applyAlignment="1" applyProtection="1">
      <alignment horizontal="center"/>
      <protection locked="0"/>
    </xf>
    <xf numFmtId="172" fontId="29" fillId="35" borderId="22" xfId="58" applyNumberFormat="1" applyFont="1" applyFill="1" applyBorder="1" applyAlignment="1" applyProtection="1" quotePrefix="1">
      <alignment horizontal="center"/>
      <protection locked="0"/>
    </xf>
    <xf numFmtId="172" fontId="30" fillId="36" borderId="22" xfId="58" applyNumberFormat="1" applyFont="1" applyFill="1" applyBorder="1" applyAlignment="1" applyProtection="1" quotePrefix="1">
      <alignment horizontal="center"/>
      <protection locked="0"/>
    </xf>
    <xf numFmtId="172" fontId="31" fillId="33" borderId="22" xfId="58" applyNumberFormat="1" applyFont="1" applyFill="1" applyBorder="1" applyAlignment="1" applyProtection="1" quotePrefix="1">
      <alignment horizontal="center"/>
      <protection locked="0"/>
    </xf>
    <xf numFmtId="4" fontId="31" fillId="33" borderId="22" xfId="58" applyNumberFormat="1" applyFont="1" applyFill="1" applyBorder="1" applyAlignment="1" applyProtection="1">
      <alignment horizontal="center"/>
      <protection locked="0"/>
    </xf>
    <xf numFmtId="4" fontId="29" fillId="37" borderId="22" xfId="58" applyNumberFormat="1" applyFont="1" applyFill="1" applyBorder="1" applyAlignment="1" applyProtection="1">
      <alignment horizontal="center"/>
      <protection locked="0"/>
    </xf>
    <xf numFmtId="4" fontId="32" fillId="38" borderId="22" xfId="58" applyNumberFormat="1" applyFont="1" applyFill="1" applyBorder="1" applyAlignment="1" applyProtection="1">
      <alignment horizontal="center"/>
      <protection locked="0"/>
    </xf>
    <xf numFmtId="4" fontId="33" fillId="39" borderId="22" xfId="58" applyNumberFormat="1" applyFont="1" applyFill="1" applyBorder="1" applyAlignment="1" applyProtection="1">
      <alignment horizontal="center"/>
      <protection locked="0"/>
    </xf>
    <xf numFmtId="4" fontId="6" fillId="0" borderId="22" xfId="58" applyNumberFormat="1" applyFont="1" applyBorder="1" applyAlignment="1" applyProtection="1">
      <alignment horizontal="center"/>
      <protection locked="0"/>
    </xf>
    <xf numFmtId="0" fontId="8" fillId="0" borderId="0" xfId="57" applyFont="1">
      <alignment/>
      <protection/>
    </xf>
    <xf numFmtId="0" fontId="9" fillId="0" borderId="0" xfId="57" applyFont="1" applyAlignment="1">
      <alignment horizontal="centerContinuous"/>
      <protection/>
    </xf>
    <xf numFmtId="0" fontId="49" fillId="0" borderId="0" xfId="57" applyFont="1" applyAlignment="1">
      <alignment horizontal="right" vertical="top"/>
      <protection/>
    </xf>
    <xf numFmtId="0" fontId="50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0" fontId="4" fillId="0" borderId="0" xfId="57" applyFont="1" applyFill="1" applyBorder="1" applyAlignment="1" applyProtection="1">
      <alignment horizontal="centerContinuous"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Font="1">
      <alignment/>
      <protection/>
    </xf>
    <xf numFmtId="0" fontId="10" fillId="0" borderId="0" xfId="57" applyFont="1" applyBorder="1">
      <alignment/>
      <protection/>
    </xf>
    <xf numFmtId="0" fontId="51" fillId="0" borderId="0" xfId="57" applyFont="1" applyFill="1" applyBorder="1" applyAlignment="1" applyProtection="1">
      <alignment horizontal="left"/>
      <protection/>
    </xf>
    <xf numFmtId="0" fontId="8" fillId="0" borderId="0" xfId="57" applyFont="1" applyBorder="1">
      <alignment/>
      <protection/>
    </xf>
    <xf numFmtId="0" fontId="15" fillId="0" borderId="0" xfId="57" applyFont="1">
      <alignment/>
      <protection/>
    </xf>
    <xf numFmtId="0" fontId="52" fillId="0" borderId="0" xfId="57" applyFont="1" applyBorder="1" applyAlignment="1">
      <alignment horizontal="centerContinuous"/>
      <protection/>
    </xf>
    <xf numFmtId="0" fontId="53" fillId="0" borderId="0" xfId="57" applyFont="1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12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0" fontId="54" fillId="0" borderId="0" xfId="57" applyFont="1">
      <alignment/>
      <protection/>
    </xf>
    <xf numFmtId="0" fontId="55" fillId="0" borderId="0" xfId="57" applyFont="1" applyBorder="1">
      <alignment/>
      <protection/>
    </xf>
    <xf numFmtId="0" fontId="54" fillId="0" borderId="0" xfId="57" applyFont="1" applyBorder="1">
      <alignment/>
      <protection/>
    </xf>
    <xf numFmtId="0" fontId="56" fillId="0" borderId="12" xfId="57" applyFont="1" applyBorder="1">
      <alignment/>
      <protection/>
    </xf>
    <xf numFmtId="0" fontId="56" fillId="0" borderId="13" xfId="55" applyFont="1" applyBorder="1">
      <alignment/>
      <protection/>
    </xf>
    <xf numFmtId="0" fontId="54" fillId="0" borderId="13" xfId="57" applyFont="1" applyBorder="1">
      <alignment/>
      <protection/>
    </xf>
    <xf numFmtId="0" fontId="54" fillId="0" borderId="14" xfId="57" applyFont="1" applyBorder="1">
      <alignment/>
      <protection/>
    </xf>
    <xf numFmtId="0" fontId="11" fillId="0" borderId="0" xfId="57" applyFont="1">
      <alignment/>
      <protection/>
    </xf>
    <xf numFmtId="0" fontId="13" fillId="0" borderId="10" xfId="57" applyFont="1" applyBorder="1" applyAlignment="1">
      <alignment horizontal="centerContinuous"/>
      <protection/>
    </xf>
    <xf numFmtId="0" fontId="1" fillId="0" borderId="0" xfId="57" applyNumberFormat="1" applyAlignment="1">
      <alignment horizontal="centerContinuous"/>
      <protection/>
    </xf>
    <xf numFmtId="0" fontId="11" fillId="0" borderId="0" xfId="57" applyNumberFormat="1" applyFont="1" applyAlignment="1">
      <alignment horizontal="centerContinuous"/>
      <protection/>
    </xf>
    <xf numFmtId="0" fontId="13" fillId="0" borderId="0" xfId="57" applyFont="1" applyBorder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11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11" fillId="0" borderId="10" xfId="57" applyFont="1" applyBorder="1">
      <alignment/>
      <protection/>
    </xf>
    <xf numFmtId="0" fontId="57" fillId="0" borderId="0" xfId="57" applyNumberFormat="1" applyFont="1" applyBorder="1" applyAlignment="1">
      <alignment horizontal="right"/>
      <protection/>
    </xf>
    <xf numFmtId="0" fontId="13" fillId="0" borderId="0" xfId="57" applyFont="1" applyBorder="1">
      <alignment/>
      <protection/>
    </xf>
    <xf numFmtId="0" fontId="11" fillId="0" borderId="11" xfId="57" applyFont="1" applyBorder="1">
      <alignment/>
      <protection/>
    </xf>
    <xf numFmtId="0" fontId="57" fillId="0" borderId="0" xfId="57" applyNumberFormat="1" applyFont="1" applyBorder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57" fillId="0" borderId="0" xfId="57" applyNumberFormat="1" applyFont="1" applyBorder="1" applyAlignment="1">
      <alignment horizontal="right"/>
      <protection/>
    </xf>
    <xf numFmtId="0" fontId="57" fillId="0" borderId="0" xfId="57" applyNumberFormat="1" applyFont="1" applyBorder="1" applyAlignment="1">
      <alignment/>
      <protection/>
    </xf>
    <xf numFmtId="0" fontId="6" fillId="0" borderId="10" xfId="57" applyFont="1" applyBorder="1">
      <alignment/>
      <protection/>
    </xf>
    <xf numFmtId="0" fontId="3" fillId="0" borderId="0" xfId="57" applyNumberFormat="1" applyFont="1" applyBorder="1" applyAlignment="1">
      <alignment horizontal="right"/>
      <protection/>
    </xf>
    <xf numFmtId="0" fontId="3" fillId="0" borderId="0" xfId="57" applyNumberFormat="1" applyFont="1" applyBorder="1" applyAlignment="1">
      <alignment/>
      <protection/>
    </xf>
    <xf numFmtId="0" fontId="14" fillId="0" borderId="0" xfId="57" applyFont="1" applyBorder="1">
      <alignment/>
      <protection/>
    </xf>
    <xf numFmtId="0" fontId="6" fillId="0" borderId="11" xfId="57" applyFont="1" applyBorder="1">
      <alignment/>
      <protection/>
    </xf>
    <xf numFmtId="0" fontId="57" fillId="0" borderId="0" xfId="57" applyFont="1" applyBorder="1">
      <alignment/>
      <protection/>
    </xf>
    <xf numFmtId="0" fontId="57" fillId="0" borderId="15" xfId="57" applyFont="1" applyBorder="1" applyAlignment="1">
      <alignment horizontal="center"/>
      <protection/>
    </xf>
    <xf numFmtId="7" fontId="57" fillId="0" borderId="16" xfId="57" applyNumberFormat="1" applyFont="1" applyBorder="1" applyAlignment="1">
      <alignment horizontal="center"/>
      <protection/>
    </xf>
    <xf numFmtId="0" fontId="57" fillId="0" borderId="0" xfId="57" applyFont="1" applyBorder="1" applyAlignment="1">
      <alignment horizontal="center"/>
      <protection/>
    </xf>
    <xf numFmtId="7" fontId="57" fillId="0" borderId="0" xfId="57" applyNumberFormat="1" applyFont="1" applyBorder="1" applyAlignment="1">
      <alignment horizontal="center"/>
      <protection/>
    </xf>
    <xf numFmtId="0" fontId="58" fillId="0" borderId="0" xfId="57" applyNumberFormat="1" applyFont="1" applyBorder="1" applyAlignment="1">
      <alignment horizontal="left"/>
      <protection/>
    </xf>
    <xf numFmtId="0" fontId="54" fillId="0" borderId="25" xfId="57" applyFont="1" applyBorder="1">
      <alignment/>
      <protection/>
    </xf>
    <xf numFmtId="0" fontId="54" fillId="0" borderId="26" xfId="57" applyFont="1" applyBorder="1">
      <alignment/>
      <protection/>
    </xf>
    <xf numFmtId="0" fontId="54" fillId="0" borderId="27" xfId="57" applyFont="1" applyBorder="1">
      <alignment/>
      <protection/>
    </xf>
    <xf numFmtId="49" fontId="6" fillId="0" borderId="19" xfId="58" applyNumberFormat="1" applyFont="1" applyFill="1" applyBorder="1" applyAlignment="1" applyProtection="1">
      <alignment horizontal="center"/>
      <protection locked="0"/>
    </xf>
    <xf numFmtId="49" fontId="6" fillId="0" borderId="19" xfId="58" applyNumberFormat="1" applyFont="1" applyFill="1" applyBorder="1" applyProtection="1">
      <alignment/>
      <protection locked="0"/>
    </xf>
    <xf numFmtId="49" fontId="6" fillId="0" borderId="22" xfId="58" applyNumberFormat="1" applyFont="1" applyFill="1" applyBorder="1" applyProtection="1">
      <alignment/>
      <protection locked="0"/>
    </xf>
    <xf numFmtId="49" fontId="6" fillId="0" borderId="30" xfId="58" applyNumberFormat="1" applyFont="1" applyFill="1" applyBorder="1" applyAlignment="1" applyProtection="1">
      <alignment horizontal="center"/>
      <protection locked="0"/>
    </xf>
    <xf numFmtId="7" fontId="57" fillId="0" borderId="0" xfId="57" applyNumberFormat="1" applyFont="1" applyBorder="1">
      <alignment/>
      <protection/>
    </xf>
    <xf numFmtId="0" fontId="1" fillId="0" borderId="0" xfId="0" applyFont="1" applyFill="1" applyAlignment="1">
      <alignment/>
    </xf>
    <xf numFmtId="0" fontId="16" fillId="0" borderId="0" xfId="56" applyFont="1" applyBorder="1">
      <alignment/>
      <protection/>
    </xf>
    <xf numFmtId="178" fontId="6" fillId="0" borderId="19" xfId="58" applyNumberFormat="1" applyFont="1" applyFill="1" applyBorder="1" applyProtection="1">
      <alignment/>
      <protection locked="0"/>
    </xf>
    <xf numFmtId="178" fontId="6" fillId="0" borderId="21" xfId="58" applyNumberFormat="1" applyFont="1" applyBorder="1" applyAlignment="1" applyProtection="1" quotePrefix="1">
      <alignment horizontal="center"/>
      <protection locked="0"/>
    </xf>
    <xf numFmtId="7" fontId="2" fillId="0" borderId="42" xfId="58" applyNumberFormat="1" applyFont="1" applyFill="1" applyBorder="1" applyAlignment="1" applyProtection="1">
      <alignment horizontal="right"/>
      <protection locked="0"/>
    </xf>
    <xf numFmtId="0" fontId="6" fillId="0" borderId="43" xfId="58" applyFont="1" applyFill="1" applyBorder="1" applyAlignment="1" applyProtection="1">
      <alignment horizontal="center"/>
      <protection locked="0"/>
    </xf>
    <xf numFmtId="172" fontId="42" fillId="33" borderId="21" xfId="58" applyNumberFormat="1" applyFont="1" applyFill="1" applyBorder="1" applyAlignment="1" applyProtection="1">
      <alignment horizontal="center"/>
      <protection locked="0"/>
    </xf>
    <xf numFmtId="8" fontId="2" fillId="0" borderId="17" xfId="58" applyNumberFormat="1" applyFont="1" applyBorder="1" applyAlignment="1" applyProtection="1">
      <alignment horizontal="right"/>
      <protection/>
    </xf>
    <xf numFmtId="7" fontId="2" fillId="0" borderId="17" xfId="58" applyNumberFormat="1" applyFont="1" applyFill="1" applyBorder="1" applyAlignment="1" applyProtection="1">
      <alignment horizontal="right"/>
      <protection/>
    </xf>
    <xf numFmtId="7" fontId="2" fillId="0" borderId="17" xfId="58" applyNumberFormat="1" applyFont="1" applyFill="1" applyBorder="1" applyAlignment="1" applyProtection="1">
      <alignment horizontal="right"/>
      <protection/>
    </xf>
    <xf numFmtId="0" fontId="6" fillId="0" borderId="28" xfId="58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1" fillId="33" borderId="4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 quotePrefix="1">
      <alignment/>
    </xf>
    <xf numFmtId="0" fontId="61" fillId="33" borderId="44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1" fillId="0" borderId="44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24" fillId="0" borderId="44" xfId="0" applyFont="1" applyBorder="1" applyAlignment="1">
      <alignment/>
    </xf>
    <xf numFmtId="0" fontId="24" fillId="0" borderId="44" xfId="0" applyFont="1" applyFill="1" applyBorder="1" applyAlignment="1">
      <alignment/>
    </xf>
    <xf numFmtId="0" fontId="24" fillId="0" borderId="45" xfId="0" applyFont="1" applyBorder="1" applyAlignment="1">
      <alignment/>
    </xf>
    <xf numFmtId="0" fontId="62" fillId="0" borderId="44" xfId="0" applyFont="1" applyFill="1" applyBorder="1" applyAlignment="1">
      <alignment/>
    </xf>
    <xf numFmtId="0" fontId="62" fillId="0" borderId="45" xfId="0" applyFont="1" applyFill="1" applyBorder="1" applyAlignment="1">
      <alignment/>
    </xf>
    <xf numFmtId="0" fontId="28" fillId="0" borderId="0" xfId="58" applyFont="1" applyBorder="1">
      <alignment/>
      <protection/>
    </xf>
    <xf numFmtId="0" fontId="28" fillId="0" borderId="0" xfId="58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177" fontId="6" fillId="0" borderId="33" xfId="0" applyNumberFormat="1" applyFont="1" applyBorder="1" applyAlignment="1" applyProtection="1" quotePrefix="1">
      <alignment horizontal="center"/>
      <protection/>
    </xf>
    <xf numFmtId="22" fontId="6" fillId="0" borderId="20" xfId="58" applyNumberFormat="1" applyFont="1" applyFill="1" applyBorder="1" applyAlignment="1" applyProtection="1">
      <alignment horizontal="center"/>
      <protection locked="0"/>
    </xf>
    <xf numFmtId="22" fontId="6" fillId="0" borderId="20" xfId="58" applyNumberFormat="1" applyFont="1" applyFill="1" applyBorder="1" applyProtection="1">
      <alignment/>
      <protection locked="0"/>
    </xf>
    <xf numFmtId="22" fontId="6" fillId="0" borderId="21" xfId="58" applyNumberFormat="1" applyFont="1" applyFill="1" applyBorder="1" applyAlignment="1" applyProtection="1">
      <alignment horizontal="center"/>
      <protection locked="0"/>
    </xf>
    <xf numFmtId="22" fontId="6" fillId="0" borderId="34" xfId="58" applyNumberFormat="1" applyFont="1" applyFill="1" applyBorder="1" applyAlignment="1" applyProtection="1">
      <alignment horizontal="center"/>
      <protection locked="0"/>
    </xf>
    <xf numFmtId="169" fontId="6" fillId="0" borderId="21" xfId="58" applyNumberFormat="1" applyFont="1" applyBorder="1" applyAlignment="1" applyProtection="1">
      <alignment horizontal="center"/>
      <protection locked="0"/>
    </xf>
    <xf numFmtId="2" fontId="6" fillId="0" borderId="22" xfId="58" applyNumberFormat="1" applyFont="1" applyBorder="1" applyAlignment="1" applyProtection="1">
      <alignment horizontal="center"/>
      <protection locked="0"/>
    </xf>
    <xf numFmtId="7" fontId="34" fillId="0" borderId="35" xfId="58" applyNumberFormat="1" applyFont="1" applyBorder="1" applyAlignment="1">
      <alignment horizontal="center"/>
      <protection/>
    </xf>
    <xf numFmtId="172" fontId="27" fillId="33" borderId="21" xfId="58" applyNumberFormat="1" applyFont="1" applyFill="1" applyBorder="1" applyAlignment="1" applyProtection="1">
      <alignment horizontal="center"/>
      <protection locked="0"/>
    </xf>
    <xf numFmtId="2" fontId="6" fillId="0" borderId="21" xfId="58" applyNumberFormat="1" applyFont="1" applyBorder="1" applyAlignment="1" applyProtection="1">
      <alignment horizontal="center"/>
      <protection/>
    </xf>
    <xf numFmtId="1" fontId="6" fillId="0" borderId="21" xfId="58" applyNumberFormat="1" applyFont="1" applyBorder="1" applyAlignment="1" applyProtection="1">
      <alignment horizontal="center"/>
      <protection/>
    </xf>
    <xf numFmtId="22" fontId="6" fillId="0" borderId="21" xfId="58" applyNumberFormat="1" applyFont="1" applyBorder="1" applyAlignment="1" applyProtection="1">
      <alignment horizontal="center"/>
      <protection locked="0"/>
    </xf>
    <xf numFmtId="172" fontId="6" fillId="0" borderId="21" xfId="0" applyNumberFormat="1" applyFont="1" applyBorder="1" applyAlignment="1" applyProtection="1">
      <alignment horizontal="center"/>
      <protection/>
    </xf>
    <xf numFmtId="172" fontId="28" fillId="34" borderId="21" xfId="58" applyNumberFormat="1" applyFont="1" applyFill="1" applyBorder="1" applyAlignment="1" applyProtection="1" quotePrefix="1">
      <alignment horizontal="center"/>
      <protection locked="0"/>
    </xf>
    <xf numFmtId="2" fontId="29" fillId="35" borderId="21" xfId="58" applyNumberFormat="1" applyFont="1" applyFill="1" applyBorder="1" applyAlignment="1" applyProtection="1">
      <alignment horizontal="center"/>
      <protection locked="0"/>
    </xf>
    <xf numFmtId="2" fontId="30" fillId="36" borderId="21" xfId="58" applyNumberFormat="1" applyFont="1" applyFill="1" applyBorder="1" applyAlignment="1" applyProtection="1">
      <alignment horizontal="center"/>
      <protection locked="0"/>
    </xf>
    <xf numFmtId="172" fontId="31" fillId="33" borderId="21" xfId="58" applyNumberFormat="1" applyFont="1" applyFill="1" applyBorder="1" applyAlignment="1" applyProtection="1" quotePrefix="1">
      <alignment horizontal="center"/>
      <protection locked="0"/>
    </xf>
    <xf numFmtId="4" fontId="31" fillId="33" borderId="21" xfId="58" applyNumberFormat="1" applyFont="1" applyFill="1" applyBorder="1" applyAlignment="1" applyProtection="1">
      <alignment horizontal="center"/>
      <protection locked="0"/>
    </xf>
    <xf numFmtId="172" fontId="29" fillId="37" borderId="21" xfId="58" applyNumberFormat="1" applyFont="1" applyFill="1" applyBorder="1" applyAlignment="1" applyProtection="1" quotePrefix="1">
      <alignment horizontal="center"/>
      <protection locked="0"/>
    </xf>
    <xf numFmtId="4" fontId="29" fillId="37" borderId="21" xfId="58" applyNumberFormat="1" applyFont="1" applyFill="1" applyBorder="1" applyAlignment="1" applyProtection="1">
      <alignment horizontal="center"/>
      <protection locked="0"/>
    </xf>
    <xf numFmtId="4" fontId="32" fillId="38" borderId="21" xfId="58" applyNumberFormat="1" applyFont="1" applyFill="1" applyBorder="1" applyAlignment="1" applyProtection="1">
      <alignment horizontal="center"/>
      <protection locked="0"/>
    </xf>
    <xf numFmtId="4" fontId="33" fillId="39" borderId="21" xfId="58" applyNumberFormat="1" applyFont="1" applyFill="1" applyBorder="1" applyAlignment="1" applyProtection="1">
      <alignment horizontal="center"/>
      <protection locked="0"/>
    </xf>
    <xf numFmtId="4" fontId="6" fillId="0" borderId="46" xfId="0" applyNumberFormat="1" applyFont="1" applyBorder="1" applyAlignment="1" applyProtection="1">
      <alignment horizontal="center"/>
      <protection/>
    </xf>
    <xf numFmtId="4" fontId="34" fillId="0" borderId="21" xfId="58" applyNumberFormat="1" applyFont="1" applyBorder="1" applyAlignment="1">
      <alignment horizontal="right"/>
      <protection/>
    </xf>
    <xf numFmtId="0" fontId="6" fillId="0" borderId="21" xfId="58" applyNumberFormat="1" applyFont="1" applyBorder="1" applyAlignment="1" applyProtection="1">
      <alignment horizontal="center"/>
      <protection locked="0"/>
    </xf>
    <xf numFmtId="0" fontId="63" fillId="0" borderId="0" xfId="58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EDN-EDS-ELP-SGE" xfId="55"/>
    <cellStyle name="Normal_F0407NER" xfId="56"/>
    <cellStyle name="Normal_PAFTT Anexo 28" xfId="57"/>
    <cellStyle name="Normal_TRANSB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0</xdr:col>
      <xdr:colOff>1152525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1009650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1076325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1000125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981075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1019175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1047750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1066800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1000125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1038225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0</xdr:col>
      <xdr:colOff>1000125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oyola\AppData\AA%20PROCESO%20AUT\EXCEL\DISTROCUYO\FABIAN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1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25.7109375" style="351" customWidth="1"/>
    <col min="2" max="2" width="7.7109375" style="351" customWidth="1"/>
    <col min="3" max="3" width="10.8515625" style="351" customWidth="1"/>
    <col min="4" max="4" width="6.7109375" style="351" customWidth="1"/>
    <col min="5" max="5" width="17.8515625" style="351" customWidth="1"/>
    <col min="6" max="7" width="16.7109375" style="351" customWidth="1"/>
    <col min="8" max="8" width="6.28125" style="351" customWidth="1"/>
    <col min="9" max="9" width="19.8515625" style="351" customWidth="1"/>
    <col min="10" max="10" width="14.28125" style="351" customWidth="1"/>
    <col min="11" max="11" width="15.7109375" style="351" customWidth="1"/>
    <col min="12" max="16384" width="11.421875" style="351" customWidth="1"/>
  </cols>
  <sheetData>
    <row r="1" spans="2:11" s="346" customFormat="1" ht="26.25">
      <c r="B1" s="347"/>
      <c r="K1" s="348"/>
    </row>
    <row r="2" spans="2:10" s="346" customFormat="1" ht="26.25">
      <c r="B2" s="347" t="s">
        <v>332</v>
      </c>
      <c r="C2" s="349"/>
      <c r="D2" s="350"/>
      <c r="E2" s="350"/>
      <c r="F2" s="350"/>
      <c r="G2" s="350"/>
      <c r="H2" s="350"/>
      <c r="I2" s="350"/>
      <c r="J2" s="350"/>
    </row>
    <row r="3" spans="3:10" ht="12.75">
      <c r="C3" s="352"/>
      <c r="D3" s="353"/>
      <c r="E3" s="353"/>
      <c r="F3" s="353"/>
      <c r="G3" s="353"/>
      <c r="H3" s="353"/>
      <c r="I3" s="353"/>
      <c r="J3" s="353"/>
    </row>
    <row r="4" spans="1:11" s="356" customFormat="1" ht="11.25">
      <c r="A4" s="354" t="s">
        <v>3</v>
      </c>
      <c r="B4" s="355"/>
      <c r="D4" s="357"/>
      <c r="E4" s="357"/>
      <c r="F4" s="357"/>
      <c r="G4" s="357"/>
      <c r="H4" s="357"/>
      <c r="I4" s="357"/>
      <c r="J4" s="357"/>
      <c r="K4" s="357"/>
    </row>
    <row r="5" spans="1:11" s="356" customFormat="1" ht="11.25">
      <c r="A5" s="354" t="s">
        <v>4</v>
      </c>
      <c r="B5" s="355"/>
      <c r="D5" s="357"/>
      <c r="E5" s="357"/>
      <c r="F5" s="357"/>
      <c r="G5" s="357"/>
      <c r="H5" s="357"/>
      <c r="I5" s="357"/>
      <c r="J5" s="357"/>
      <c r="K5" s="357"/>
    </row>
    <row r="6" spans="2:11" s="346" customFormat="1" ht="11.25" customHeight="1">
      <c r="B6" s="358"/>
      <c r="D6" s="359"/>
      <c r="E6" s="359"/>
      <c r="F6" s="359"/>
      <c r="G6" s="359"/>
      <c r="H6" s="359"/>
      <c r="I6" s="359"/>
      <c r="J6" s="359"/>
      <c r="K6" s="359"/>
    </row>
    <row r="7" spans="2:11" s="360" customFormat="1" ht="20.25">
      <c r="B7" s="361" t="s">
        <v>68</v>
      </c>
      <c r="C7" s="362"/>
      <c r="D7" s="363"/>
      <c r="E7" s="363"/>
      <c r="F7" s="363"/>
      <c r="G7" s="364"/>
      <c r="H7" s="364"/>
      <c r="I7" s="364"/>
      <c r="J7" s="364"/>
      <c r="K7" s="365"/>
    </row>
    <row r="8" spans="9:11" ht="12.75">
      <c r="I8" s="366"/>
      <c r="J8" s="366"/>
      <c r="K8" s="366"/>
    </row>
    <row r="9" spans="2:11" s="360" customFormat="1" ht="20.25">
      <c r="B9" s="361" t="s">
        <v>0</v>
      </c>
      <c r="C9" s="362"/>
      <c r="D9" s="363"/>
      <c r="E9" s="363"/>
      <c r="F9" s="363"/>
      <c r="G9" s="363"/>
      <c r="H9" s="363"/>
      <c r="I9" s="364"/>
      <c r="J9" s="364"/>
      <c r="K9" s="365"/>
    </row>
    <row r="10" spans="4:11" ht="12.75">
      <c r="D10" s="367"/>
      <c r="E10" s="367"/>
      <c r="F10" s="367"/>
      <c r="I10" s="366"/>
      <c r="J10" s="366"/>
      <c r="K10" s="366"/>
    </row>
    <row r="11" spans="2:11" s="360" customFormat="1" ht="20.25">
      <c r="B11" s="361" t="s">
        <v>322</v>
      </c>
      <c r="C11" s="368"/>
      <c r="D11" s="368"/>
      <c r="E11" s="368"/>
      <c r="F11" s="368"/>
      <c r="G11" s="363"/>
      <c r="H11" s="363"/>
      <c r="I11" s="364"/>
      <c r="J11" s="364"/>
      <c r="K11" s="365"/>
    </row>
    <row r="12" spans="4:11" s="369" customFormat="1" ht="16.5" thickBot="1">
      <c r="D12" s="370"/>
      <c r="E12" s="370"/>
      <c r="F12" s="370"/>
      <c r="I12" s="371"/>
      <c r="J12" s="371"/>
      <c r="K12" s="371"/>
    </row>
    <row r="13" spans="2:11" s="369" customFormat="1" ht="16.5" thickTop="1">
      <c r="B13" s="372">
        <v>1</v>
      </c>
      <c r="C13" s="373" t="b">
        <v>0</v>
      </c>
      <c r="D13" s="374"/>
      <c r="E13" s="374"/>
      <c r="F13" s="374"/>
      <c r="G13" s="374"/>
      <c r="H13" s="374"/>
      <c r="I13" s="374"/>
      <c r="J13" s="375"/>
      <c r="K13" s="371"/>
    </row>
    <row r="14" spans="2:11" s="376" customFormat="1" ht="19.5">
      <c r="B14" s="377" t="s">
        <v>141</v>
      </c>
      <c r="C14" s="378"/>
      <c r="D14" s="379"/>
      <c r="E14" s="380"/>
      <c r="F14" s="380"/>
      <c r="G14" s="380"/>
      <c r="H14" s="380"/>
      <c r="I14" s="381"/>
      <c r="J14" s="382"/>
      <c r="K14" s="383"/>
    </row>
    <row r="15" spans="2:11" s="376" customFormat="1" ht="19.5" hidden="1">
      <c r="B15" s="384"/>
      <c r="C15" s="385"/>
      <c r="D15" s="385"/>
      <c r="E15" s="383"/>
      <c r="F15" s="383"/>
      <c r="G15" s="386"/>
      <c r="H15" s="386"/>
      <c r="I15" s="383"/>
      <c r="J15" s="387"/>
      <c r="K15" s="383"/>
    </row>
    <row r="16" spans="2:11" s="376" customFormat="1" ht="19.5" hidden="1">
      <c r="B16" s="377" t="s">
        <v>69</v>
      </c>
      <c r="C16" s="388"/>
      <c r="D16" s="388"/>
      <c r="E16" s="381"/>
      <c r="F16" s="380"/>
      <c r="G16" s="380"/>
      <c r="H16" s="381"/>
      <c r="I16" s="389"/>
      <c r="J16" s="382"/>
      <c r="K16" s="383"/>
    </row>
    <row r="17" spans="2:11" s="376" customFormat="1" ht="19.5">
      <c r="B17" s="384"/>
      <c r="C17" s="385"/>
      <c r="D17" s="385"/>
      <c r="E17" s="383"/>
      <c r="F17" s="386"/>
      <c r="G17" s="386"/>
      <c r="H17" s="383"/>
      <c r="I17" s="352"/>
      <c r="J17" s="387"/>
      <c r="K17" s="383"/>
    </row>
    <row r="18" spans="2:11" s="376" customFormat="1" ht="19.5">
      <c r="B18" s="384"/>
      <c r="C18" s="390" t="s">
        <v>70</v>
      </c>
      <c r="D18" s="391" t="s">
        <v>1</v>
      </c>
      <c r="E18" s="383"/>
      <c r="F18" s="383"/>
      <c r="G18" s="386"/>
      <c r="I18" s="410">
        <f>'LI-08 (4)'!AC42</f>
        <v>381460.11</v>
      </c>
      <c r="J18" s="387"/>
      <c r="K18" s="383"/>
    </row>
    <row r="19" spans="2:11" ht="18.75">
      <c r="B19" s="392"/>
      <c r="C19" s="393"/>
      <c r="D19" s="394"/>
      <c r="E19" s="366"/>
      <c r="F19" s="366"/>
      <c r="G19" s="395"/>
      <c r="H19" s="395"/>
      <c r="I19" s="410"/>
      <c r="J19" s="396"/>
      <c r="K19" s="366"/>
    </row>
    <row r="20" spans="2:11" s="376" customFormat="1" ht="19.5">
      <c r="B20" s="384"/>
      <c r="C20" s="390" t="s">
        <v>71</v>
      </c>
      <c r="D20" s="391" t="s">
        <v>72</v>
      </c>
      <c r="E20" s="383"/>
      <c r="F20" s="383"/>
      <c r="G20" s="386"/>
      <c r="H20" s="386"/>
      <c r="I20" s="410"/>
      <c r="J20" s="387"/>
      <c r="K20" s="383"/>
    </row>
    <row r="21" spans="2:11" ht="18.75">
      <c r="B21" s="392"/>
      <c r="C21" s="393"/>
      <c r="D21" s="393"/>
      <c r="E21" s="366"/>
      <c r="F21" s="366"/>
      <c r="G21" s="395"/>
      <c r="H21" s="395"/>
      <c r="I21" s="410"/>
      <c r="J21" s="396"/>
      <c r="K21" s="366"/>
    </row>
    <row r="22" spans="2:11" s="376" customFormat="1" ht="19.5">
      <c r="B22" s="384"/>
      <c r="C22" s="390"/>
      <c r="D22" s="390" t="s">
        <v>73</v>
      </c>
      <c r="E22" s="397" t="s">
        <v>74</v>
      </c>
      <c r="F22" s="397"/>
      <c r="G22" s="386"/>
      <c r="I22" s="410">
        <f>'T-08 (4)'!AC43</f>
        <v>21263.59</v>
      </c>
      <c r="J22" s="387"/>
      <c r="K22" s="383"/>
    </row>
    <row r="23" spans="2:11" ht="18.75">
      <c r="B23" s="392"/>
      <c r="C23" s="393"/>
      <c r="D23" s="393"/>
      <c r="E23" s="366"/>
      <c r="F23" s="366"/>
      <c r="G23" s="395"/>
      <c r="H23" s="395"/>
      <c r="I23" s="410"/>
      <c r="J23" s="396"/>
      <c r="K23" s="366"/>
    </row>
    <row r="24" spans="2:11" s="376" customFormat="1" ht="19.5">
      <c r="B24" s="384"/>
      <c r="C24" s="390"/>
      <c r="D24" s="390" t="s">
        <v>75</v>
      </c>
      <c r="E24" s="397" t="s">
        <v>76</v>
      </c>
      <c r="F24" s="397"/>
      <c r="G24" s="386"/>
      <c r="H24" s="386"/>
      <c r="I24" s="410">
        <f>'SA-08 (5)'!V43</f>
        <v>45937.59</v>
      </c>
      <c r="J24" s="387"/>
      <c r="K24" s="383"/>
    </row>
    <row r="25" spans="2:11" s="376" customFormat="1" ht="19.5">
      <c r="B25" s="384"/>
      <c r="C25" s="385"/>
      <c r="D25" s="385"/>
      <c r="E25" s="397"/>
      <c r="F25" s="397"/>
      <c r="G25" s="386"/>
      <c r="H25" s="386"/>
      <c r="I25" s="410"/>
      <c r="J25" s="387"/>
      <c r="K25" s="383"/>
    </row>
    <row r="26" spans="2:11" s="376" customFormat="1" ht="19.5">
      <c r="B26" s="384"/>
      <c r="C26" s="390" t="s">
        <v>81</v>
      </c>
      <c r="D26" s="391" t="s">
        <v>82</v>
      </c>
      <c r="E26" s="383"/>
      <c r="F26" s="383"/>
      <c r="G26" s="386"/>
      <c r="H26" s="386"/>
      <c r="I26" s="410">
        <f>'RE-08 (1)'!AD43</f>
        <v>263.74</v>
      </c>
      <c r="J26" s="387"/>
      <c r="K26" s="383"/>
    </row>
    <row r="27" spans="2:11" s="376" customFormat="1" ht="20.25" thickBot="1">
      <c r="B27" s="384"/>
      <c r="C27" s="385"/>
      <c r="D27" s="385"/>
      <c r="E27" s="383"/>
      <c r="F27" s="383"/>
      <c r="G27" s="386"/>
      <c r="H27" s="386"/>
      <c r="I27" s="383"/>
      <c r="J27" s="387"/>
      <c r="K27" s="383"/>
    </row>
    <row r="28" spans="2:11" s="376" customFormat="1" ht="20.25" thickBot="1" thickTop="1">
      <c r="B28" s="384"/>
      <c r="C28" s="390"/>
      <c r="D28" s="390"/>
      <c r="E28" s="352"/>
      <c r="F28" s="398" t="s">
        <v>77</v>
      </c>
      <c r="G28" s="399">
        <f>ROUND(SUM(I18:I26),2)</f>
        <v>448925.03</v>
      </c>
      <c r="H28" s="352"/>
      <c r="J28" s="387"/>
      <c r="K28" s="383"/>
    </row>
    <row r="29" spans="2:11" s="376" customFormat="1" ht="9" customHeight="1" thickTop="1">
      <c r="B29" s="384"/>
      <c r="C29" s="390"/>
      <c r="D29" s="390"/>
      <c r="E29" s="352"/>
      <c r="F29" s="400"/>
      <c r="G29" s="401"/>
      <c r="H29" s="352"/>
      <c r="J29" s="387"/>
      <c r="K29" s="383"/>
    </row>
    <row r="30" spans="2:11" s="376" customFormat="1" ht="18.75">
      <c r="B30" s="384"/>
      <c r="C30" s="402" t="s">
        <v>323</v>
      </c>
      <c r="D30" s="390"/>
      <c r="E30" s="352"/>
      <c r="F30" s="400"/>
      <c r="G30" s="401"/>
      <c r="H30" s="352"/>
      <c r="J30" s="387"/>
      <c r="K30" s="383"/>
    </row>
    <row r="31" spans="2:11" s="369" customFormat="1" ht="9" customHeight="1" thickBot="1">
      <c r="B31" s="403"/>
      <c r="C31" s="404"/>
      <c r="D31" s="404"/>
      <c r="E31" s="404"/>
      <c r="F31" s="404"/>
      <c r="G31" s="404"/>
      <c r="H31" s="404"/>
      <c r="I31" s="404"/>
      <c r="J31" s="405"/>
      <c r="K31" s="371"/>
    </row>
    <row r="32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W46"/>
  <sheetViews>
    <sheetView zoomScale="80" zoomScaleNormal="80" zoomScalePageLayoutView="0" workbookViewId="0" topLeftCell="A1">
      <selection activeCell="G14" sqref="G14:G17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28125" style="5" customWidth="1"/>
    <col min="11" max="11" width="16.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'TOT-0815'!B14</f>
        <v>Desde el 01 al 31 de agosto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31.907</v>
      </c>
      <c r="H14" s="267">
        <f>60*'TOT-0815'!B13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15.955</v>
      </c>
      <c r="H15" s="267">
        <f>50*'TOT-0815'!B13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11.964</v>
      </c>
      <c r="H16" s="271">
        <f>50*'TOT-0815'!B13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11.964</v>
      </c>
      <c r="H17" s="276">
        <f>40*'TOT-0815'!B13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14"/>
    </row>
    <row r="19" spans="2:23" s="277" customFormat="1" ht="34.5" customHeight="1" thickBot="1" thickTop="1">
      <c r="B19" s="278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1"/>
      <c r="E20" s="421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/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49"/>
      <c r="K21" s="450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143</v>
      </c>
      <c r="D22" s="209">
        <v>290936</v>
      </c>
      <c r="E22" s="209">
        <v>2563</v>
      </c>
      <c r="F22" s="293" t="s">
        <v>222</v>
      </c>
      <c r="G22" s="293" t="s">
        <v>223</v>
      </c>
      <c r="H22" s="294">
        <v>13.199999809265137</v>
      </c>
      <c r="I22" s="295">
        <f aca="true" t="shared" si="0" ref="I22:I40">IF(H22=220,$G$14,IF(AND(H22&lt;=132,H22&gt;=66),$G$15,IF(AND(H22&lt;66,H22&gt;=33),$G$16,$G$17)))</f>
        <v>11.964</v>
      </c>
      <c r="J22" s="449">
        <v>42220.345138888886</v>
      </c>
      <c r="K22" s="450">
        <v>42220.64097222222</v>
      </c>
      <c r="L22" s="225">
        <f aca="true" t="shared" si="1" ref="L22:L40">IF(F22="","",(K22-J22)*24)</f>
        <v>7.100000000093132</v>
      </c>
      <c r="M22" s="296">
        <f aca="true" t="shared" si="2" ref="M22:M40">IF(F22="","",ROUND((K22-J22)*24*60,0))</f>
        <v>426</v>
      </c>
      <c r="N22" s="227" t="s">
        <v>144</v>
      </c>
      <c r="O22" s="443" t="str">
        <f aca="true" t="shared" si="3" ref="O22:O40">IF(F22="","",IF(OR(N22="P",N22="RP"),"--","NO"))</f>
        <v>--</v>
      </c>
      <c r="P22" s="297">
        <f aca="true" t="shared" si="4" ref="P22:P40">IF(H22=220,$H$14,IF(AND(H22&lt;=132,H22&gt;=66),$H$15,IF(AND(H22&lt;66,H22&gt;13.2),$H$16,$H$17)))</f>
        <v>40</v>
      </c>
      <c r="Q22" s="298">
        <f aca="true" t="shared" si="5" ref="Q22:Q40">IF(N22="P",I22*P22*ROUND(M22/60,2)*0.1,"--")</f>
        <v>339.7776</v>
      </c>
      <c r="R22" s="299" t="str">
        <f aca="true" t="shared" si="6" ref="R22:R40">IF(AND(N22="F",O22="NO"),I22*P22,"--")</f>
        <v>--</v>
      </c>
      <c r="S22" s="300" t="str">
        <f aca="true" t="shared" si="7" ref="S22:S40">IF(N22="F",I22*P22*ROUND(M22/60,2),"--")</f>
        <v>--</v>
      </c>
      <c r="T22" s="301" t="str">
        <f aca="true" t="shared" si="8" ref="T22:T40">IF(N22="RF",I22*P22*ROUND(M22/60,2),"--")</f>
        <v>--</v>
      </c>
      <c r="U22" s="444" t="s">
        <v>145</v>
      </c>
      <c r="V22" s="305">
        <f aca="true" t="shared" si="9" ref="V22:V40">IF(F22="","",SUM(Q22:T22)*IF(U22="SI",1,2)*IF(H22="500/220",0,1))</f>
        <v>339.7776</v>
      </c>
      <c r="W22" s="238"/>
    </row>
    <row r="23" spans="2:23" s="1" customFormat="1" ht="16.5" customHeight="1">
      <c r="B23" s="13"/>
      <c r="C23" s="210">
        <v>144</v>
      </c>
      <c r="D23" s="209">
        <v>290937</v>
      </c>
      <c r="E23" s="209">
        <v>2559</v>
      </c>
      <c r="F23" s="293" t="s">
        <v>222</v>
      </c>
      <c r="G23" s="293" t="s">
        <v>224</v>
      </c>
      <c r="H23" s="294">
        <v>33</v>
      </c>
      <c r="I23" s="295">
        <f t="shared" si="0"/>
        <v>11.964</v>
      </c>
      <c r="J23" s="449">
        <v>42220.35625</v>
      </c>
      <c r="K23" s="450">
        <v>42220.62986111111</v>
      </c>
      <c r="L23" s="225">
        <f t="shared" si="1"/>
        <v>6.56666666676756</v>
      </c>
      <c r="M23" s="296">
        <f t="shared" si="2"/>
        <v>394</v>
      </c>
      <c r="N23" s="227" t="s">
        <v>144</v>
      </c>
      <c r="O23" s="443" t="str">
        <f t="shared" si="3"/>
        <v>--</v>
      </c>
      <c r="P23" s="297">
        <f t="shared" si="4"/>
        <v>50</v>
      </c>
      <c r="Q23" s="298">
        <f t="shared" si="5"/>
        <v>393.01740000000007</v>
      </c>
      <c r="R23" s="299" t="str">
        <f t="shared" si="6"/>
        <v>--</v>
      </c>
      <c r="S23" s="300" t="str">
        <f t="shared" si="7"/>
        <v>--</v>
      </c>
      <c r="T23" s="301" t="str">
        <f t="shared" si="8"/>
        <v>--</v>
      </c>
      <c r="U23" s="444" t="s">
        <v>145</v>
      </c>
      <c r="V23" s="305">
        <f t="shared" si="9"/>
        <v>393.01740000000007</v>
      </c>
      <c r="W23" s="238"/>
    </row>
    <row r="24" spans="2:23" s="1" customFormat="1" ht="16.5" customHeight="1">
      <c r="B24" s="13"/>
      <c r="C24" s="210">
        <v>145</v>
      </c>
      <c r="D24" s="209">
        <v>290941</v>
      </c>
      <c r="E24" s="209">
        <v>2664</v>
      </c>
      <c r="F24" s="293" t="s">
        <v>205</v>
      </c>
      <c r="G24" s="293" t="s">
        <v>225</v>
      </c>
      <c r="H24" s="294">
        <v>33</v>
      </c>
      <c r="I24" s="295">
        <f t="shared" si="0"/>
        <v>11.964</v>
      </c>
      <c r="J24" s="449">
        <v>42220.38125</v>
      </c>
      <c r="K24" s="450">
        <v>42220.63888888889</v>
      </c>
      <c r="L24" s="225">
        <f t="shared" si="1"/>
        <v>6.183333333407063</v>
      </c>
      <c r="M24" s="296">
        <f t="shared" si="2"/>
        <v>371</v>
      </c>
      <c r="N24" s="227" t="s">
        <v>144</v>
      </c>
      <c r="O24" s="443" t="str">
        <f t="shared" si="3"/>
        <v>--</v>
      </c>
      <c r="P24" s="297">
        <f t="shared" si="4"/>
        <v>50</v>
      </c>
      <c r="Q24" s="298">
        <f t="shared" si="5"/>
        <v>369.68760000000003</v>
      </c>
      <c r="R24" s="299" t="str">
        <f t="shared" si="6"/>
        <v>--</v>
      </c>
      <c r="S24" s="300" t="str">
        <f t="shared" si="7"/>
        <v>--</v>
      </c>
      <c r="T24" s="301" t="str">
        <f t="shared" si="8"/>
        <v>--</v>
      </c>
      <c r="U24" s="444" t="s">
        <v>145</v>
      </c>
      <c r="V24" s="305">
        <f t="shared" si="9"/>
        <v>369.68760000000003</v>
      </c>
      <c r="W24" s="238"/>
    </row>
    <row r="25" spans="2:23" s="1" customFormat="1" ht="16.5" customHeight="1">
      <c r="B25" s="13"/>
      <c r="C25" s="210">
        <v>146</v>
      </c>
      <c r="D25" s="209">
        <v>290945</v>
      </c>
      <c r="E25" s="209">
        <v>2446</v>
      </c>
      <c r="F25" s="293" t="s">
        <v>189</v>
      </c>
      <c r="G25" s="293" t="s">
        <v>226</v>
      </c>
      <c r="H25" s="294">
        <v>13.199999809265137</v>
      </c>
      <c r="I25" s="295">
        <f t="shared" si="0"/>
        <v>11.964</v>
      </c>
      <c r="J25" s="449">
        <v>42220.45694444444</v>
      </c>
      <c r="K25" s="450">
        <v>42220.697916666664</v>
      </c>
      <c r="L25" s="225">
        <f t="shared" si="1"/>
        <v>5.783333333325572</v>
      </c>
      <c r="M25" s="296">
        <f t="shared" si="2"/>
        <v>347</v>
      </c>
      <c r="N25" s="227" t="s">
        <v>144</v>
      </c>
      <c r="O25" s="443" t="str">
        <f t="shared" si="3"/>
        <v>--</v>
      </c>
      <c r="P25" s="297">
        <f t="shared" si="4"/>
        <v>40</v>
      </c>
      <c r="Q25" s="298">
        <f t="shared" si="5"/>
        <v>276.60768</v>
      </c>
      <c r="R25" s="299" t="str">
        <f t="shared" si="6"/>
        <v>--</v>
      </c>
      <c r="S25" s="300" t="str">
        <f t="shared" si="7"/>
        <v>--</v>
      </c>
      <c r="T25" s="301" t="str">
        <f t="shared" si="8"/>
        <v>--</v>
      </c>
      <c r="U25" s="444" t="s">
        <v>145</v>
      </c>
      <c r="V25" s="305">
        <f t="shared" si="9"/>
        <v>276.60768</v>
      </c>
      <c r="W25" s="238"/>
    </row>
    <row r="26" spans="2:23" s="1" customFormat="1" ht="16.5" customHeight="1">
      <c r="B26" s="13"/>
      <c r="C26" s="210">
        <v>147</v>
      </c>
      <c r="D26" s="209">
        <v>290948</v>
      </c>
      <c r="E26" s="209">
        <v>2563</v>
      </c>
      <c r="F26" s="293" t="s">
        <v>222</v>
      </c>
      <c r="G26" s="293" t="s">
        <v>223</v>
      </c>
      <c r="H26" s="294">
        <v>13.199999809265137</v>
      </c>
      <c r="I26" s="295">
        <f t="shared" si="0"/>
        <v>11.964</v>
      </c>
      <c r="J26" s="449">
        <v>42221.350694444445</v>
      </c>
      <c r="K26" s="450">
        <v>42221.63958333333</v>
      </c>
      <c r="L26" s="225">
        <f t="shared" si="1"/>
        <v>6.93333333323244</v>
      </c>
      <c r="M26" s="296">
        <f t="shared" si="2"/>
        <v>416</v>
      </c>
      <c r="N26" s="227" t="s">
        <v>144</v>
      </c>
      <c r="O26" s="443" t="str">
        <f t="shared" si="3"/>
        <v>--</v>
      </c>
      <c r="P26" s="297">
        <f t="shared" si="4"/>
        <v>40</v>
      </c>
      <c r="Q26" s="298">
        <f t="shared" si="5"/>
        <v>331.64208</v>
      </c>
      <c r="R26" s="299" t="str">
        <f t="shared" si="6"/>
        <v>--</v>
      </c>
      <c r="S26" s="300" t="str">
        <f t="shared" si="7"/>
        <v>--</v>
      </c>
      <c r="T26" s="301" t="str">
        <f t="shared" si="8"/>
        <v>--</v>
      </c>
      <c r="U26" s="444" t="s">
        <v>145</v>
      </c>
      <c r="V26" s="305">
        <f t="shared" si="9"/>
        <v>331.64208</v>
      </c>
      <c r="W26" s="238"/>
    </row>
    <row r="27" spans="2:23" s="1" customFormat="1" ht="16.5" customHeight="1">
      <c r="B27" s="13"/>
      <c r="C27" s="210">
        <v>148</v>
      </c>
      <c r="D27" s="209">
        <v>290950</v>
      </c>
      <c r="E27" s="209">
        <v>2447</v>
      </c>
      <c r="F27" s="293" t="s">
        <v>189</v>
      </c>
      <c r="G27" s="293" t="s">
        <v>227</v>
      </c>
      <c r="H27" s="294">
        <v>13.199999809265137</v>
      </c>
      <c r="I27" s="295">
        <f t="shared" si="0"/>
        <v>11.964</v>
      </c>
      <c r="J27" s="449">
        <v>42221.379166666666</v>
      </c>
      <c r="K27" s="450">
        <v>42221.73263888889</v>
      </c>
      <c r="L27" s="225">
        <f t="shared" si="1"/>
        <v>8.483333333395422</v>
      </c>
      <c r="M27" s="296">
        <f t="shared" si="2"/>
        <v>509</v>
      </c>
      <c r="N27" s="227" t="s">
        <v>144</v>
      </c>
      <c r="O27" s="443" t="str">
        <f t="shared" si="3"/>
        <v>--</v>
      </c>
      <c r="P27" s="297">
        <f t="shared" si="4"/>
        <v>40</v>
      </c>
      <c r="Q27" s="298">
        <f t="shared" si="5"/>
        <v>405.81888000000004</v>
      </c>
      <c r="R27" s="299" t="str">
        <f t="shared" si="6"/>
        <v>--</v>
      </c>
      <c r="S27" s="300" t="str">
        <f t="shared" si="7"/>
        <v>--</v>
      </c>
      <c r="T27" s="301" t="str">
        <f t="shared" si="8"/>
        <v>--</v>
      </c>
      <c r="U27" s="444" t="s">
        <v>145</v>
      </c>
      <c r="V27" s="305">
        <f t="shared" si="9"/>
        <v>405.81888000000004</v>
      </c>
      <c r="W27" s="238"/>
    </row>
    <row r="28" spans="2:23" s="1" customFormat="1" ht="16.5" customHeight="1">
      <c r="B28" s="13"/>
      <c r="C28" s="210">
        <v>149</v>
      </c>
      <c r="D28" s="209">
        <v>290954</v>
      </c>
      <c r="E28" s="209">
        <v>3728</v>
      </c>
      <c r="F28" s="293" t="s">
        <v>228</v>
      </c>
      <c r="G28" s="293" t="s">
        <v>229</v>
      </c>
      <c r="H28" s="294">
        <v>132</v>
      </c>
      <c r="I28" s="295">
        <f t="shared" si="0"/>
        <v>15.955</v>
      </c>
      <c r="J28" s="449">
        <v>42221.416666666664</v>
      </c>
      <c r="K28" s="450">
        <v>42221.63125</v>
      </c>
      <c r="L28" s="225">
        <f t="shared" si="1"/>
        <v>5.150000000023283</v>
      </c>
      <c r="M28" s="296">
        <f t="shared" si="2"/>
        <v>309</v>
      </c>
      <c r="N28" s="227" t="s">
        <v>144</v>
      </c>
      <c r="O28" s="443" t="str">
        <f t="shared" si="3"/>
        <v>--</v>
      </c>
      <c r="P28" s="297">
        <f t="shared" si="4"/>
        <v>50</v>
      </c>
      <c r="Q28" s="298">
        <f t="shared" si="5"/>
        <v>410.84125000000006</v>
      </c>
      <c r="R28" s="299" t="str">
        <f t="shared" si="6"/>
        <v>--</v>
      </c>
      <c r="S28" s="300" t="str">
        <f t="shared" si="7"/>
        <v>--</v>
      </c>
      <c r="T28" s="301" t="str">
        <f t="shared" si="8"/>
        <v>--</v>
      </c>
      <c r="U28" s="444" t="s">
        <v>145</v>
      </c>
      <c r="V28" s="305">
        <f t="shared" si="9"/>
        <v>410.84125000000006</v>
      </c>
      <c r="W28" s="238"/>
    </row>
    <row r="29" spans="2:23" s="1" customFormat="1" ht="16.5" customHeight="1">
      <c r="B29" s="13"/>
      <c r="C29" s="210">
        <v>150</v>
      </c>
      <c r="D29" s="209">
        <v>290957</v>
      </c>
      <c r="E29" s="209">
        <v>2269</v>
      </c>
      <c r="F29" s="293" t="s">
        <v>215</v>
      </c>
      <c r="G29" s="293" t="s">
        <v>230</v>
      </c>
      <c r="H29" s="294">
        <v>66</v>
      </c>
      <c r="I29" s="295">
        <f t="shared" si="0"/>
        <v>15.955</v>
      </c>
      <c r="J29" s="449">
        <v>42221.69027777778</v>
      </c>
      <c r="K29" s="450">
        <v>42221.71666666667</v>
      </c>
      <c r="L29" s="225">
        <f t="shared" si="1"/>
        <v>0.6333333333022892</v>
      </c>
      <c r="M29" s="296">
        <f t="shared" si="2"/>
        <v>38</v>
      </c>
      <c r="N29" s="227" t="s">
        <v>149</v>
      </c>
      <c r="O29" s="443" t="str">
        <f t="shared" si="3"/>
        <v>NO</v>
      </c>
      <c r="P29" s="297">
        <f t="shared" si="4"/>
        <v>50</v>
      </c>
      <c r="Q29" s="298" t="str">
        <f t="shared" si="5"/>
        <v>--</v>
      </c>
      <c r="R29" s="299">
        <f t="shared" si="6"/>
        <v>797.75</v>
      </c>
      <c r="S29" s="300">
        <f t="shared" si="7"/>
        <v>502.5825</v>
      </c>
      <c r="T29" s="301" t="str">
        <f t="shared" si="8"/>
        <v>--</v>
      </c>
      <c r="U29" s="444" t="s">
        <v>145</v>
      </c>
      <c r="V29" s="305">
        <f t="shared" si="9"/>
        <v>1300.3325</v>
      </c>
      <c r="W29" s="238"/>
    </row>
    <row r="30" spans="2:23" s="1" customFormat="1" ht="16.5" customHeight="1">
      <c r="B30" s="13"/>
      <c r="C30" s="210">
        <v>151</v>
      </c>
      <c r="D30" s="209">
        <v>290958</v>
      </c>
      <c r="E30" s="209">
        <v>2270</v>
      </c>
      <c r="F30" s="293" t="s">
        <v>215</v>
      </c>
      <c r="G30" s="293" t="s">
        <v>231</v>
      </c>
      <c r="H30" s="294">
        <v>66</v>
      </c>
      <c r="I30" s="295">
        <f t="shared" si="0"/>
        <v>15.955</v>
      </c>
      <c r="J30" s="449">
        <v>42221.69236111111</v>
      </c>
      <c r="K30" s="450">
        <v>42221.70486111111</v>
      </c>
      <c r="L30" s="225">
        <f t="shared" si="1"/>
        <v>0.2999999999301508</v>
      </c>
      <c r="M30" s="296">
        <f t="shared" si="2"/>
        <v>18</v>
      </c>
      <c r="N30" s="227" t="s">
        <v>149</v>
      </c>
      <c r="O30" s="443" t="str">
        <f t="shared" si="3"/>
        <v>NO</v>
      </c>
      <c r="P30" s="297">
        <f t="shared" si="4"/>
        <v>50</v>
      </c>
      <c r="Q30" s="298" t="str">
        <f t="shared" si="5"/>
        <v>--</v>
      </c>
      <c r="R30" s="299">
        <f t="shared" si="6"/>
        <v>797.75</v>
      </c>
      <c r="S30" s="300">
        <f t="shared" si="7"/>
        <v>239.325</v>
      </c>
      <c r="T30" s="301" t="str">
        <f t="shared" si="8"/>
        <v>--</v>
      </c>
      <c r="U30" s="444" t="s">
        <v>145</v>
      </c>
      <c r="V30" s="305">
        <f t="shared" si="9"/>
        <v>1037.075</v>
      </c>
      <c r="W30" s="238"/>
    </row>
    <row r="31" spans="2:23" s="1" customFormat="1" ht="16.5" customHeight="1">
      <c r="B31" s="13"/>
      <c r="C31" s="210">
        <v>152</v>
      </c>
      <c r="D31" s="209">
        <v>290969</v>
      </c>
      <c r="E31" s="209">
        <v>2560</v>
      </c>
      <c r="F31" s="293" t="s">
        <v>222</v>
      </c>
      <c r="G31" s="293" t="s">
        <v>232</v>
      </c>
      <c r="H31" s="294">
        <v>33</v>
      </c>
      <c r="I31" s="295">
        <f t="shared" si="0"/>
        <v>11.964</v>
      </c>
      <c r="J31" s="449">
        <v>42222.34861111111</v>
      </c>
      <c r="K31" s="450">
        <v>42222.69375</v>
      </c>
      <c r="L31" s="225">
        <f t="shared" si="1"/>
        <v>8.283333333267365</v>
      </c>
      <c r="M31" s="296">
        <f t="shared" si="2"/>
        <v>497</v>
      </c>
      <c r="N31" s="227" t="s">
        <v>144</v>
      </c>
      <c r="O31" s="443" t="str">
        <f t="shared" si="3"/>
        <v>--</v>
      </c>
      <c r="P31" s="297">
        <f t="shared" si="4"/>
        <v>50</v>
      </c>
      <c r="Q31" s="298">
        <f t="shared" si="5"/>
        <v>495.3096</v>
      </c>
      <c r="R31" s="299" t="str">
        <f t="shared" si="6"/>
        <v>--</v>
      </c>
      <c r="S31" s="300" t="str">
        <f t="shared" si="7"/>
        <v>--</v>
      </c>
      <c r="T31" s="301" t="str">
        <f t="shared" si="8"/>
        <v>--</v>
      </c>
      <c r="U31" s="444" t="s">
        <v>145</v>
      </c>
      <c r="V31" s="305">
        <f t="shared" si="9"/>
        <v>495.3096</v>
      </c>
      <c r="W31" s="238"/>
    </row>
    <row r="32" spans="2:23" s="1" customFormat="1" ht="16.5" customHeight="1">
      <c r="B32" s="13"/>
      <c r="C32" s="210">
        <v>153</v>
      </c>
      <c r="D32" s="209">
        <v>290971</v>
      </c>
      <c r="E32" s="209">
        <v>5361</v>
      </c>
      <c r="F32" s="293" t="s">
        <v>222</v>
      </c>
      <c r="G32" s="293" t="s">
        <v>314</v>
      </c>
      <c r="H32" s="294">
        <v>13.2</v>
      </c>
      <c r="I32" s="295">
        <f t="shared" si="0"/>
        <v>11.964</v>
      </c>
      <c r="J32" s="449">
        <v>42222.36666666667</v>
      </c>
      <c r="K32" s="450">
        <v>42222.64027777778</v>
      </c>
      <c r="L32" s="225">
        <f t="shared" si="1"/>
        <v>6.566666666592937</v>
      </c>
      <c r="M32" s="296">
        <f t="shared" si="2"/>
        <v>394</v>
      </c>
      <c r="N32" s="227" t="s">
        <v>144</v>
      </c>
      <c r="O32" s="443" t="str">
        <f t="shared" si="3"/>
        <v>--</v>
      </c>
      <c r="P32" s="297">
        <f t="shared" si="4"/>
        <v>40</v>
      </c>
      <c r="Q32" s="298">
        <f t="shared" si="5"/>
        <v>314.41392</v>
      </c>
      <c r="R32" s="299" t="str">
        <f t="shared" si="6"/>
        <v>--</v>
      </c>
      <c r="S32" s="300" t="str">
        <f t="shared" si="7"/>
        <v>--</v>
      </c>
      <c r="T32" s="301" t="str">
        <f t="shared" si="8"/>
        <v>--</v>
      </c>
      <c r="U32" s="444" t="s">
        <v>145</v>
      </c>
      <c r="V32" s="305">
        <f t="shared" si="9"/>
        <v>314.41392</v>
      </c>
      <c r="W32" s="238"/>
    </row>
    <row r="33" spans="2:23" s="1" customFormat="1" ht="16.5" customHeight="1">
      <c r="B33" s="13"/>
      <c r="C33" s="210">
        <v>154</v>
      </c>
      <c r="D33" s="209">
        <v>290972</v>
      </c>
      <c r="E33" s="209">
        <v>2449</v>
      </c>
      <c r="F33" s="293" t="s">
        <v>189</v>
      </c>
      <c r="G33" s="293" t="s">
        <v>233</v>
      </c>
      <c r="H33" s="294">
        <v>13.199999809265137</v>
      </c>
      <c r="I33" s="295">
        <f t="shared" si="0"/>
        <v>11.964</v>
      </c>
      <c r="J33" s="449">
        <v>42222.36736111111</v>
      </c>
      <c r="K33" s="450">
        <v>42222.68472222222</v>
      </c>
      <c r="L33" s="225">
        <f t="shared" si="1"/>
        <v>7.616666666697711</v>
      </c>
      <c r="M33" s="296">
        <f t="shared" si="2"/>
        <v>457</v>
      </c>
      <c r="N33" s="227" t="s">
        <v>144</v>
      </c>
      <c r="O33" s="443" t="str">
        <f t="shared" si="3"/>
        <v>--</v>
      </c>
      <c r="P33" s="297">
        <f t="shared" si="4"/>
        <v>40</v>
      </c>
      <c r="Q33" s="298">
        <f t="shared" si="5"/>
        <v>364.66272000000004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444" t="s">
        <v>145</v>
      </c>
      <c r="V33" s="305">
        <f t="shared" si="9"/>
        <v>364.66272000000004</v>
      </c>
      <c r="W33" s="238"/>
    </row>
    <row r="34" spans="2:23" s="1" customFormat="1" ht="16.5" customHeight="1">
      <c r="B34" s="13"/>
      <c r="C34" s="210">
        <v>155</v>
      </c>
      <c r="D34" s="209">
        <v>290973</v>
      </c>
      <c r="E34" s="209">
        <v>2317</v>
      </c>
      <c r="F34" s="293" t="s">
        <v>234</v>
      </c>
      <c r="G34" s="293" t="s">
        <v>235</v>
      </c>
      <c r="H34" s="294">
        <v>13.199999809265137</v>
      </c>
      <c r="I34" s="295">
        <f t="shared" si="0"/>
        <v>11.964</v>
      </c>
      <c r="J34" s="449">
        <v>42222.37222222222</v>
      </c>
      <c r="K34" s="450">
        <v>42222.57013888889</v>
      </c>
      <c r="L34" s="225">
        <f t="shared" si="1"/>
        <v>4.750000000116415</v>
      </c>
      <c r="M34" s="296">
        <f t="shared" si="2"/>
        <v>285</v>
      </c>
      <c r="N34" s="227" t="s">
        <v>144</v>
      </c>
      <c r="O34" s="443" t="str">
        <f t="shared" si="3"/>
        <v>--</v>
      </c>
      <c r="P34" s="297">
        <f t="shared" si="4"/>
        <v>40</v>
      </c>
      <c r="Q34" s="298">
        <f t="shared" si="5"/>
        <v>227.316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444" t="s">
        <v>145</v>
      </c>
      <c r="V34" s="305">
        <f t="shared" si="9"/>
        <v>227.316</v>
      </c>
      <c r="W34" s="238"/>
    </row>
    <row r="35" spans="2:23" s="1" customFormat="1" ht="16.5" customHeight="1">
      <c r="B35" s="13"/>
      <c r="C35" s="210">
        <v>156</v>
      </c>
      <c r="D35" s="209">
        <v>290974</v>
      </c>
      <c r="E35" s="209">
        <v>2546</v>
      </c>
      <c r="F35" s="293" t="s">
        <v>236</v>
      </c>
      <c r="G35" s="293" t="s">
        <v>237</v>
      </c>
      <c r="H35" s="294">
        <v>13.199999809265137</v>
      </c>
      <c r="I35" s="295">
        <f t="shared" si="0"/>
        <v>11.964</v>
      </c>
      <c r="J35" s="449">
        <v>42222.375</v>
      </c>
      <c r="K35" s="450">
        <v>42222.64444444444</v>
      </c>
      <c r="L35" s="225">
        <f t="shared" si="1"/>
        <v>6.46666666661622</v>
      </c>
      <c r="M35" s="296">
        <f t="shared" si="2"/>
        <v>388</v>
      </c>
      <c r="N35" s="227" t="s">
        <v>144</v>
      </c>
      <c r="O35" s="443" t="str">
        <f t="shared" si="3"/>
        <v>--</v>
      </c>
      <c r="P35" s="297">
        <f t="shared" si="4"/>
        <v>40</v>
      </c>
      <c r="Q35" s="298">
        <f t="shared" si="5"/>
        <v>309.62832000000003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444" t="s">
        <v>145</v>
      </c>
      <c r="V35" s="305">
        <f t="shared" si="9"/>
        <v>309.62832000000003</v>
      </c>
      <c r="W35" s="238"/>
    </row>
    <row r="36" spans="2:23" s="1" customFormat="1" ht="16.5" customHeight="1">
      <c r="B36" s="13"/>
      <c r="C36" s="210">
        <v>157</v>
      </c>
      <c r="D36" s="209">
        <v>290975</v>
      </c>
      <c r="E36" s="209">
        <v>3728</v>
      </c>
      <c r="F36" s="293" t="s">
        <v>228</v>
      </c>
      <c r="G36" s="293" t="s">
        <v>229</v>
      </c>
      <c r="H36" s="294">
        <v>132</v>
      </c>
      <c r="I36" s="295">
        <f t="shared" si="0"/>
        <v>15.955</v>
      </c>
      <c r="J36" s="449">
        <v>42222.48263888889</v>
      </c>
      <c r="K36" s="450">
        <v>42222.59375</v>
      </c>
      <c r="L36" s="225">
        <f t="shared" si="1"/>
        <v>2.6666666666278616</v>
      </c>
      <c r="M36" s="296">
        <f t="shared" si="2"/>
        <v>160</v>
      </c>
      <c r="N36" s="227" t="s">
        <v>144</v>
      </c>
      <c r="O36" s="443" t="str">
        <f t="shared" si="3"/>
        <v>--</v>
      </c>
      <c r="P36" s="297">
        <f t="shared" si="4"/>
        <v>50</v>
      </c>
      <c r="Q36" s="298">
        <f t="shared" si="5"/>
        <v>212.99925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444" t="s">
        <v>145</v>
      </c>
      <c r="V36" s="305">
        <f t="shared" si="9"/>
        <v>212.99925</v>
      </c>
      <c r="W36" s="238"/>
    </row>
    <row r="37" spans="2:23" s="1" customFormat="1" ht="16.5" customHeight="1">
      <c r="B37" s="13"/>
      <c r="C37" s="210">
        <v>158</v>
      </c>
      <c r="D37" s="209">
        <v>290979</v>
      </c>
      <c r="E37" s="209">
        <v>2318</v>
      </c>
      <c r="F37" s="293" t="s">
        <v>234</v>
      </c>
      <c r="G37" s="293" t="s">
        <v>238</v>
      </c>
      <c r="H37" s="294">
        <v>13.199999809265137</v>
      </c>
      <c r="I37" s="295">
        <f t="shared" si="0"/>
        <v>11.964</v>
      </c>
      <c r="J37" s="449">
        <v>42223.34930555556</v>
      </c>
      <c r="K37" s="450">
        <v>42223.57361111111</v>
      </c>
      <c r="L37" s="225">
        <f t="shared" si="1"/>
        <v>5.383333333244082</v>
      </c>
      <c r="M37" s="296">
        <f t="shared" si="2"/>
        <v>323</v>
      </c>
      <c r="N37" s="227" t="s">
        <v>144</v>
      </c>
      <c r="O37" s="443" t="str">
        <f t="shared" si="3"/>
        <v>--</v>
      </c>
      <c r="P37" s="297">
        <f t="shared" si="4"/>
        <v>40</v>
      </c>
      <c r="Q37" s="298">
        <f t="shared" si="5"/>
        <v>257.46528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444" t="s">
        <v>145</v>
      </c>
      <c r="V37" s="305">
        <f t="shared" si="9"/>
        <v>257.46528</v>
      </c>
      <c r="W37" s="238"/>
    </row>
    <row r="38" spans="2:23" s="1" customFormat="1" ht="16.5" customHeight="1">
      <c r="B38" s="13"/>
      <c r="C38" s="210">
        <v>159</v>
      </c>
      <c r="D38" s="209">
        <v>290980</v>
      </c>
      <c r="E38" s="209">
        <v>5361</v>
      </c>
      <c r="F38" s="293" t="s">
        <v>222</v>
      </c>
      <c r="G38" s="293" t="s">
        <v>314</v>
      </c>
      <c r="H38" s="294">
        <v>13.2</v>
      </c>
      <c r="I38" s="295">
        <f t="shared" si="0"/>
        <v>11.964</v>
      </c>
      <c r="J38" s="449">
        <v>42223.34930555556</v>
      </c>
      <c r="K38" s="450">
        <v>42223.63125</v>
      </c>
      <c r="L38" s="225">
        <f t="shared" si="1"/>
        <v>6.766666666546371</v>
      </c>
      <c r="M38" s="296">
        <f t="shared" si="2"/>
        <v>406</v>
      </c>
      <c r="N38" s="227" t="s">
        <v>144</v>
      </c>
      <c r="O38" s="443" t="str">
        <f t="shared" si="3"/>
        <v>--</v>
      </c>
      <c r="P38" s="297">
        <f t="shared" si="4"/>
        <v>40</v>
      </c>
      <c r="Q38" s="298">
        <f t="shared" si="5"/>
        <v>323.98512</v>
      </c>
      <c r="R38" s="299" t="str">
        <f t="shared" si="6"/>
        <v>--</v>
      </c>
      <c r="S38" s="300" t="str">
        <f t="shared" si="7"/>
        <v>--</v>
      </c>
      <c r="T38" s="301" t="str">
        <f t="shared" si="8"/>
        <v>--</v>
      </c>
      <c r="U38" s="444" t="s">
        <v>145</v>
      </c>
      <c r="V38" s="305">
        <f t="shared" si="9"/>
        <v>323.98512</v>
      </c>
      <c r="W38" s="238"/>
    </row>
    <row r="39" spans="2:23" s="1" customFormat="1" ht="16.5" customHeight="1">
      <c r="B39" s="13"/>
      <c r="C39" s="210">
        <v>160</v>
      </c>
      <c r="D39" s="209">
        <v>290982</v>
      </c>
      <c r="E39" s="209">
        <v>3728</v>
      </c>
      <c r="F39" s="293" t="s">
        <v>228</v>
      </c>
      <c r="G39" s="293" t="s">
        <v>229</v>
      </c>
      <c r="H39" s="294">
        <v>132</v>
      </c>
      <c r="I39" s="295">
        <f t="shared" si="0"/>
        <v>15.955</v>
      </c>
      <c r="J39" s="449">
        <v>42223.385416666664</v>
      </c>
      <c r="K39" s="450">
        <v>42223.64791666667</v>
      </c>
      <c r="L39" s="225">
        <f t="shared" si="1"/>
        <v>6.300000000104774</v>
      </c>
      <c r="M39" s="296">
        <f t="shared" si="2"/>
        <v>378</v>
      </c>
      <c r="N39" s="227" t="s">
        <v>144</v>
      </c>
      <c r="O39" s="443" t="str">
        <f t="shared" si="3"/>
        <v>--</v>
      </c>
      <c r="P39" s="297">
        <f t="shared" si="4"/>
        <v>50</v>
      </c>
      <c r="Q39" s="298">
        <f t="shared" si="5"/>
        <v>502.5825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444" t="s">
        <v>145</v>
      </c>
      <c r="V39" s="305">
        <f t="shared" si="9"/>
        <v>502.5825</v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11.964</v>
      </c>
      <c r="J40" s="449"/>
      <c r="K40" s="450"/>
      <c r="L40" s="225">
        <f t="shared" si="1"/>
      </c>
      <c r="M40" s="296">
        <f t="shared" si="2"/>
      </c>
      <c r="N40" s="227"/>
      <c r="O40" s="443">
        <f t="shared" si="3"/>
      </c>
      <c r="P40" s="297">
        <f t="shared" si="4"/>
        <v>40</v>
      </c>
      <c r="Q40" s="298" t="str">
        <f t="shared" si="5"/>
        <v>--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44">
        <f>IF(F40="","","SI")</f>
      </c>
      <c r="V40" s="305">
        <f t="shared" si="9"/>
      </c>
      <c r="W40" s="238"/>
    </row>
    <row r="41" spans="2:23" s="1" customFormat="1" ht="16.5" customHeight="1" thickBot="1">
      <c r="B41" s="13"/>
      <c r="C41" s="318"/>
      <c r="D41" s="318"/>
      <c r="E41" s="318"/>
      <c r="F41" s="318"/>
      <c r="G41" s="318"/>
      <c r="H41" s="318"/>
      <c r="I41" s="306"/>
      <c r="J41" s="408"/>
      <c r="K41" s="408"/>
      <c r="L41" s="239"/>
      <c r="M41" s="239"/>
      <c r="N41" s="318"/>
      <c r="O41" s="318"/>
      <c r="P41" s="328"/>
      <c r="Q41" s="329"/>
      <c r="R41" s="330"/>
      <c r="S41" s="331"/>
      <c r="T41" s="332"/>
      <c r="U41" s="318"/>
      <c r="V41" s="307"/>
      <c r="W41" s="238"/>
    </row>
    <row r="42" spans="2:23" s="1" customFormat="1" ht="16.5" customHeight="1" thickBot="1" thickTop="1">
      <c r="B42" s="13"/>
      <c r="C42" s="113" t="s">
        <v>67</v>
      </c>
      <c r="D42" s="471" t="s">
        <v>319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8">
        <f>SUM(Q20:Q41)</f>
        <v>5535.7552</v>
      </c>
      <c r="R42" s="309">
        <f>SUM(R20:R41)</f>
        <v>1595.5</v>
      </c>
      <c r="S42" s="309">
        <f>SUM(S20:S41)</f>
        <v>741.9075</v>
      </c>
      <c r="T42" s="310">
        <f>SUM(T20:T41)</f>
        <v>0</v>
      </c>
      <c r="U42" s="311"/>
      <c r="V42" s="420">
        <f>ROUND(SUM(V20:V41),2)</f>
        <v>7873.16</v>
      </c>
      <c r="W42" s="238"/>
    </row>
    <row r="43" spans="2:23" s="127" customFormat="1" ht="9.75" thickTop="1">
      <c r="B43" s="128"/>
      <c r="C43" s="129"/>
      <c r="D43" s="129"/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312"/>
      <c r="W43" s="254"/>
    </row>
    <row r="44" spans="2:23" s="1" customFormat="1" ht="16.5" customHeight="1" thickBot="1">
      <c r="B44" s="140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</row>
    <row r="45" spans="2:23" ht="16.5" customHeight="1" thickTop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</row>
    <row r="46" spans="3:6" ht="16.5" customHeight="1">
      <c r="C46" s="313"/>
      <c r="D46" s="313"/>
      <c r="E46" s="313"/>
      <c r="F46" s="31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W47"/>
  <sheetViews>
    <sheetView zoomScale="80" zoomScaleNormal="80" zoomScalePageLayoutView="0" workbookViewId="0" topLeftCell="A1">
      <selection activeCell="A37" sqref="A37:IV37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28125" style="5" customWidth="1"/>
    <col min="11" max="11" width="16.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'TOT-0815'!B14</f>
        <v>Desde el 01 al 31 de agosto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31.907</v>
      </c>
      <c r="H14" s="267">
        <f>60*'TOT-0815'!B13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15.955</v>
      </c>
      <c r="H15" s="267">
        <f>50*'TOT-0815'!B13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11.964</v>
      </c>
      <c r="H16" s="271">
        <f>50*'TOT-0815'!B13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11.964</v>
      </c>
      <c r="H17" s="276">
        <f>40*'TOT-0815'!B13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14"/>
    </row>
    <row r="19" spans="2:23" s="277" customFormat="1" ht="34.5" customHeight="1" thickBot="1" thickTop="1">
      <c r="B19" s="278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1"/>
      <c r="E20" s="421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'SA-08 (1)'!V42</f>
        <v>7873.16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49"/>
      <c r="K21" s="450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161</v>
      </c>
      <c r="D22" s="209">
        <v>290983</v>
      </c>
      <c r="E22" s="209">
        <v>2551</v>
      </c>
      <c r="F22" s="293" t="s">
        <v>239</v>
      </c>
      <c r="G22" s="293" t="s">
        <v>240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11.964</v>
      </c>
      <c r="J22" s="449">
        <v>42223.39236111111</v>
      </c>
      <c r="K22" s="450">
        <v>42223.55486111111</v>
      </c>
      <c r="L22" s="225">
        <f aca="true" t="shared" si="1" ref="L22:L41">IF(F22="","",(K22-J22)*24)</f>
        <v>3.8999999999650754</v>
      </c>
      <c r="M22" s="296">
        <f aca="true" t="shared" si="2" ref="M22:M41">IF(F22="","",ROUND((K22-J22)*24*60,0))</f>
        <v>234</v>
      </c>
      <c r="N22" s="227" t="s">
        <v>144</v>
      </c>
      <c r="O22" s="443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186.63840000000002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44" t="s">
        <v>145</v>
      </c>
      <c r="V22" s="305">
        <f aca="true" t="shared" si="8" ref="V22:V41">IF(F22="","",SUM(Q22:T22)*IF(U22="SI",1,2)*IF(H22="500/220",0,1))</f>
        <v>186.63840000000002</v>
      </c>
      <c r="W22" s="238"/>
    </row>
    <row r="23" spans="2:23" s="1" customFormat="1" ht="16.5" customHeight="1">
      <c r="B23" s="13"/>
      <c r="C23" s="210">
        <v>162</v>
      </c>
      <c r="D23" s="209">
        <v>290984</v>
      </c>
      <c r="E23" s="209">
        <v>2450</v>
      </c>
      <c r="F23" s="293" t="s">
        <v>189</v>
      </c>
      <c r="G23" s="293" t="s">
        <v>241</v>
      </c>
      <c r="H23" s="294">
        <v>13.199999809265137</v>
      </c>
      <c r="I23" s="295">
        <f t="shared" si="0"/>
        <v>11.964</v>
      </c>
      <c r="J23" s="449">
        <v>42223.40555555555</v>
      </c>
      <c r="K23" s="450">
        <v>42223.55972222222</v>
      </c>
      <c r="L23" s="225">
        <f t="shared" si="1"/>
        <v>3.7000000000116415</v>
      </c>
      <c r="M23" s="296">
        <f t="shared" si="2"/>
        <v>222</v>
      </c>
      <c r="N23" s="227" t="s">
        <v>144</v>
      </c>
      <c r="O23" s="443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177.0672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44" t="s">
        <v>145</v>
      </c>
      <c r="V23" s="305">
        <f t="shared" si="8"/>
        <v>177.0672</v>
      </c>
      <c r="W23" s="238"/>
    </row>
    <row r="24" spans="2:23" s="1" customFormat="1" ht="16.5" customHeight="1">
      <c r="B24" s="13"/>
      <c r="C24" s="210">
        <v>163</v>
      </c>
      <c r="D24" s="209">
        <v>290985</v>
      </c>
      <c r="E24" s="209">
        <v>2362</v>
      </c>
      <c r="F24" s="293" t="s">
        <v>242</v>
      </c>
      <c r="G24" s="293" t="s">
        <v>243</v>
      </c>
      <c r="H24" s="294">
        <v>13.199999809265137</v>
      </c>
      <c r="I24" s="295">
        <f t="shared" si="0"/>
        <v>11.964</v>
      </c>
      <c r="J24" s="449">
        <v>42223.410416666666</v>
      </c>
      <c r="K24" s="450">
        <v>42223.57916666667</v>
      </c>
      <c r="L24" s="225">
        <f t="shared" si="1"/>
        <v>4.050000000104774</v>
      </c>
      <c r="M24" s="296">
        <f t="shared" si="2"/>
        <v>243</v>
      </c>
      <c r="N24" s="227" t="s">
        <v>144</v>
      </c>
      <c r="O24" s="443" t="str">
        <f t="shared" si="9"/>
        <v>--</v>
      </c>
      <c r="P24" s="297">
        <f t="shared" si="3"/>
        <v>40</v>
      </c>
      <c r="Q24" s="298">
        <f t="shared" si="4"/>
        <v>193.8168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44" t="s">
        <v>145</v>
      </c>
      <c r="V24" s="305">
        <f t="shared" si="8"/>
        <v>193.8168</v>
      </c>
      <c r="W24" s="238"/>
    </row>
    <row r="25" spans="2:23" s="1" customFormat="1" ht="16.5" customHeight="1">
      <c r="B25" s="13"/>
      <c r="C25" s="210">
        <v>164</v>
      </c>
      <c r="D25" s="209">
        <v>290986</v>
      </c>
      <c r="E25" s="209">
        <v>2351</v>
      </c>
      <c r="F25" s="293" t="s">
        <v>242</v>
      </c>
      <c r="G25" s="293" t="s">
        <v>244</v>
      </c>
      <c r="H25" s="294">
        <v>33</v>
      </c>
      <c r="I25" s="295">
        <f t="shared" si="0"/>
        <v>11.964</v>
      </c>
      <c r="J25" s="449">
        <v>42223.44236111111</v>
      </c>
      <c r="K25" s="450">
        <v>42223.65416666667</v>
      </c>
      <c r="L25" s="225">
        <f t="shared" si="1"/>
        <v>5.083333333313931</v>
      </c>
      <c r="M25" s="296">
        <f t="shared" si="2"/>
        <v>305</v>
      </c>
      <c r="N25" s="227" t="s">
        <v>144</v>
      </c>
      <c r="O25" s="443" t="str">
        <f t="shared" si="9"/>
        <v>--</v>
      </c>
      <c r="P25" s="297">
        <f t="shared" si="3"/>
        <v>50</v>
      </c>
      <c r="Q25" s="298">
        <f t="shared" si="4"/>
        <v>303.8856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44" t="s">
        <v>145</v>
      </c>
      <c r="V25" s="305">
        <f t="shared" si="8"/>
        <v>303.8856</v>
      </c>
      <c r="W25" s="238"/>
    </row>
    <row r="26" spans="2:23" s="1" customFormat="1" ht="16.5" customHeight="1">
      <c r="B26" s="13"/>
      <c r="C26" s="210">
        <v>165</v>
      </c>
      <c r="D26" s="209">
        <v>291249</v>
      </c>
      <c r="E26" s="209">
        <v>2332</v>
      </c>
      <c r="F26" s="293" t="s">
        <v>245</v>
      </c>
      <c r="G26" s="293" t="s">
        <v>246</v>
      </c>
      <c r="H26" s="294">
        <v>13.199999809265137</v>
      </c>
      <c r="I26" s="295">
        <f t="shared" si="0"/>
        <v>11.964</v>
      </c>
      <c r="J26" s="449">
        <v>42226.34166666667</v>
      </c>
      <c r="K26" s="450">
        <v>42226.63263888889</v>
      </c>
      <c r="L26" s="225">
        <f t="shared" si="1"/>
        <v>6.9833333333954215</v>
      </c>
      <c r="M26" s="296">
        <f t="shared" si="2"/>
        <v>419</v>
      </c>
      <c r="N26" s="227" t="s">
        <v>144</v>
      </c>
      <c r="O26" s="443" t="str">
        <f t="shared" si="9"/>
        <v>--</v>
      </c>
      <c r="P26" s="297">
        <f t="shared" si="3"/>
        <v>40</v>
      </c>
      <c r="Q26" s="298">
        <f t="shared" si="4"/>
        <v>334.03488000000004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44" t="s">
        <v>145</v>
      </c>
      <c r="V26" s="305">
        <f t="shared" si="8"/>
        <v>334.03488000000004</v>
      </c>
      <c r="W26" s="238"/>
    </row>
    <row r="27" spans="2:23" s="1" customFormat="1" ht="16.5" customHeight="1">
      <c r="B27" s="13"/>
      <c r="C27" s="210">
        <v>166</v>
      </c>
      <c r="D27" s="209">
        <v>291250</v>
      </c>
      <c r="E27" s="209">
        <v>2450</v>
      </c>
      <c r="F27" s="293" t="s">
        <v>189</v>
      </c>
      <c r="G27" s="293" t="s">
        <v>241</v>
      </c>
      <c r="H27" s="294">
        <v>13.199999809265137</v>
      </c>
      <c r="I27" s="295">
        <f t="shared" si="0"/>
        <v>11.964</v>
      </c>
      <c r="J27" s="449">
        <v>42226.40277777778</v>
      </c>
      <c r="K27" s="450">
        <v>42226.646527777775</v>
      </c>
      <c r="L27" s="225">
        <f t="shared" si="1"/>
        <v>5.849999999860302</v>
      </c>
      <c r="M27" s="296">
        <f t="shared" si="2"/>
        <v>351</v>
      </c>
      <c r="N27" s="227" t="s">
        <v>144</v>
      </c>
      <c r="O27" s="443" t="str">
        <f t="shared" si="9"/>
        <v>--</v>
      </c>
      <c r="P27" s="297">
        <f t="shared" si="3"/>
        <v>40</v>
      </c>
      <c r="Q27" s="298">
        <f t="shared" si="4"/>
        <v>279.9576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44" t="s">
        <v>145</v>
      </c>
      <c r="V27" s="305">
        <f t="shared" si="8"/>
        <v>279.9576</v>
      </c>
      <c r="W27" s="238"/>
    </row>
    <row r="28" spans="2:23" s="1" customFormat="1" ht="16.5" customHeight="1">
      <c r="B28" s="13"/>
      <c r="C28" s="210">
        <v>167</v>
      </c>
      <c r="D28" s="209">
        <v>291251</v>
      </c>
      <c r="E28" s="209">
        <v>2498</v>
      </c>
      <c r="F28" s="293" t="s">
        <v>182</v>
      </c>
      <c r="G28" s="293" t="s">
        <v>247</v>
      </c>
      <c r="H28" s="294">
        <v>33</v>
      </c>
      <c r="I28" s="295">
        <f t="shared" si="0"/>
        <v>11.964</v>
      </c>
      <c r="J28" s="449">
        <v>42226.44583333333</v>
      </c>
      <c r="K28" s="450">
        <v>42226.728472222225</v>
      </c>
      <c r="L28" s="225">
        <f t="shared" si="1"/>
        <v>6.783333333441988</v>
      </c>
      <c r="M28" s="296">
        <f t="shared" si="2"/>
        <v>407</v>
      </c>
      <c r="N28" s="227" t="s">
        <v>144</v>
      </c>
      <c r="O28" s="443" t="str">
        <f t="shared" si="9"/>
        <v>--</v>
      </c>
      <c r="P28" s="297">
        <f t="shared" si="3"/>
        <v>50</v>
      </c>
      <c r="Q28" s="298">
        <f t="shared" si="4"/>
        <v>405.5796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44" t="s">
        <v>145</v>
      </c>
      <c r="V28" s="305">
        <f t="shared" si="8"/>
        <v>405.5796</v>
      </c>
      <c r="W28" s="238"/>
    </row>
    <row r="29" spans="2:23" s="1" customFormat="1" ht="16.5" customHeight="1">
      <c r="B29" s="13"/>
      <c r="C29" s="210">
        <v>168</v>
      </c>
      <c r="D29" s="209">
        <v>291253</v>
      </c>
      <c r="E29" s="209">
        <v>2248</v>
      </c>
      <c r="F29" s="293" t="s">
        <v>248</v>
      </c>
      <c r="G29" s="293" t="s">
        <v>249</v>
      </c>
      <c r="H29" s="294">
        <v>33</v>
      </c>
      <c r="I29" s="295">
        <f t="shared" si="0"/>
        <v>11.964</v>
      </c>
      <c r="J29" s="449">
        <v>42226.62777777778</v>
      </c>
      <c r="K29" s="450">
        <v>42227.57916666667</v>
      </c>
      <c r="L29" s="225">
        <f t="shared" si="1"/>
        <v>22.83333333337214</v>
      </c>
      <c r="M29" s="296">
        <f t="shared" si="2"/>
        <v>1370</v>
      </c>
      <c r="N29" s="227" t="s">
        <v>149</v>
      </c>
      <c r="O29" s="443" t="str">
        <f t="shared" si="9"/>
        <v>NO</v>
      </c>
      <c r="P29" s="297">
        <f t="shared" si="3"/>
        <v>50</v>
      </c>
      <c r="Q29" s="298" t="str">
        <f t="shared" si="4"/>
        <v>--</v>
      </c>
      <c r="R29" s="299">
        <f t="shared" si="5"/>
        <v>598.2</v>
      </c>
      <c r="S29" s="300">
        <f t="shared" si="6"/>
        <v>13656.906</v>
      </c>
      <c r="T29" s="301" t="str">
        <f t="shared" si="7"/>
        <v>--</v>
      </c>
      <c r="U29" s="444" t="s">
        <v>145</v>
      </c>
      <c r="V29" s="305">
        <f t="shared" si="8"/>
        <v>14255.106000000002</v>
      </c>
      <c r="W29" s="238"/>
    </row>
    <row r="30" spans="2:23" s="1" customFormat="1" ht="16.5" customHeight="1">
      <c r="B30" s="13"/>
      <c r="C30" s="210">
        <v>169</v>
      </c>
      <c r="D30" s="209">
        <v>291255</v>
      </c>
      <c r="E30" s="209">
        <v>2333</v>
      </c>
      <c r="F30" s="293" t="s">
        <v>245</v>
      </c>
      <c r="G30" s="293" t="s">
        <v>250</v>
      </c>
      <c r="H30" s="294">
        <v>13.199999809265137</v>
      </c>
      <c r="I30" s="295">
        <f t="shared" si="0"/>
        <v>11.964</v>
      </c>
      <c r="J30" s="449">
        <v>42227.35</v>
      </c>
      <c r="K30" s="450">
        <v>42227.61041666667</v>
      </c>
      <c r="L30" s="225">
        <f t="shared" si="1"/>
        <v>6.250000000116415</v>
      </c>
      <c r="M30" s="296">
        <f t="shared" si="2"/>
        <v>375</v>
      </c>
      <c r="N30" s="227" t="s">
        <v>144</v>
      </c>
      <c r="O30" s="443" t="str">
        <f t="shared" si="9"/>
        <v>--</v>
      </c>
      <c r="P30" s="297">
        <f t="shared" si="3"/>
        <v>40</v>
      </c>
      <c r="Q30" s="298">
        <f t="shared" si="4"/>
        <v>299.1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44" t="s">
        <v>145</v>
      </c>
      <c r="V30" s="305">
        <f t="shared" si="8"/>
        <v>299.1</v>
      </c>
      <c r="W30" s="238"/>
    </row>
    <row r="31" spans="2:23" s="1" customFormat="1" ht="16.5" customHeight="1">
      <c r="B31" s="13"/>
      <c r="C31" s="210">
        <v>170</v>
      </c>
      <c r="D31" s="209">
        <v>291260</v>
      </c>
      <c r="E31" s="209">
        <v>2499</v>
      </c>
      <c r="F31" s="293" t="s">
        <v>182</v>
      </c>
      <c r="G31" s="293" t="s">
        <v>251</v>
      </c>
      <c r="H31" s="294">
        <v>33</v>
      </c>
      <c r="I31" s="295">
        <f t="shared" si="0"/>
        <v>11.964</v>
      </c>
      <c r="J31" s="449">
        <v>42227.438888888886</v>
      </c>
      <c r="K31" s="450">
        <v>42227.71041666667</v>
      </c>
      <c r="L31" s="225">
        <f t="shared" si="1"/>
        <v>6.5166666667792015</v>
      </c>
      <c r="M31" s="296">
        <f t="shared" si="2"/>
        <v>391</v>
      </c>
      <c r="N31" s="227" t="s">
        <v>144</v>
      </c>
      <c r="O31" s="443" t="str">
        <f t="shared" si="9"/>
        <v>--</v>
      </c>
      <c r="P31" s="297">
        <f t="shared" si="3"/>
        <v>50</v>
      </c>
      <c r="Q31" s="298">
        <f t="shared" si="4"/>
        <v>390.0264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44" t="s">
        <v>145</v>
      </c>
      <c r="V31" s="305">
        <f t="shared" si="8"/>
        <v>390.0264</v>
      </c>
      <c r="W31" s="238"/>
    </row>
    <row r="32" spans="2:23" s="1" customFormat="1" ht="16.5" customHeight="1">
      <c r="B32" s="13"/>
      <c r="C32" s="210">
        <v>171</v>
      </c>
      <c r="D32" s="209">
        <v>291267</v>
      </c>
      <c r="E32" s="209">
        <v>2451</v>
      </c>
      <c r="F32" s="293" t="s">
        <v>189</v>
      </c>
      <c r="G32" s="293" t="s">
        <v>252</v>
      </c>
      <c r="H32" s="294">
        <v>13.199999809265137</v>
      </c>
      <c r="I32" s="295">
        <f t="shared" si="0"/>
        <v>11.964</v>
      </c>
      <c r="J32" s="449">
        <v>42228.375</v>
      </c>
      <c r="K32" s="450">
        <v>42228.63263888889</v>
      </c>
      <c r="L32" s="225">
        <f t="shared" si="1"/>
        <v>6.183333333407063</v>
      </c>
      <c r="M32" s="296">
        <f t="shared" si="2"/>
        <v>371</v>
      </c>
      <c r="N32" s="227" t="s">
        <v>144</v>
      </c>
      <c r="O32" s="443" t="str">
        <f t="shared" si="9"/>
        <v>--</v>
      </c>
      <c r="P32" s="297">
        <f t="shared" si="3"/>
        <v>40</v>
      </c>
      <c r="Q32" s="298">
        <f t="shared" si="4"/>
        <v>295.75007999999997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44" t="s">
        <v>145</v>
      </c>
      <c r="V32" s="305">
        <f t="shared" si="8"/>
        <v>295.75007999999997</v>
      </c>
      <c r="W32" s="238"/>
    </row>
    <row r="33" spans="2:23" s="1" customFormat="1" ht="16.5" customHeight="1">
      <c r="B33" s="13"/>
      <c r="C33" s="210">
        <v>172</v>
      </c>
      <c r="D33" s="209">
        <v>291277</v>
      </c>
      <c r="E33" s="209">
        <v>2452</v>
      </c>
      <c r="F33" s="293" t="s">
        <v>189</v>
      </c>
      <c r="G33" s="293" t="s">
        <v>253</v>
      </c>
      <c r="H33" s="294">
        <v>13.199999809265137</v>
      </c>
      <c r="I33" s="295">
        <f t="shared" si="0"/>
        <v>11.964</v>
      </c>
      <c r="J33" s="449">
        <v>42229.34861111111</v>
      </c>
      <c r="K33" s="450">
        <v>42229.626388888886</v>
      </c>
      <c r="L33" s="225">
        <f t="shared" si="1"/>
        <v>6.666666666569654</v>
      </c>
      <c r="M33" s="296">
        <f t="shared" si="2"/>
        <v>400</v>
      </c>
      <c r="N33" s="227" t="s">
        <v>144</v>
      </c>
      <c r="O33" s="443" t="str">
        <f t="shared" si="9"/>
        <v>--</v>
      </c>
      <c r="P33" s="297">
        <f t="shared" si="3"/>
        <v>40</v>
      </c>
      <c r="Q33" s="298">
        <f t="shared" si="4"/>
        <v>319.19952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44" t="s">
        <v>145</v>
      </c>
      <c r="V33" s="305">
        <f t="shared" si="8"/>
        <v>319.19952</v>
      </c>
      <c r="W33" s="238"/>
    </row>
    <row r="34" spans="2:23" s="1" customFormat="1" ht="16.5" customHeight="1">
      <c r="B34" s="13"/>
      <c r="C34" s="210">
        <v>173</v>
      </c>
      <c r="D34" s="209">
        <v>291293</v>
      </c>
      <c r="E34" s="209">
        <v>4071</v>
      </c>
      <c r="F34" s="293" t="s">
        <v>254</v>
      </c>
      <c r="G34" s="293" t="s">
        <v>255</v>
      </c>
      <c r="H34" s="294">
        <v>132</v>
      </c>
      <c r="I34" s="295">
        <f t="shared" si="0"/>
        <v>15.955</v>
      </c>
      <c r="J34" s="449">
        <v>42230.425</v>
      </c>
      <c r="K34" s="450">
        <v>42230.623611111114</v>
      </c>
      <c r="L34" s="225">
        <f t="shared" si="1"/>
        <v>4.766666666662786</v>
      </c>
      <c r="M34" s="296">
        <f t="shared" si="2"/>
        <v>286</v>
      </c>
      <c r="N34" s="227" t="s">
        <v>144</v>
      </c>
      <c r="O34" s="443" t="str">
        <f t="shared" si="9"/>
        <v>--</v>
      </c>
      <c r="P34" s="297">
        <f t="shared" si="3"/>
        <v>50</v>
      </c>
      <c r="Q34" s="298">
        <f t="shared" si="4"/>
        <v>380.52675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44" t="s">
        <v>145</v>
      </c>
      <c r="V34" s="305">
        <f t="shared" si="8"/>
        <v>380.52675</v>
      </c>
      <c r="W34" s="238"/>
    </row>
    <row r="35" spans="2:23" s="1" customFormat="1" ht="16.5" customHeight="1">
      <c r="B35" s="13"/>
      <c r="C35" s="210">
        <v>174</v>
      </c>
      <c r="D35" s="209">
        <v>291300</v>
      </c>
      <c r="E35" s="209">
        <v>2269</v>
      </c>
      <c r="F35" s="293" t="s">
        <v>215</v>
      </c>
      <c r="G35" s="293" t="s">
        <v>230</v>
      </c>
      <c r="H35" s="294">
        <v>66</v>
      </c>
      <c r="I35" s="295">
        <f t="shared" si="0"/>
        <v>15.955</v>
      </c>
      <c r="J35" s="449">
        <v>42233.364583333336</v>
      </c>
      <c r="K35" s="450">
        <v>42233.50486111111</v>
      </c>
      <c r="L35" s="225">
        <f t="shared" si="1"/>
        <v>3.366666666639503</v>
      </c>
      <c r="M35" s="296">
        <f t="shared" si="2"/>
        <v>202</v>
      </c>
      <c r="N35" s="227" t="s">
        <v>144</v>
      </c>
      <c r="O35" s="443" t="str">
        <f t="shared" si="9"/>
        <v>--</v>
      </c>
      <c r="P35" s="297">
        <f t="shared" si="3"/>
        <v>50</v>
      </c>
      <c r="Q35" s="298">
        <f t="shared" si="4"/>
        <v>268.84175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44" t="s">
        <v>145</v>
      </c>
      <c r="V35" s="305">
        <f t="shared" si="8"/>
        <v>268.84175</v>
      </c>
      <c r="W35" s="238"/>
    </row>
    <row r="36" spans="2:23" s="1" customFormat="1" ht="16.5" customHeight="1">
      <c r="B36" s="13"/>
      <c r="C36" s="210">
        <v>175</v>
      </c>
      <c r="D36" s="209">
        <v>291302</v>
      </c>
      <c r="E36" s="209">
        <v>2270</v>
      </c>
      <c r="F36" s="293" t="s">
        <v>215</v>
      </c>
      <c r="G36" s="293" t="s">
        <v>231</v>
      </c>
      <c r="H36" s="294">
        <v>66</v>
      </c>
      <c r="I36" s="295">
        <f t="shared" si="0"/>
        <v>15.955</v>
      </c>
      <c r="J36" s="449">
        <v>42233.50555555556</v>
      </c>
      <c r="K36" s="450">
        <v>42233.67013888889</v>
      </c>
      <c r="L36" s="225">
        <f t="shared" si="1"/>
        <v>3.949999999953434</v>
      </c>
      <c r="M36" s="296">
        <f t="shared" si="2"/>
        <v>237</v>
      </c>
      <c r="N36" s="227" t="s">
        <v>144</v>
      </c>
      <c r="O36" s="443" t="str">
        <f t="shared" si="9"/>
        <v>--</v>
      </c>
      <c r="P36" s="297">
        <f t="shared" si="3"/>
        <v>50</v>
      </c>
      <c r="Q36" s="298">
        <f t="shared" si="4"/>
        <v>315.11125000000004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44" t="s">
        <v>145</v>
      </c>
      <c r="V36" s="305">
        <f t="shared" si="8"/>
        <v>315.11125000000004</v>
      </c>
      <c r="W36" s="238"/>
    </row>
    <row r="37" spans="2:23" s="1" customFormat="1" ht="16.5" customHeight="1">
      <c r="B37" s="13"/>
      <c r="C37" s="210"/>
      <c r="D37" s="209"/>
      <c r="E37" s="209"/>
      <c r="F37" s="293"/>
      <c r="G37" s="293"/>
      <c r="H37" s="294"/>
      <c r="I37" s="295"/>
      <c r="J37" s="449"/>
      <c r="K37" s="450"/>
      <c r="L37" s="225"/>
      <c r="M37" s="296"/>
      <c r="N37" s="227"/>
      <c r="O37" s="443"/>
      <c r="P37" s="297"/>
      <c r="Q37" s="298"/>
      <c r="R37" s="299"/>
      <c r="S37" s="300"/>
      <c r="T37" s="301"/>
      <c r="U37" s="444"/>
      <c r="V37" s="305"/>
      <c r="W37" s="238"/>
    </row>
    <row r="38" spans="2:23" s="1" customFormat="1" ht="16.5" customHeight="1">
      <c r="B38" s="13"/>
      <c r="C38" s="210">
        <v>177</v>
      </c>
      <c r="D38" s="209">
        <v>291519</v>
      </c>
      <c r="E38" s="209">
        <v>2643</v>
      </c>
      <c r="F38" s="293" t="s">
        <v>234</v>
      </c>
      <c r="G38" s="293" t="s">
        <v>256</v>
      </c>
      <c r="H38" s="294">
        <v>13.199999809265137</v>
      </c>
      <c r="I38" s="295">
        <f t="shared" si="0"/>
        <v>11.964</v>
      </c>
      <c r="J38" s="449">
        <v>42234.373611111114</v>
      </c>
      <c r="K38" s="450">
        <v>42234.60486111111</v>
      </c>
      <c r="L38" s="225">
        <f t="shared" si="1"/>
        <v>5.549999999930151</v>
      </c>
      <c r="M38" s="296">
        <f t="shared" si="2"/>
        <v>333</v>
      </c>
      <c r="N38" s="227" t="s">
        <v>144</v>
      </c>
      <c r="O38" s="443" t="str">
        <f t="shared" si="9"/>
        <v>--</v>
      </c>
      <c r="P38" s="297">
        <f t="shared" si="3"/>
        <v>40</v>
      </c>
      <c r="Q38" s="298">
        <f t="shared" si="4"/>
        <v>265.6008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44" t="s">
        <v>145</v>
      </c>
      <c r="V38" s="305">
        <f t="shared" si="8"/>
        <v>265.6008</v>
      </c>
      <c r="W38" s="238"/>
    </row>
    <row r="39" spans="2:23" s="1" customFormat="1" ht="16.5" customHeight="1">
      <c r="B39" s="13"/>
      <c r="C39" s="210">
        <v>178</v>
      </c>
      <c r="D39" s="209">
        <v>291521</v>
      </c>
      <c r="E39" s="209">
        <v>2445</v>
      </c>
      <c r="F39" s="293" t="s">
        <v>189</v>
      </c>
      <c r="G39" s="293" t="s">
        <v>257</v>
      </c>
      <c r="H39" s="294">
        <v>13.199999809265137</v>
      </c>
      <c r="I39" s="295">
        <f t="shared" si="0"/>
        <v>11.964</v>
      </c>
      <c r="J39" s="449">
        <v>42234.38333333333</v>
      </c>
      <c r="K39" s="450">
        <v>42234.711805555555</v>
      </c>
      <c r="L39" s="225">
        <f t="shared" si="1"/>
        <v>7.883333333360497</v>
      </c>
      <c r="M39" s="296">
        <f t="shared" si="2"/>
        <v>473</v>
      </c>
      <c r="N39" s="227" t="s">
        <v>144</v>
      </c>
      <c r="O39" s="443" t="str">
        <f t="shared" si="9"/>
        <v>--</v>
      </c>
      <c r="P39" s="297">
        <f t="shared" si="3"/>
        <v>40</v>
      </c>
      <c r="Q39" s="298">
        <f t="shared" si="4"/>
        <v>377.10528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44" t="s">
        <v>145</v>
      </c>
      <c r="V39" s="305">
        <f t="shared" si="8"/>
        <v>377.10528</v>
      </c>
      <c r="W39" s="238"/>
    </row>
    <row r="40" spans="2:23" s="1" customFormat="1" ht="16.5" customHeight="1">
      <c r="B40" s="13"/>
      <c r="C40" s="210">
        <v>179</v>
      </c>
      <c r="D40" s="209">
        <v>291522</v>
      </c>
      <c r="E40" s="209">
        <v>2158</v>
      </c>
      <c r="F40" s="293" t="s">
        <v>194</v>
      </c>
      <c r="G40" s="293" t="s">
        <v>258</v>
      </c>
      <c r="H40" s="294">
        <v>33</v>
      </c>
      <c r="I40" s="295">
        <f t="shared" si="0"/>
        <v>11.964</v>
      </c>
      <c r="J40" s="449">
        <v>42234.395833333336</v>
      </c>
      <c r="K40" s="450">
        <v>42234.68194444444</v>
      </c>
      <c r="L40" s="225">
        <f t="shared" si="1"/>
        <v>6.866666666523088</v>
      </c>
      <c r="M40" s="296">
        <f t="shared" si="2"/>
        <v>412</v>
      </c>
      <c r="N40" s="227" t="s">
        <v>144</v>
      </c>
      <c r="O40" s="443" t="str">
        <f t="shared" si="9"/>
        <v>--</v>
      </c>
      <c r="P40" s="297">
        <f t="shared" si="3"/>
        <v>50</v>
      </c>
      <c r="Q40" s="298">
        <f t="shared" si="4"/>
        <v>410.96340000000004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44" t="s">
        <v>145</v>
      </c>
      <c r="V40" s="305">
        <f t="shared" si="8"/>
        <v>410.96340000000004</v>
      </c>
      <c r="W40" s="238"/>
    </row>
    <row r="41" spans="2:23" s="1" customFormat="1" ht="16.5" customHeight="1">
      <c r="B41" s="13"/>
      <c r="C41" s="210">
        <v>180</v>
      </c>
      <c r="D41" s="209">
        <v>291523</v>
      </c>
      <c r="E41" s="209">
        <v>2301</v>
      </c>
      <c r="F41" s="293" t="s">
        <v>259</v>
      </c>
      <c r="G41" s="293" t="s">
        <v>260</v>
      </c>
      <c r="H41" s="294">
        <v>33</v>
      </c>
      <c r="I41" s="295">
        <f t="shared" si="0"/>
        <v>11.964</v>
      </c>
      <c r="J41" s="449">
        <v>42234.39791666667</v>
      </c>
      <c r="K41" s="450">
        <v>42234.61944444444</v>
      </c>
      <c r="L41" s="225">
        <f t="shared" si="1"/>
        <v>5.316666666534729</v>
      </c>
      <c r="M41" s="296">
        <f t="shared" si="2"/>
        <v>319</v>
      </c>
      <c r="N41" s="227" t="s">
        <v>144</v>
      </c>
      <c r="O41" s="443" t="str">
        <f t="shared" si="9"/>
        <v>--</v>
      </c>
      <c r="P41" s="297">
        <f t="shared" si="3"/>
        <v>50</v>
      </c>
      <c r="Q41" s="298">
        <f t="shared" si="4"/>
        <v>318.2424000000001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44" t="s">
        <v>145</v>
      </c>
      <c r="V41" s="305">
        <f t="shared" si="8"/>
        <v>318.2424000000001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67</v>
      </c>
      <c r="D43" s="471" t="s">
        <v>319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5521.44771</v>
      </c>
      <c r="R43" s="309">
        <f>SUM(R20:R42)</f>
        <v>598.2</v>
      </c>
      <c r="S43" s="309">
        <f>SUM(S20:S42)</f>
        <v>13656.906</v>
      </c>
      <c r="T43" s="310">
        <f>SUM(T20:T42)</f>
        <v>0</v>
      </c>
      <c r="U43" s="311"/>
      <c r="V43" s="420">
        <f>ROUND(SUM(V20:V42),2)</f>
        <v>27649.71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W47"/>
  <sheetViews>
    <sheetView zoomScale="80" zoomScaleNormal="80" zoomScalePageLayoutView="0" workbookViewId="0" topLeftCell="A1">
      <selection activeCell="A39" sqref="A39:IV39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421875" style="5" customWidth="1"/>
    <col min="11" max="11" width="16.57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'TOT-0815'!B14</f>
        <v>Desde el 01 al 31 de agosto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31.907</v>
      </c>
      <c r="H14" s="267">
        <f>60*'TOT-0815'!B13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15.955</v>
      </c>
      <c r="H15" s="267">
        <f>50*'TOT-0815'!B13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11.964</v>
      </c>
      <c r="H16" s="271">
        <f>50*'TOT-0815'!B13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11.964</v>
      </c>
      <c r="H17" s="276">
        <f>40*'TOT-0815'!B13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14"/>
    </row>
    <row r="19" spans="2:23" s="277" customFormat="1" ht="34.5" customHeight="1" thickBot="1" thickTop="1">
      <c r="B19" s="278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1"/>
      <c r="E20" s="421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'SA-08 (2)'!V43</f>
        <v>27649.71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49"/>
      <c r="K21" s="450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181</v>
      </c>
      <c r="D22" s="209">
        <v>291526</v>
      </c>
      <c r="E22" s="209">
        <v>2266</v>
      </c>
      <c r="F22" s="293" t="s">
        <v>261</v>
      </c>
      <c r="G22" s="293" t="s">
        <v>262</v>
      </c>
      <c r="H22" s="304">
        <v>33</v>
      </c>
      <c r="I22" s="295">
        <f aca="true" t="shared" si="0" ref="I22:I41">IF(H22=220,$G$14,IF(AND(H22&lt;=132,H22&gt;=66),$G$15,IF(AND(H22&lt;66,H22&gt;=33),$G$16,$G$17)))</f>
        <v>11.964</v>
      </c>
      <c r="J22" s="449">
        <v>42234.43472222222</v>
      </c>
      <c r="K22" s="450">
        <v>42234.72222222222</v>
      </c>
      <c r="L22" s="225">
        <f aca="true" t="shared" si="1" ref="L22:L41">IF(F22="","",(K22-J22)*24)</f>
        <v>6.899999999965075</v>
      </c>
      <c r="M22" s="296">
        <f aca="true" t="shared" si="2" ref="M22:M41">IF(F22="","",ROUND((K22-J22)*24*60,0))</f>
        <v>414</v>
      </c>
      <c r="N22" s="227" t="s">
        <v>144</v>
      </c>
      <c r="O22" s="443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50</v>
      </c>
      <c r="Q22" s="298">
        <f aca="true" t="shared" si="4" ref="Q22:Q41">IF(N22="P",I22*P22*ROUND(M22/60,2)*0.1,"--")</f>
        <v>412.7580000000001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44" t="s">
        <v>145</v>
      </c>
      <c r="V22" s="305">
        <f aca="true" t="shared" si="8" ref="V22:V41">IF(F22="","",SUM(Q22:T22)*IF(U22="SI",1,2)*IF(H22="500/220",0,1))</f>
        <v>412.7580000000001</v>
      </c>
      <c r="W22" s="238"/>
    </row>
    <row r="23" spans="2:23" s="1" customFormat="1" ht="16.5" customHeight="1">
      <c r="B23" s="13"/>
      <c r="C23" s="210">
        <v>182</v>
      </c>
      <c r="D23" s="209">
        <v>291530</v>
      </c>
      <c r="E23" s="209">
        <v>2446</v>
      </c>
      <c r="F23" s="293" t="s">
        <v>189</v>
      </c>
      <c r="G23" s="293" t="s">
        <v>226</v>
      </c>
      <c r="H23" s="294">
        <v>13.199999809265137</v>
      </c>
      <c r="I23" s="295">
        <f t="shared" si="0"/>
        <v>11.964</v>
      </c>
      <c r="J23" s="449">
        <v>42235.347916666666</v>
      </c>
      <c r="K23" s="450">
        <v>42235.78055555555</v>
      </c>
      <c r="L23" s="225">
        <f t="shared" si="1"/>
        <v>10.38333333330229</v>
      </c>
      <c r="M23" s="296">
        <f t="shared" si="2"/>
        <v>623</v>
      </c>
      <c r="N23" s="227" t="s">
        <v>144</v>
      </c>
      <c r="O23" s="443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496.74528000000004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44" t="s">
        <v>145</v>
      </c>
      <c r="V23" s="305">
        <f t="shared" si="8"/>
        <v>496.74528000000004</v>
      </c>
      <c r="W23" s="238"/>
    </row>
    <row r="24" spans="2:23" s="1" customFormat="1" ht="16.5" customHeight="1">
      <c r="B24" s="13"/>
      <c r="C24" s="210">
        <v>183</v>
      </c>
      <c r="D24" s="209">
        <v>291532</v>
      </c>
      <c r="E24" s="209">
        <v>2158</v>
      </c>
      <c r="F24" s="293" t="s">
        <v>194</v>
      </c>
      <c r="G24" s="293" t="s">
        <v>258</v>
      </c>
      <c r="H24" s="294">
        <v>33</v>
      </c>
      <c r="I24" s="295">
        <f t="shared" si="0"/>
        <v>11.964</v>
      </c>
      <c r="J24" s="449">
        <v>42235.370833333334</v>
      </c>
      <c r="K24" s="450">
        <v>42235.73402777778</v>
      </c>
      <c r="L24" s="225">
        <f t="shared" si="1"/>
        <v>8.71666666661622</v>
      </c>
      <c r="M24" s="296">
        <f t="shared" si="2"/>
        <v>523</v>
      </c>
      <c r="N24" s="227" t="s">
        <v>144</v>
      </c>
      <c r="O24" s="443" t="str">
        <f t="shared" si="9"/>
        <v>--</v>
      </c>
      <c r="P24" s="297">
        <f t="shared" si="3"/>
        <v>50</v>
      </c>
      <c r="Q24" s="298">
        <f t="shared" si="4"/>
        <v>521.6304000000001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44" t="s">
        <v>145</v>
      </c>
      <c r="V24" s="305">
        <f t="shared" si="8"/>
        <v>521.6304000000001</v>
      </c>
      <c r="W24" s="238"/>
    </row>
    <row r="25" spans="2:23" s="1" customFormat="1" ht="16.5" customHeight="1">
      <c r="B25" s="13"/>
      <c r="C25" s="210">
        <v>184</v>
      </c>
      <c r="D25" s="209">
        <v>291533</v>
      </c>
      <c r="E25" s="209">
        <v>2644</v>
      </c>
      <c r="F25" s="293" t="s">
        <v>234</v>
      </c>
      <c r="G25" s="293" t="s">
        <v>263</v>
      </c>
      <c r="H25" s="294">
        <v>13.199999809265137</v>
      </c>
      <c r="I25" s="295">
        <f t="shared" si="0"/>
        <v>11.964</v>
      </c>
      <c r="J25" s="449">
        <v>42235.38611111111</v>
      </c>
      <c r="K25" s="450">
        <v>42235.54305555556</v>
      </c>
      <c r="L25" s="225">
        <f t="shared" si="1"/>
        <v>3.766666666720994</v>
      </c>
      <c r="M25" s="296">
        <f t="shared" si="2"/>
        <v>226</v>
      </c>
      <c r="N25" s="227" t="s">
        <v>144</v>
      </c>
      <c r="O25" s="443" t="str">
        <f t="shared" si="9"/>
        <v>--</v>
      </c>
      <c r="P25" s="297">
        <f t="shared" si="3"/>
        <v>40</v>
      </c>
      <c r="Q25" s="298">
        <f t="shared" si="4"/>
        <v>180.41712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44" t="s">
        <v>145</v>
      </c>
      <c r="V25" s="305">
        <f t="shared" si="8"/>
        <v>180.41712</v>
      </c>
      <c r="W25" s="238"/>
    </row>
    <row r="26" spans="2:23" s="1" customFormat="1" ht="16.5" customHeight="1">
      <c r="B26" s="13"/>
      <c r="C26" s="210">
        <v>185</v>
      </c>
      <c r="D26" s="209">
        <v>291536</v>
      </c>
      <c r="E26" s="209">
        <v>2267</v>
      </c>
      <c r="F26" s="293" t="s">
        <v>261</v>
      </c>
      <c r="G26" s="293" t="s">
        <v>264</v>
      </c>
      <c r="H26" s="294">
        <v>33</v>
      </c>
      <c r="I26" s="295">
        <f t="shared" si="0"/>
        <v>11.964</v>
      </c>
      <c r="J26" s="449">
        <v>42235.40069444444</v>
      </c>
      <c r="K26" s="450">
        <v>42235.58819444444</v>
      </c>
      <c r="L26" s="225">
        <f t="shared" si="1"/>
        <v>4.5</v>
      </c>
      <c r="M26" s="296">
        <f t="shared" si="2"/>
        <v>270</v>
      </c>
      <c r="N26" s="227" t="s">
        <v>144</v>
      </c>
      <c r="O26" s="443" t="str">
        <f t="shared" si="9"/>
        <v>--</v>
      </c>
      <c r="P26" s="297">
        <f t="shared" si="3"/>
        <v>50</v>
      </c>
      <c r="Q26" s="298">
        <f t="shared" si="4"/>
        <v>269.19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44" t="s">
        <v>145</v>
      </c>
      <c r="V26" s="305">
        <f t="shared" si="8"/>
        <v>269.19</v>
      </c>
      <c r="W26" s="238"/>
    </row>
    <row r="27" spans="2:23" s="1" customFormat="1" ht="16.5" customHeight="1">
      <c r="B27" s="13"/>
      <c r="C27" s="210">
        <v>186</v>
      </c>
      <c r="D27" s="209">
        <v>291537</v>
      </c>
      <c r="E27" s="209">
        <v>2512</v>
      </c>
      <c r="F27" s="293" t="s">
        <v>265</v>
      </c>
      <c r="G27" s="293" t="s">
        <v>266</v>
      </c>
      <c r="H27" s="294">
        <v>33</v>
      </c>
      <c r="I27" s="295">
        <f t="shared" si="0"/>
        <v>11.964</v>
      </c>
      <c r="J27" s="449">
        <v>42235.42013888889</v>
      </c>
      <c r="K27" s="450">
        <v>42237.729166666664</v>
      </c>
      <c r="L27" s="225">
        <f t="shared" si="1"/>
        <v>55.416666666569654</v>
      </c>
      <c r="M27" s="296">
        <f t="shared" si="2"/>
        <v>3325</v>
      </c>
      <c r="N27" s="227" t="s">
        <v>144</v>
      </c>
      <c r="O27" s="443" t="str">
        <f t="shared" si="9"/>
        <v>--</v>
      </c>
      <c r="P27" s="297">
        <f t="shared" si="3"/>
        <v>50</v>
      </c>
      <c r="Q27" s="298">
        <f t="shared" si="4"/>
        <v>3315.224400000001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44" t="s">
        <v>145</v>
      </c>
      <c r="V27" s="305">
        <f t="shared" si="8"/>
        <v>3315.224400000001</v>
      </c>
      <c r="W27" s="238"/>
    </row>
    <row r="28" spans="2:23" s="1" customFormat="1" ht="16.5" customHeight="1">
      <c r="B28" s="13"/>
      <c r="C28" s="210">
        <v>187</v>
      </c>
      <c r="D28" s="209">
        <v>291538</v>
      </c>
      <c r="E28" s="209">
        <v>2301</v>
      </c>
      <c r="F28" s="293" t="s">
        <v>259</v>
      </c>
      <c r="G28" s="293" t="s">
        <v>260</v>
      </c>
      <c r="H28" s="294">
        <v>33</v>
      </c>
      <c r="I28" s="295">
        <f t="shared" si="0"/>
        <v>11.964</v>
      </c>
      <c r="J28" s="449">
        <v>42235.42569444444</v>
      </c>
      <c r="K28" s="450">
        <v>42235.580555555556</v>
      </c>
      <c r="L28" s="225">
        <f t="shared" si="1"/>
        <v>3.7166666667326353</v>
      </c>
      <c r="M28" s="296">
        <f t="shared" si="2"/>
        <v>223</v>
      </c>
      <c r="N28" s="227" t="s">
        <v>144</v>
      </c>
      <c r="O28" s="443" t="str">
        <f t="shared" si="9"/>
        <v>--</v>
      </c>
      <c r="P28" s="297">
        <f t="shared" si="3"/>
        <v>50</v>
      </c>
      <c r="Q28" s="298">
        <f t="shared" si="4"/>
        <v>222.53040000000001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44" t="s">
        <v>145</v>
      </c>
      <c r="V28" s="305">
        <f t="shared" si="8"/>
        <v>222.53040000000001</v>
      </c>
      <c r="W28" s="238"/>
    </row>
    <row r="29" spans="2:23" s="1" customFormat="1" ht="16.5" customHeight="1">
      <c r="B29" s="13"/>
      <c r="C29" s="210">
        <v>188</v>
      </c>
      <c r="D29" s="209">
        <v>291539</v>
      </c>
      <c r="E29" s="209">
        <v>2150</v>
      </c>
      <c r="F29" s="293" t="s">
        <v>203</v>
      </c>
      <c r="G29" s="293" t="s">
        <v>267</v>
      </c>
      <c r="H29" s="294">
        <v>13.199999809265137</v>
      </c>
      <c r="I29" s="295">
        <f t="shared" si="0"/>
        <v>11.964</v>
      </c>
      <c r="J29" s="449">
        <v>42235.458333333336</v>
      </c>
      <c r="K29" s="450">
        <v>42235.486805555556</v>
      </c>
      <c r="L29" s="225">
        <f t="shared" si="1"/>
        <v>0.6833333332906477</v>
      </c>
      <c r="M29" s="296">
        <f t="shared" si="2"/>
        <v>41</v>
      </c>
      <c r="N29" s="227" t="s">
        <v>149</v>
      </c>
      <c r="O29" s="443" t="str">
        <f t="shared" si="9"/>
        <v>NO</v>
      </c>
      <c r="P29" s="297">
        <f t="shared" si="3"/>
        <v>40</v>
      </c>
      <c r="Q29" s="298" t="str">
        <f t="shared" si="4"/>
        <v>--</v>
      </c>
      <c r="R29" s="299">
        <f t="shared" si="5"/>
        <v>478.56</v>
      </c>
      <c r="S29" s="300">
        <f t="shared" si="6"/>
        <v>325.42080000000004</v>
      </c>
      <c r="T29" s="301" t="str">
        <f t="shared" si="7"/>
        <v>--</v>
      </c>
      <c r="U29" s="444" t="s">
        <v>145</v>
      </c>
      <c r="V29" s="305">
        <f t="shared" si="8"/>
        <v>803.9808</v>
      </c>
      <c r="W29" s="238"/>
    </row>
    <row r="30" spans="2:23" s="1" customFormat="1" ht="16.5" customHeight="1">
      <c r="B30" s="13"/>
      <c r="C30" s="210">
        <v>189</v>
      </c>
      <c r="D30" s="209">
        <v>291540</v>
      </c>
      <c r="E30" s="209">
        <v>2152</v>
      </c>
      <c r="F30" s="293" t="s">
        <v>203</v>
      </c>
      <c r="G30" s="293" t="s">
        <v>268</v>
      </c>
      <c r="H30" s="294">
        <v>13.199999809265137</v>
      </c>
      <c r="I30" s="295">
        <f t="shared" si="0"/>
        <v>11.964</v>
      </c>
      <c r="J30" s="449">
        <v>42235.458333333336</v>
      </c>
      <c r="K30" s="450">
        <v>42235.486805555556</v>
      </c>
      <c r="L30" s="225">
        <f t="shared" si="1"/>
        <v>0.6833333332906477</v>
      </c>
      <c r="M30" s="296">
        <f t="shared" si="2"/>
        <v>41</v>
      </c>
      <c r="N30" s="227" t="s">
        <v>149</v>
      </c>
      <c r="O30" s="443" t="str">
        <f t="shared" si="9"/>
        <v>NO</v>
      </c>
      <c r="P30" s="297">
        <f t="shared" si="3"/>
        <v>40</v>
      </c>
      <c r="Q30" s="298" t="str">
        <f t="shared" si="4"/>
        <v>--</v>
      </c>
      <c r="R30" s="299">
        <f t="shared" si="5"/>
        <v>478.56</v>
      </c>
      <c r="S30" s="300">
        <f t="shared" si="6"/>
        <v>325.42080000000004</v>
      </c>
      <c r="T30" s="301" t="str">
        <f t="shared" si="7"/>
        <v>--</v>
      </c>
      <c r="U30" s="444" t="s">
        <v>145</v>
      </c>
      <c r="V30" s="305">
        <f t="shared" si="8"/>
        <v>803.9808</v>
      </c>
      <c r="W30" s="238"/>
    </row>
    <row r="31" spans="2:23" s="1" customFormat="1" ht="16.5" customHeight="1">
      <c r="B31" s="13"/>
      <c r="C31" s="210">
        <v>190</v>
      </c>
      <c r="D31" s="209">
        <v>291542</v>
      </c>
      <c r="E31" s="209">
        <v>2148</v>
      </c>
      <c r="F31" s="293" t="s">
        <v>203</v>
      </c>
      <c r="G31" s="293" t="s">
        <v>269</v>
      </c>
      <c r="H31" s="294">
        <v>33</v>
      </c>
      <c r="I31" s="295">
        <f t="shared" si="0"/>
        <v>11.964</v>
      </c>
      <c r="J31" s="449">
        <v>42235.458333333336</v>
      </c>
      <c r="K31" s="450">
        <v>42235.4875</v>
      </c>
      <c r="L31" s="225">
        <f t="shared" si="1"/>
        <v>0.7000000000116415</v>
      </c>
      <c r="M31" s="296">
        <f t="shared" si="2"/>
        <v>42</v>
      </c>
      <c r="N31" s="227" t="s">
        <v>149</v>
      </c>
      <c r="O31" s="443" t="str">
        <f t="shared" si="9"/>
        <v>NO</v>
      </c>
      <c r="P31" s="297">
        <f t="shared" si="3"/>
        <v>50</v>
      </c>
      <c r="Q31" s="298" t="str">
        <f t="shared" si="4"/>
        <v>--</v>
      </c>
      <c r="R31" s="299">
        <f t="shared" si="5"/>
        <v>598.2</v>
      </c>
      <c r="S31" s="300">
        <f t="shared" si="6"/>
        <v>418.74</v>
      </c>
      <c r="T31" s="301" t="str">
        <f t="shared" si="7"/>
        <v>--</v>
      </c>
      <c r="U31" s="444" t="s">
        <v>145</v>
      </c>
      <c r="V31" s="305">
        <f t="shared" si="8"/>
        <v>1016.94</v>
      </c>
      <c r="W31" s="238"/>
    </row>
    <row r="32" spans="2:23" s="1" customFormat="1" ht="16.5" customHeight="1">
      <c r="B32" s="13"/>
      <c r="C32" s="210">
        <v>191</v>
      </c>
      <c r="D32" s="209">
        <v>291564</v>
      </c>
      <c r="E32" s="209">
        <v>2334</v>
      </c>
      <c r="F32" s="293" t="s">
        <v>245</v>
      </c>
      <c r="G32" s="293" t="s">
        <v>270</v>
      </c>
      <c r="H32" s="294">
        <v>13.199999809265137</v>
      </c>
      <c r="I32" s="295">
        <f t="shared" si="0"/>
        <v>11.964</v>
      </c>
      <c r="J32" s="449">
        <v>42236.33888888889</v>
      </c>
      <c r="K32" s="450">
        <v>42236.62222222222</v>
      </c>
      <c r="L32" s="225">
        <f t="shared" si="1"/>
        <v>6.7999999999883585</v>
      </c>
      <c r="M32" s="296">
        <f t="shared" si="2"/>
        <v>408</v>
      </c>
      <c r="N32" s="227" t="s">
        <v>144</v>
      </c>
      <c r="O32" s="443" t="str">
        <f t="shared" si="9"/>
        <v>--</v>
      </c>
      <c r="P32" s="297">
        <f t="shared" si="3"/>
        <v>40</v>
      </c>
      <c r="Q32" s="298">
        <f t="shared" si="4"/>
        <v>325.42080000000004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44" t="s">
        <v>145</v>
      </c>
      <c r="V32" s="305">
        <f t="shared" si="8"/>
        <v>325.42080000000004</v>
      </c>
      <c r="W32" s="238"/>
    </row>
    <row r="33" spans="2:23" s="1" customFormat="1" ht="16.5" customHeight="1">
      <c r="B33" s="13"/>
      <c r="C33" s="210">
        <v>192</v>
      </c>
      <c r="D33" s="209">
        <v>291568</v>
      </c>
      <c r="E33" s="209">
        <v>2447</v>
      </c>
      <c r="F33" s="293" t="s">
        <v>189</v>
      </c>
      <c r="G33" s="293" t="s">
        <v>227</v>
      </c>
      <c r="H33" s="294">
        <v>13.199999809265137</v>
      </c>
      <c r="I33" s="295">
        <f t="shared" si="0"/>
        <v>11.964</v>
      </c>
      <c r="J33" s="449">
        <v>42236.35833333333</v>
      </c>
      <c r="K33" s="450">
        <v>42236.61319444444</v>
      </c>
      <c r="L33" s="225">
        <f t="shared" si="1"/>
        <v>6.116666666697711</v>
      </c>
      <c r="M33" s="296">
        <f t="shared" si="2"/>
        <v>367</v>
      </c>
      <c r="N33" s="227" t="s">
        <v>144</v>
      </c>
      <c r="O33" s="443" t="str">
        <f t="shared" si="9"/>
        <v>--</v>
      </c>
      <c r="P33" s="297">
        <f t="shared" si="3"/>
        <v>40</v>
      </c>
      <c r="Q33" s="298">
        <f t="shared" si="4"/>
        <v>292.87872000000004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44" t="s">
        <v>145</v>
      </c>
      <c r="V33" s="305">
        <f t="shared" si="8"/>
        <v>292.87872000000004</v>
      </c>
      <c r="W33" s="238"/>
    </row>
    <row r="34" spans="2:23" s="1" customFormat="1" ht="16.5" customHeight="1">
      <c r="B34" s="13"/>
      <c r="C34" s="210">
        <v>193</v>
      </c>
      <c r="D34" s="209">
        <v>291570</v>
      </c>
      <c r="E34" s="209">
        <v>2242</v>
      </c>
      <c r="F34" s="293" t="s">
        <v>271</v>
      </c>
      <c r="G34" s="293" t="s">
        <v>272</v>
      </c>
      <c r="H34" s="294">
        <v>33</v>
      </c>
      <c r="I34" s="295">
        <f t="shared" si="0"/>
        <v>11.964</v>
      </c>
      <c r="J34" s="449">
        <v>42236.3625</v>
      </c>
      <c r="K34" s="450">
        <v>42236.50208333333</v>
      </c>
      <c r="L34" s="225">
        <f t="shared" si="1"/>
        <v>3.3499999999185093</v>
      </c>
      <c r="M34" s="296">
        <f t="shared" si="2"/>
        <v>201</v>
      </c>
      <c r="N34" s="227" t="s">
        <v>144</v>
      </c>
      <c r="O34" s="443" t="str">
        <f t="shared" si="9"/>
        <v>--</v>
      </c>
      <c r="P34" s="297">
        <f t="shared" si="3"/>
        <v>50</v>
      </c>
      <c r="Q34" s="298">
        <f t="shared" si="4"/>
        <v>200.39700000000005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44" t="s">
        <v>145</v>
      </c>
      <c r="V34" s="305">
        <f t="shared" si="8"/>
        <v>200.39700000000005</v>
      </c>
      <c r="W34" s="238"/>
    </row>
    <row r="35" spans="2:23" s="1" customFormat="1" ht="16.5" customHeight="1">
      <c r="B35" s="13"/>
      <c r="C35" s="210">
        <v>194</v>
      </c>
      <c r="D35" s="209">
        <v>291575</v>
      </c>
      <c r="E35" s="209">
        <v>2158</v>
      </c>
      <c r="F35" s="293" t="s">
        <v>194</v>
      </c>
      <c r="G35" s="293" t="s">
        <v>258</v>
      </c>
      <c r="H35" s="294">
        <v>33</v>
      </c>
      <c r="I35" s="295">
        <f t="shared" si="0"/>
        <v>11.964</v>
      </c>
      <c r="J35" s="449">
        <v>42236.40138888889</v>
      </c>
      <c r="K35" s="450">
        <v>42236.69097222222</v>
      </c>
      <c r="L35" s="225">
        <f t="shared" si="1"/>
        <v>6.949999999953434</v>
      </c>
      <c r="M35" s="296">
        <f t="shared" si="2"/>
        <v>417</v>
      </c>
      <c r="N35" s="227" t="s">
        <v>144</v>
      </c>
      <c r="O35" s="443" t="str">
        <f t="shared" si="9"/>
        <v>--</v>
      </c>
      <c r="P35" s="297">
        <f t="shared" si="3"/>
        <v>50</v>
      </c>
      <c r="Q35" s="298">
        <f t="shared" si="4"/>
        <v>415.7490000000001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44" t="s">
        <v>145</v>
      </c>
      <c r="V35" s="305">
        <f t="shared" si="8"/>
        <v>415.7490000000001</v>
      </c>
      <c r="W35" s="238"/>
    </row>
    <row r="36" spans="2:23" s="1" customFormat="1" ht="16.5" customHeight="1">
      <c r="B36" s="13"/>
      <c r="C36" s="210">
        <v>195</v>
      </c>
      <c r="D36" s="209">
        <v>291576</v>
      </c>
      <c r="E36" s="209">
        <v>2302</v>
      </c>
      <c r="F36" s="293" t="s">
        <v>259</v>
      </c>
      <c r="G36" s="293" t="s">
        <v>273</v>
      </c>
      <c r="H36" s="294">
        <v>33</v>
      </c>
      <c r="I36" s="295">
        <f t="shared" si="0"/>
        <v>11.964</v>
      </c>
      <c r="J36" s="449">
        <v>42236.40694444445</v>
      </c>
      <c r="K36" s="450">
        <v>42236.686111111114</v>
      </c>
      <c r="L36" s="225">
        <f t="shared" si="1"/>
        <v>6.7000000000116415</v>
      </c>
      <c r="M36" s="296">
        <f t="shared" si="2"/>
        <v>402</v>
      </c>
      <c r="N36" s="227" t="s">
        <v>144</v>
      </c>
      <c r="O36" s="443" t="str">
        <f t="shared" si="9"/>
        <v>--</v>
      </c>
      <c r="P36" s="297">
        <f t="shared" si="3"/>
        <v>50</v>
      </c>
      <c r="Q36" s="298">
        <f t="shared" si="4"/>
        <v>400.7940000000001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44" t="s">
        <v>145</v>
      </c>
      <c r="V36" s="305">
        <f t="shared" si="8"/>
        <v>400.7940000000001</v>
      </c>
      <c r="W36" s="238"/>
    </row>
    <row r="37" spans="2:23" s="1" customFormat="1" ht="16.5" customHeight="1">
      <c r="B37" s="13"/>
      <c r="C37" s="210">
        <v>196</v>
      </c>
      <c r="D37" s="209">
        <v>291577</v>
      </c>
      <c r="E37" s="209">
        <v>2314</v>
      </c>
      <c r="F37" s="293" t="s">
        <v>234</v>
      </c>
      <c r="G37" s="293" t="s">
        <v>274</v>
      </c>
      <c r="H37" s="294">
        <v>13.199999809265137</v>
      </c>
      <c r="I37" s="295">
        <f t="shared" si="0"/>
        <v>11.964</v>
      </c>
      <c r="J37" s="449">
        <v>42236.43680555555</v>
      </c>
      <c r="K37" s="450">
        <v>42236.56180555555</v>
      </c>
      <c r="L37" s="225">
        <f t="shared" si="1"/>
        <v>3</v>
      </c>
      <c r="M37" s="296">
        <f t="shared" si="2"/>
        <v>180</v>
      </c>
      <c r="N37" s="227" t="s">
        <v>144</v>
      </c>
      <c r="O37" s="443" t="str">
        <f t="shared" si="9"/>
        <v>--</v>
      </c>
      <c r="P37" s="297">
        <f t="shared" si="3"/>
        <v>40</v>
      </c>
      <c r="Q37" s="298">
        <f t="shared" si="4"/>
        <v>143.568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44" t="s">
        <v>145</v>
      </c>
      <c r="V37" s="305">
        <f t="shared" si="8"/>
        <v>143.568</v>
      </c>
      <c r="W37" s="238"/>
    </row>
    <row r="38" spans="2:23" s="1" customFormat="1" ht="16.5" customHeight="1">
      <c r="B38" s="13"/>
      <c r="C38" s="210">
        <v>197</v>
      </c>
      <c r="D38" s="209">
        <v>291579</v>
      </c>
      <c r="E38" s="209">
        <v>3807</v>
      </c>
      <c r="F38" s="293" t="s">
        <v>271</v>
      </c>
      <c r="G38" s="293" t="s">
        <v>275</v>
      </c>
      <c r="H38" s="294">
        <v>33</v>
      </c>
      <c r="I38" s="295">
        <f t="shared" si="0"/>
        <v>11.964</v>
      </c>
      <c r="J38" s="449">
        <v>42236.47638888889</v>
      </c>
      <c r="K38" s="450">
        <v>42236.580555555556</v>
      </c>
      <c r="L38" s="225">
        <f t="shared" si="1"/>
        <v>2.4999999999417923</v>
      </c>
      <c r="M38" s="296">
        <f t="shared" si="2"/>
        <v>150</v>
      </c>
      <c r="N38" s="227" t="s">
        <v>144</v>
      </c>
      <c r="O38" s="443" t="str">
        <f t="shared" si="9"/>
        <v>--</v>
      </c>
      <c r="P38" s="297">
        <f t="shared" si="3"/>
        <v>50</v>
      </c>
      <c r="Q38" s="298">
        <f t="shared" si="4"/>
        <v>149.55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44" t="s">
        <v>145</v>
      </c>
      <c r="V38" s="305">
        <f t="shared" si="8"/>
        <v>149.55</v>
      </c>
      <c r="W38" s="238"/>
    </row>
    <row r="39" spans="2:23" s="1" customFormat="1" ht="16.5" customHeight="1">
      <c r="B39" s="13"/>
      <c r="C39" s="210"/>
      <c r="D39" s="209"/>
      <c r="E39" s="209"/>
      <c r="F39" s="293"/>
      <c r="G39" s="293"/>
      <c r="H39" s="294"/>
      <c r="I39" s="295"/>
      <c r="J39" s="449"/>
      <c r="K39" s="450"/>
      <c r="L39" s="225"/>
      <c r="M39" s="296"/>
      <c r="N39" s="227"/>
      <c r="O39" s="443"/>
      <c r="P39" s="297"/>
      <c r="Q39" s="298"/>
      <c r="R39" s="299"/>
      <c r="S39" s="300"/>
      <c r="T39" s="301"/>
      <c r="U39" s="444"/>
      <c r="V39" s="305"/>
      <c r="W39" s="238"/>
    </row>
    <row r="40" spans="2:23" s="1" customFormat="1" ht="16.5" customHeight="1">
      <c r="B40" s="13"/>
      <c r="C40" s="210">
        <v>199</v>
      </c>
      <c r="D40" s="209">
        <v>291581</v>
      </c>
      <c r="E40" s="209">
        <v>2335</v>
      </c>
      <c r="F40" s="293" t="s">
        <v>245</v>
      </c>
      <c r="G40" s="293" t="s">
        <v>276</v>
      </c>
      <c r="H40" s="294">
        <v>13.199999809265137</v>
      </c>
      <c r="I40" s="295">
        <f t="shared" si="0"/>
        <v>11.964</v>
      </c>
      <c r="J40" s="449">
        <v>42237.336805555555</v>
      </c>
      <c r="K40" s="450">
        <v>42237.63055555556</v>
      </c>
      <c r="L40" s="225">
        <f t="shared" si="1"/>
        <v>7.050000000104774</v>
      </c>
      <c r="M40" s="296">
        <f t="shared" si="2"/>
        <v>423</v>
      </c>
      <c r="N40" s="227" t="s">
        <v>144</v>
      </c>
      <c r="O40" s="443" t="str">
        <f t="shared" si="9"/>
        <v>--</v>
      </c>
      <c r="P40" s="297">
        <f t="shared" si="3"/>
        <v>40</v>
      </c>
      <c r="Q40" s="298">
        <f t="shared" si="4"/>
        <v>337.38480000000004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44" t="s">
        <v>145</v>
      </c>
      <c r="V40" s="305">
        <f t="shared" si="8"/>
        <v>337.38480000000004</v>
      </c>
      <c r="W40" s="238"/>
    </row>
    <row r="41" spans="2:23" s="1" customFormat="1" ht="16.5" customHeight="1">
      <c r="B41" s="13"/>
      <c r="C41" s="210">
        <v>200</v>
      </c>
      <c r="D41" s="209">
        <v>291582</v>
      </c>
      <c r="E41" s="209">
        <v>2315</v>
      </c>
      <c r="F41" s="293" t="s">
        <v>234</v>
      </c>
      <c r="G41" s="293" t="s">
        <v>277</v>
      </c>
      <c r="H41" s="294">
        <v>13.199999809265137</v>
      </c>
      <c r="I41" s="295">
        <f t="shared" si="0"/>
        <v>11.964</v>
      </c>
      <c r="J41" s="449">
        <v>42237.3625</v>
      </c>
      <c r="K41" s="450">
        <v>42237.61319444444</v>
      </c>
      <c r="L41" s="225">
        <f t="shared" si="1"/>
        <v>6.016666666546371</v>
      </c>
      <c r="M41" s="296">
        <f t="shared" si="2"/>
        <v>361</v>
      </c>
      <c r="N41" s="227" t="s">
        <v>144</v>
      </c>
      <c r="O41" s="443" t="str">
        <f t="shared" si="9"/>
        <v>--</v>
      </c>
      <c r="P41" s="297">
        <f t="shared" si="3"/>
        <v>40</v>
      </c>
      <c r="Q41" s="298">
        <f t="shared" si="4"/>
        <v>288.09312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44" t="s">
        <v>145</v>
      </c>
      <c r="V41" s="305">
        <f t="shared" si="8"/>
        <v>288.09312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67</v>
      </c>
      <c r="D43" s="471" t="s">
        <v>319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7972.331040000001</v>
      </c>
      <c r="R43" s="309">
        <f>SUM(R20:R42)</f>
        <v>1555.3200000000002</v>
      </c>
      <c r="S43" s="309">
        <f>SUM(S20:S42)</f>
        <v>1069.5816</v>
      </c>
      <c r="T43" s="310">
        <f>SUM(T20:T42)</f>
        <v>0</v>
      </c>
      <c r="U43" s="311"/>
      <c r="V43" s="420">
        <f>ROUND(SUM(V20:V42),2)</f>
        <v>38246.94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6">
    <pageSetUpPr fitToPage="1"/>
  </sheetPr>
  <dimension ref="A1:W47"/>
  <sheetViews>
    <sheetView zoomScale="80" zoomScaleNormal="80" zoomScalePageLayoutView="0" workbookViewId="0" topLeftCell="A1">
      <selection activeCell="G14" sqref="G14:G17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8.421875" style="5" customWidth="1"/>
    <col min="8" max="8" width="10.7109375" style="5" customWidth="1"/>
    <col min="9" max="9" width="12.421875" style="5" hidden="1" customWidth="1"/>
    <col min="10" max="10" width="16.421875" style="5" customWidth="1"/>
    <col min="11" max="11" width="16.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'TOT-0815'!B14</f>
        <v>Desde el 01 al 31 de agosto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31.907</v>
      </c>
      <c r="H14" s="267">
        <f>60*'TOT-0815'!B13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15.955</v>
      </c>
      <c r="H15" s="267">
        <f>50*'TOT-0815'!B13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11.964</v>
      </c>
      <c r="H16" s="271">
        <f>50*'TOT-0815'!B13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11.964</v>
      </c>
      <c r="H17" s="276">
        <f>40*'TOT-0815'!B13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14"/>
    </row>
    <row r="19" spans="2:23" s="277" customFormat="1" ht="34.5" customHeight="1" thickBot="1" thickTop="1">
      <c r="B19" s="278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1"/>
      <c r="E20" s="421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'SA-08 (3)'!V43</f>
        <v>38246.94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49"/>
      <c r="K21" s="450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201</v>
      </c>
      <c r="D22" s="209">
        <v>291586</v>
      </c>
      <c r="E22" s="209">
        <v>2449</v>
      </c>
      <c r="F22" s="293" t="s">
        <v>189</v>
      </c>
      <c r="G22" s="293" t="s">
        <v>233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11.964</v>
      </c>
      <c r="J22" s="449">
        <v>42237.4125</v>
      </c>
      <c r="K22" s="450">
        <v>42237.623611111114</v>
      </c>
      <c r="L22" s="225">
        <f aca="true" t="shared" si="1" ref="L22:L41">IF(F22="","",(K22-J22)*24)</f>
        <v>5.06666666676756</v>
      </c>
      <c r="M22" s="296">
        <f aca="true" t="shared" si="2" ref="M22:M41">IF(F22="","",ROUND((K22-J22)*24*60,0))</f>
        <v>304</v>
      </c>
      <c r="N22" s="227" t="s">
        <v>144</v>
      </c>
      <c r="O22" s="443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242.62992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44" t="s">
        <v>145</v>
      </c>
      <c r="V22" s="305">
        <f aca="true" t="shared" si="8" ref="V22:V41">IF(F22="","",SUM(Q22:T22)*IF(U22="SI",1,2)*IF(H22="500/220",0,1))</f>
        <v>242.62992</v>
      </c>
      <c r="W22" s="238"/>
    </row>
    <row r="23" spans="2:23" s="1" customFormat="1" ht="16.5" customHeight="1">
      <c r="B23" s="13"/>
      <c r="C23" s="210">
        <v>202</v>
      </c>
      <c r="D23" s="209">
        <v>291587</v>
      </c>
      <c r="E23" s="209">
        <v>2302</v>
      </c>
      <c r="F23" s="293" t="s">
        <v>259</v>
      </c>
      <c r="G23" s="293" t="s">
        <v>273</v>
      </c>
      <c r="H23" s="294">
        <v>33</v>
      </c>
      <c r="I23" s="295">
        <f t="shared" si="0"/>
        <v>11.964</v>
      </c>
      <c r="J23" s="449">
        <v>42237.41458333333</v>
      </c>
      <c r="K23" s="450">
        <v>42237.63263888889</v>
      </c>
      <c r="L23" s="225">
        <f t="shared" si="1"/>
        <v>5.233333333453629</v>
      </c>
      <c r="M23" s="296">
        <f t="shared" si="2"/>
        <v>314</v>
      </c>
      <c r="N23" s="227" t="s">
        <v>144</v>
      </c>
      <c r="O23" s="443" t="str">
        <f aca="true" t="shared" si="9" ref="O23:O41">IF(F23="","",IF(OR(N23="P",N23="RP"),"--","NO"))</f>
        <v>--</v>
      </c>
      <c r="P23" s="297">
        <f t="shared" si="3"/>
        <v>50</v>
      </c>
      <c r="Q23" s="298">
        <f t="shared" si="4"/>
        <v>312.8586000000001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44" t="s">
        <v>145</v>
      </c>
      <c r="V23" s="305">
        <f t="shared" si="8"/>
        <v>312.8586000000001</v>
      </c>
      <c r="W23" s="238"/>
    </row>
    <row r="24" spans="2:23" s="1" customFormat="1" ht="16.5" customHeight="1">
      <c r="B24" s="13"/>
      <c r="C24" s="210">
        <v>203</v>
      </c>
      <c r="D24" s="209">
        <v>291588</v>
      </c>
      <c r="E24" s="209">
        <v>2158</v>
      </c>
      <c r="F24" s="293" t="s">
        <v>194</v>
      </c>
      <c r="G24" s="293" t="s">
        <v>258</v>
      </c>
      <c r="H24" s="294">
        <v>33</v>
      </c>
      <c r="I24" s="295">
        <f t="shared" si="0"/>
        <v>11.964</v>
      </c>
      <c r="J24" s="449">
        <v>42237.42986111111</v>
      </c>
      <c r="K24" s="450">
        <v>42237.665972222225</v>
      </c>
      <c r="L24" s="225">
        <f t="shared" si="1"/>
        <v>5.6666666668024845</v>
      </c>
      <c r="M24" s="296">
        <f t="shared" si="2"/>
        <v>340</v>
      </c>
      <c r="N24" s="227" t="s">
        <v>144</v>
      </c>
      <c r="O24" s="443" t="str">
        <f t="shared" si="9"/>
        <v>--</v>
      </c>
      <c r="P24" s="297">
        <f t="shared" si="3"/>
        <v>50</v>
      </c>
      <c r="Q24" s="298">
        <f t="shared" si="4"/>
        <v>339.17940000000004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44" t="s">
        <v>145</v>
      </c>
      <c r="V24" s="305">
        <f t="shared" si="8"/>
        <v>339.17940000000004</v>
      </c>
      <c r="W24" s="238"/>
    </row>
    <row r="25" spans="2:23" s="1" customFormat="1" ht="16.5" customHeight="1">
      <c r="B25" s="13"/>
      <c r="C25" s="210">
        <v>204</v>
      </c>
      <c r="D25" s="209">
        <v>291595</v>
      </c>
      <c r="E25" s="209">
        <v>2200</v>
      </c>
      <c r="F25" s="293" t="s">
        <v>205</v>
      </c>
      <c r="G25" s="293" t="s">
        <v>278</v>
      </c>
      <c r="H25" s="294">
        <v>13.199999809265137</v>
      </c>
      <c r="I25" s="295">
        <f t="shared" si="0"/>
        <v>11.964</v>
      </c>
      <c r="J25" s="449">
        <v>42239.33194444444</v>
      </c>
      <c r="K25" s="450">
        <v>42239.46666666667</v>
      </c>
      <c r="L25" s="225">
        <f t="shared" si="1"/>
        <v>3.2333333333954215</v>
      </c>
      <c r="M25" s="296">
        <f t="shared" si="2"/>
        <v>194</v>
      </c>
      <c r="N25" s="227" t="s">
        <v>144</v>
      </c>
      <c r="O25" s="443" t="str">
        <f t="shared" si="9"/>
        <v>--</v>
      </c>
      <c r="P25" s="297">
        <f t="shared" si="3"/>
        <v>40</v>
      </c>
      <c r="Q25" s="298">
        <f t="shared" si="4"/>
        <v>154.57488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44" t="s">
        <v>145</v>
      </c>
      <c r="V25" s="305">
        <f t="shared" si="8"/>
        <v>154.57488</v>
      </c>
      <c r="W25" s="238"/>
    </row>
    <row r="26" spans="2:23" s="1" customFormat="1" ht="16.5" customHeight="1">
      <c r="B26" s="13"/>
      <c r="C26" s="210">
        <v>205</v>
      </c>
      <c r="D26" s="209">
        <v>291604</v>
      </c>
      <c r="E26" s="209">
        <v>2206</v>
      </c>
      <c r="F26" s="293" t="s">
        <v>205</v>
      </c>
      <c r="G26" s="293" t="s">
        <v>279</v>
      </c>
      <c r="H26" s="294">
        <v>13.199999809265137</v>
      </c>
      <c r="I26" s="295">
        <f t="shared" si="0"/>
        <v>11.964</v>
      </c>
      <c r="J26" s="449">
        <v>42239.475694444445</v>
      </c>
      <c r="K26" s="450">
        <v>42239.604166666664</v>
      </c>
      <c r="L26" s="225">
        <f t="shared" si="1"/>
        <v>3.083333333255723</v>
      </c>
      <c r="M26" s="296">
        <f t="shared" si="2"/>
        <v>185</v>
      </c>
      <c r="N26" s="227" t="s">
        <v>144</v>
      </c>
      <c r="O26" s="443" t="str">
        <f t="shared" si="9"/>
        <v>--</v>
      </c>
      <c r="P26" s="297">
        <f t="shared" si="3"/>
        <v>40</v>
      </c>
      <c r="Q26" s="298">
        <f t="shared" si="4"/>
        <v>147.39648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44" t="s">
        <v>145</v>
      </c>
      <c r="V26" s="305">
        <f t="shared" si="8"/>
        <v>147.39648</v>
      </c>
      <c r="W26" s="238"/>
    </row>
    <row r="27" spans="2:23" s="1" customFormat="1" ht="16.5" customHeight="1">
      <c r="B27" s="13"/>
      <c r="C27" s="210">
        <v>206</v>
      </c>
      <c r="D27" s="209">
        <v>291707</v>
      </c>
      <c r="E27" s="209">
        <v>2299</v>
      </c>
      <c r="F27" s="293" t="s">
        <v>259</v>
      </c>
      <c r="G27" s="293" t="s">
        <v>280</v>
      </c>
      <c r="H27" s="294">
        <v>33</v>
      </c>
      <c r="I27" s="295">
        <f t="shared" si="0"/>
        <v>11.964</v>
      </c>
      <c r="J27" s="449">
        <v>42241.35902777778</v>
      </c>
      <c r="K27" s="450">
        <v>42241.677777777775</v>
      </c>
      <c r="L27" s="225">
        <f t="shared" si="1"/>
        <v>7.649999999965075</v>
      </c>
      <c r="M27" s="296">
        <f t="shared" si="2"/>
        <v>459</v>
      </c>
      <c r="N27" s="227" t="s">
        <v>144</v>
      </c>
      <c r="O27" s="443" t="str">
        <f t="shared" si="9"/>
        <v>--</v>
      </c>
      <c r="P27" s="297">
        <f t="shared" si="3"/>
        <v>50</v>
      </c>
      <c r="Q27" s="298">
        <f t="shared" si="4"/>
        <v>457.62300000000005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44" t="s">
        <v>145</v>
      </c>
      <c r="V27" s="305">
        <f t="shared" si="8"/>
        <v>457.62300000000005</v>
      </c>
      <c r="W27" s="238"/>
    </row>
    <row r="28" spans="2:23" s="1" customFormat="1" ht="16.5" customHeight="1">
      <c r="B28" s="13"/>
      <c r="C28" s="210">
        <v>207</v>
      </c>
      <c r="D28" s="209">
        <v>291711</v>
      </c>
      <c r="E28" s="209">
        <v>2239</v>
      </c>
      <c r="F28" s="293" t="s">
        <v>281</v>
      </c>
      <c r="G28" s="293" t="s">
        <v>282</v>
      </c>
      <c r="H28" s="294">
        <v>13.199999809265137</v>
      </c>
      <c r="I28" s="295">
        <f t="shared" si="0"/>
        <v>11.964</v>
      </c>
      <c r="J28" s="449">
        <v>42241.45277777778</v>
      </c>
      <c r="K28" s="450">
        <v>42241.61111111111</v>
      </c>
      <c r="L28" s="225">
        <f t="shared" si="1"/>
        <v>3.7999999999883585</v>
      </c>
      <c r="M28" s="296">
        <f t="shared" si="2"/>
        <v>228</v>
      </c>
      <c r="N28" s="227" t="s">
        <v>144</v>
      </c>
      <c r="O28" s="443" t="str">
        <f t="shared" si="9"/>
        <v>--</v>
      </c>
      <c r="P28" s="297">
        <f t="shared" si="3"/>
        <v>40</v>
      </c>
      <c r="Q28" s="298">
        <f t="shared" si="4"/>
        <v>181.8528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44" t="s">
        <v>145</v>
      </c>
      <c r="V28" s="305">
        <f t="shared" si="8"/>
        <v>181.8528</v>
      </c>
      <c r="W28" s="238"/>
    </row>
    <row r="29" spans="2:23" s="1" customFormat="1" ht="16.5" customHeight="1">
      <c r="B29" s="13"/>
      <c r="C29" s="210">
        <v>208</v>
      </c>
      <c r="D29" s="209">
        <v>291714</v>
      </c>
      <c r="E29" s="209">
        <v>2066</v>
      </c>
      <c r="F29" s="293" t="s">
        <v>213</v>
      </c>
      <c r="G29" s="293" t="s">
        <v>283</v>
      </c>
      <c r="H29" s="294">
        <v>132</v>
      </c>
      <c r="I29" s="295">
        <f t="shared" si="0"/>
        <v>15.955</v>
      </c>
      <c r="J29" s="449">
        <v>42242.313888888886</v>
      </c>
      <c r="K29" s="450">
        <v>42242.680555555555</v>
      </c>
      <c r="L29" s="225">
        <f t="shared" si="1"/>
        <v>8.800000000046566</v>
      </c>
      <c r="M29" s="296">
        <f t="shared" si="2"/>
        <v>528</v>
      </c>
      <c r="N29" s="227" t="s">
        <v>144</v>
      </c>
      <c r="O29" s="443" t="str">
        <f t="shared" si="9"/>
        <v>--</v>
      </c>
      <c r="P29" s="297">
        <f t="shared" si="3"/>
        <v>50</v>
      </c>
      <c r="Q29" s="298">
        <f t="shared" si="4"/>
        <v>702.0200000000001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44" t="s">
        <v>145</v>
      </c>
      <c r="V29" s="305">
        <f t="shared" si="8"/>
        <v>702.0200000000001</v>
      </c>
      <c r="W29" s="238"/>
    </row>
    <row r="30" spans="2:23" s="1" customFormat="1" ht="16.5" customHeight="1">
      <c r="B30" s="13"/>
      <c r="C30" s="210">
        <v>209</v>
      </c>
      <c r="D30" s="209">
        <v>291715</v>
      </c>
      <c r="E30" s="209">
        <v>2067</v>
      </c>
      <c r="F30" s="293" t="s">
        <v>213</v>
      </c>
      <c r="G30" s="293" t="s">
        <v>284</v>
      </c>
      <c r="H30" s="294">
        <v>132</v>
      </c>
      <c r="I30" s="295">
        <f t="shared" si="0"/>
        <v>15.955</v>
      </c>
      <c r="J30" s="449">
        <v>42242.31527777778</v>
      </c>
      <c r="K30" s="450">
        <v>42242.58819444444</v>
      </c>
      <c r="L30" s="225">
        <f t="shared" si="1"/>
        <v>6.549999999871943</v>
      </c>
      <c r="M30" s="296">
        <f t="shared" si="2"/>
        <v>393</v>
      </c>
      <c r="N30" s="227" t="s">
        <v>144</v>
      </c>
      <c r="O30" s="443" t="str">
        <f t="shared" si="9"/>
        <v>--</v>
      </c>
      <c r="P30" s="297">
        <f t="shared" si="3"/>
        <v>50</v>
      </c>
      <c r="Q30" s="298">
        <f t="shared" si="4"/>
        <v>522.52625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44" t="s">
        <v>145</v>
      </c>
      <c r="V30" s="305">
        <f t="shared" si="8"/>
        <v>522.52625</v>
      </c>
      <c r="W30" s="238"/>
    </row>
    <row r="31" spans="2:23" s="1" customFormat="1" ht="16.5" customHeight="1">
      <c r="B31" s="13"/>
      <c r="C31" s="210">
        <v>210</v>
      </c>
      <c r="D31" s="209">
        <v>291720</v>
      </c>
      <c r="E31" s="209">
        <v>2300</v>
      </c>
      <c r="F31" s="293" t="s">
        <v>259</v>
      </c>
      <c r="G31" s="293" t="s">
        <v>285</v>
      </c>
      <c r="H31" s="294">
        <v>33</v>
      </c>
      <c r="I31" s="295">
        <f t="shared" si="0"/>
        <v>11.964</v>
      </c>
      <c r="J31" s="449">
        <v>42242.39444444444</v>
      </c>
      <c r="K31" s="450">
        <v>42242.57986111111</v>
      </c>
      <c r="L31" s="225">
        <f t="shared" si="1"/>
        <v>4.4500000000116415</v>
      </c>
      <c r="M31" s="296">
        <f t="shared" si="2"/>
        <v>267</v>
      </c>
      <c r="N31" s="227" t="s">
        <v>144</v>
      </c>
      <c r="O31" s="443" t="str">
        <f t="shared" si="9"/>
        <v>--</v>
      </c>
      <c r="P31" s="297">
        <f t="shared" si="3"/>
        <v>50</v>
      </c>
      <c r="Q31" s="298">
        <f t="shared" si="4"/>
        <v>266.199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44" t="s">
        <v>145</v>
      </c>
      <c r="V31" s="305">
        <f t="shared" si="8"/>
        <v>266.199</v>
      </c>
      <c r="W31" s="238"/>
    </row>
    <row r="32" spans="2:23" s="1" customFormat="1" ht="16.5" customHeight="1">
      <c r="B32" s="13"/>
      <c r="C32" s="210">
        <v>211</v>
      </c>
      <c r="D32" s="209">
        <v>291724</v>
      </c>
      <c r="E32" s="209">
        <v>2290</v>
      </c>
      <c r="F32" s="293" t="s">
        <v>286</v>
      </c>
      <c r="G32" s="293" t="s">
        <v>287</v>
      </c>
      <c r="H32" s="294">
        <v>13.199999809265137</v>
      </c>
      <c r="I32" s="295">
        <f t="shared" si="0"/>
        <v>11.964</v>
      </c>
      <c r="J32" s="449">
        <v>42242.41527777778</v>
      </c>
      <c r="K32" s="450">
        <v>42242.48333333333</v>
      </c>
      <c r="L32" s="225">
        <f t="shared" si="1"/>
        <v>1.6333333332440816</v>
      </c>
      <c r="M32" s="296">
        <f t="shared" si="2"/>
        <v>98</v>
      </c>
      <c r="N32" s="227" t="s">
        <v>144</v>
      </c>
      <c r="O32" s="443" t="str">
        <f t="shared" si="9"/>
        <v>--</v>
      </c>
      <c r="P32" s="297">
        <f t="shared" si="3"/>
        <v>40</v>
      </c>
      <c r="Q32" s="298">
        <f t="shared" si="4"/>
        <v>78.00528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44" t="s">
        <v>145</v>
      </c>
      <c r="V32" s="305">
        <f t="shared" si="8"/>
        <v>78.00528</v>
      </c>
      <c r="W32" s="238"/>
    </row>
    <row r="33" spans="2:23" s="1" customFormat="1" ht="16.5" customHeight="1">
      <c r="B33" s="13"/>
      <c r="C33" s="210">
        <v>212</v>
      </c>
      <c r="D33" s="209">
        <v>291726</v>
      </c>
      <c r="E33" s="209">
        <v>2316</v>
      </c>
      <c r="F33" s="293" t="s">
        <v>234</v>
      </c>
      <c r="G33" s="293" t="s">
        <v>288</v>
      </c>
      <c r="H33" s="294">
        <v>13.199999809265137</v>
      </c>
      <c r="I33" s="295">
        <f t="shared" si="0"/>
        <v>11.964</v>
      </c>
      <c r="J33" s="449">
        <v>42242.42916666667</v>
      </c>
      <c r="K33" s="450">
        <v>42242.57152777778</v>
      </c>
      <c r="L33" s="225">
        <f t="shared" si="1"/>
        <v>3.4166666666278616</v>
      </c>
      <c r="M33" s="296">
        <f t="shared" si="2"/>
        <v>205</v>
      </c>
      <c r="N33" s="227" t="s">
        <v>144</v>
      </c>
      <c r="O33" s="443" t="str">
        <f t="shared" si="9"/>
        <v>--</v>
      </c>
      <c r="P33" s="297">
        <f t="shared" si="3"/>
        <v>40</v>
      </c>
      <c r="Q33" s="298">
        <f t="shared" si="4"/>
        <v>163.66752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44" t="s">
        <v>145</v>
      </c>
      <c r="V33" s="305">
        <f t="shared" si="8"/>
        <v>163.66752</v>
      </c>
      <c r="W33" s="238"/>
    </row>
    <row r="34" spans="2:23" s="1" customFormat="1" ht="16.5" customHeight="1">
      <c r="B34" s="13"/>
      <c r="C34" s="210">
        <v>213</v>
      </c>
      <c r="D34" s="209">
        <v>291728</v>
      </c>
      <c r="E34" s="209">
        <v>2239</v>
      </c>
      <c r="F34" s="293" t="s">
        <v>281</v>
      </c>
      <c r="G34" s="293" t="s">
        <v>282</v>
      </c>
      <c r="H34" s="294">
        <v>13.199999809265137</v>
      </c>
      <c r="I34" s="295">
        <f t="shared" si="0"/>
        <v>11.964</v>
      </c>
      <c r="J34" s="449">
        <v>42242.46111111111</v>
      </c>
      <c r="K34" s="450">
        <v>42242.60277777778</v>
      </c>
      <c r="L34" s="225">
        <f t="shared" si="1"/>
        <v>3.4000000000814907</v>
      </c>
      <c r="M34" s="296">
        <f t="shared" si="2"/>
        <v>204</v>
      </c>
      <c r="N34" s="227" t="s">
        <v>144</v>
      </c>
      <c r="O34" s="443" t="str">
        <f t="shared" si="9"/>
        <v>--</v>
      </c>
      <c r="P34" s="297">
        <f t="shared" si="3"/>
        <v>40</v>
      </c>
      <c r="Q34" s="298">
        <f t="shared" si="4"/>
        <v>162.71040000000002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44" t="s">
        <v>145</v>
      </c>
      <c r="V34" s="305">
        <f t="shared" si="8"/>
        <v>162.71040000000002</v>
      </c>
      <c r="W34" s="238"/>
    </row>
    <row r="35" spans="2:23" s="1" customFormat="1" ht="16.5" customHeight="1">
      <c r="B35" s="13"/>
      <c r="C35" s="210">
        <v>214</v>
      </c>
      <c r="D35" s="209">
        <v>291735</v>
      </c>
      <c r="E35" s="209">
        <v>2118</v>
      </c>
      <c r="F35" s="293" t="s">
        <v>202</v>
      </c>
      <c r="G35" s="293" t="s">
        <v>289</v>
      </c>
      <c r="H35" s="294">
        <v>13.199999809265137</v>
      </c>
      <c r="I35" s="295">
        <f t="shared" si="0"/>
        <v>11.964</v>
      </c>
      <c r="J35" s="449">
        <v>42243.39027777778</v>
      </c>
      <c r="K35" s="450">
        <v>42243.49375</v>
      </c>
      <c r="L35" s="225">
        <f t="shared" si="1"/>
        <v>2.4833333333954215</v>
      </c>
      <c r="M35" s="296">
        <f t="shared" si="2"/>
        <v>149</v>
      </c>
      <c r="N35" s="227" t="s">
        <v>144</v>
      </c>
      <c r="O35" s="443" t="str">
        <f t="shared" si="9"/>
        <v>--</v>
      </c>
      <c r="P35" s="297">
        <f t="shared" si="3"/>
        <v>40</v>
      </c>
      <c r="Q35" s="298">
        <f t="shared" si="4"/>
        <v>118.68288000000001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44" t="s">
        <v>145</v>
      </c>
      <c r="V35" s="305">
        <f t="shared" si="8"/>
        <v>118.68288000000001</v>
      </c>
      <c r="W35" s="238"/>
    </row>
    <row r="36" spans="2:23" s="1" customFormat="1" ht="16.5" customHeight="1">
      <c r="B36" s="13"/>
      <c r="C36" s="210">
        <v>215</v>
      </c>
      <c r="D36" s="209">
        <v>291737</v>
      </c>
      <c r="E36" s="209">
        <v>2238</v>
      </c>
      <c r="F36" s="293" t="s">
        <v>281</v>
      </c>
      <c r="G36" s="293" t="s">
        <v>290</v>
      </c>
      <c r="H36" s="294">
        <v>13.199999809265137</v>
      </c>
      <c r="I36" s="295">
        <f t="shared" si="0"/>
        <v>11.964</v>
      </c>
      <c r="J36" s="449">
        <v>42243.427777777775</v>
      </c>
      <c r="K36" s="450">
        <v>42243.60277777778</v>
      </c>
      <c r="L36" s="225">
        <f t="shared" si="1"/>
        <v>4.200000000069849</v>
      </c>
      <c r="M36" s="296">
        <f t="shared" si="2"/>
        <v>252</v>
      </c>
      <c r="N36" s="227" t="s">
        <v>144</v>
      </c>
      <c r="O36" s="443" t="str">
        <f t="shared" si="9"/>
        <v>--</v>
      </c>
      <c r="P36" s="297">
        <f t="shared" si="3"/>
        <v>40</v>
      </c>
      <c r="Q36" s="298">
        <f t="shared" si="4"/>
        <v>200.9952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44" t="s">
        <v>145</v>
      </c>
      <c r="V36" s="305">
        <f t="shared" si="8"/>
        <v>200.9952</v>
      </c>
      <c r="W36" s="238"/>
    </row>
    <row r="37" spans="2:23" s="1" customFormat="1" ht="16.5" customHeight="1">
      <c r="B37" s="13"/>
      <c r="C37" s="210">
        <v>216</v>
      </c>
      <c r="D37" s="209">
        <v>291739</v>
      </c>
      <c r="E37" s="209">
        <v>2293</v>
      </c>
      <c r="F37" s="293" t="s">
        <v>286</v>
      </c>
      <c r="G37" s="293" t="s">
        <v>291</v>
      </c>
      <c r="H37" s="294">
        <v>13.199999809265137</v>
      </c>
      <c r="I37" s="295">
        <f t="shared" si="0"/>
        <v>11.964</v>
      </c>
      <c r="J37" s="449">
        <v>42244.31319444445</v>
      </c>
      <c r="K37" s="450">
        <v>42244.49097222222</v>
      </c>
      <c r="L37" s="225">
        <f t="shared" si="1"/>
        <v>4.2666666666045785</v>
      </c>
      <c r="M37" s="296">
        <f t="shared" si="2"/>
        <v>256</v>
      </c>
      <c r="N37" s="227" t="s">
        <v>144</v>
      </c>
      <c r="O37" s="443" t="str">
        <f t="shared" si="9"/>
        <v>--</v>
      </c>
      <c r="P37" s="297">
        <f t="shared" si="3"/>
        <v>40</v>
      </c>
      <c r="Q37" s="298">
        <f t="shared" si="4"/>
        <v>204.34511999999998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44" t="s">
        <v>145</v>
      </c>
      <c r="V37" s="305">
        <f t="shared" si="8"/>
        <v>204.34511999999998</v>
      </c>
      <c r="W37" s="238"/>
    </row>
    <row r="38" spans="2:23" s="1" customFormat="1" ht="16.5" customHeight="1">
      <c r="B38" s="13"/>
      <c r="C38" s="210">
        <v>217</v>
      </c>
      <c r="D38" s="209">
        <v>291745</v>
      </c>
      <c r="E38" s="209">
        <v>4717</v>
      </c>
      <c r="F38" s="293" t="s">
        <v>202</v>
      </c>
      <c r="G38" s="293" t="s">
        <v>292</v>
      </c>
      <c r="H38" s="294">
        <v>13.199999809265137</v>
      </c>
      <c r="I38" s="295">
        <f t="shared" si="0"/>
        <v>11.964</v>
      </c>
      <c r="J38" s="449">
        <v>42244.37986111111</v>
      </c>
      <c r="K38" s="450">
        <v>42244.53472222222</v>
      </c>
      <c r="L38" s="225">
        <f t="shared" si="1"/>
        <v>3.7166666665580124</v>
      </c>
      <c r="M38" s="296">
        <f t="shared" si="2"/>
        <v>223</v>
      </c>
      <c r="N38" s="227" t="s">
        <v>144</v>
      </c>
      <c r="O38" s="443" t="str">
        <f t="shared" si="9"/>
        <v>--</v>
      </c>
      <c r="P38" s="297">
        <f t="shared" si="3"/>
        <v>40</v>
      </c>
      <c r="Q38" s="298">
        <f t="shared" si="4"/>
        <v>178.02432000000002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44" t="s">
        <v>145</v>
      </c>
      <c r="V38" s="305">
        <f t="shared" si="8"/>
        <v>178.02432000000002</v>
      </c>
      <c r="W38" s="238"/>
    </row>
    <row r="39" spans="2:23" s="1" customFormat="1" ht="16.5" customHeight="1">
      <c r="B39" s="13"/>
      <c r="C39" s="210">
        <v>218</v>
      </c>
      <c r="D39" s="209">
        <v>291748</v>
      </c>
      <c r="E39" s="209">
        <v>2450</v>
      </c>
      <c r="F39" s="293" t="s">
        <v>189</v>
      </c>
      <c r="G39" s="293" t="s">
        <v>241</v>
      </c>
      <c r="H39" s="294">
        <v>13.199999809265137</v>
      </c>
      <c r="I39" s="295">
        <f t="shared" si="0"/>
        <v>11.964</v>
      </c>
      <c r="J39" s="449">
        <v>42244.40069444444</v>
      </c>
      <c r="K39" s="450">
        <v>42244.524305555555</v>
      </c>
      <c r="L39" s="225">
        <f t="shared" si="1"/>
        <v>2.9666666667326353</v>
      </c>
      <c r="M39" s="296">
        <f t="shared" si="2"/>
        <v>178</v>
      </c>
      <c r="N39" s="227" t="s">
        <v>144</v>
      </c>
      <c r="O39" s="443" t="str">
        <f t="shared" si="9"/>
        <v>--</v>
      </c>
      <c r="P39" s="297">
        <f t="shared" si="3"/>
        <v>40</v>
      </c>
      <c r="Q39" s="298">
        <f t="shared" si="4"/>
        <v>142.13232000000002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44" t="s">
        <v>145</v>
      </c>
      <c r="V39" s="305">
        <f t="shared" si="8"/>
        <v>142.13232000000002</v>
      </c>
      <c r="W39" s="238"/>
    </row>
    <row r="40" spans="2:23" s="1" customFormat="1" ht="16.5" customHeight="1">
      <c r="B40" s="13"/>
      <c r="C40" s="210">
        <v>219</v>
      </c>
      <c r="D40" s="209">
        <v>291749</v>
      </c>
      <c r="E40" s="209">
        <v>2521</v>
      </c>
      <c r="F40" s="293" t="s">
        <v>212</v>
      </c>
      <c r="G40" s="293" t="s">
        <v>293</v>
      </c>
      <c r="H40" s="294">
        <v>132</v>
      </c>
      <c r="I40" s="295">
        <f t="shared" si="0"/>
        <v>15.955</v>
      </c>
      <c r="J40" s="449">
        <v>42244.410416666666</v>
      </c>
      <c r="K40" s="450">
        <v>42244.72361111111</v>
      </c>
      <c r="L40" s="225">
        <f t="shared" si="1"/>
        <v>7.516666666720994</v>
      </c>
      <c r="M40" s="296">
        <f t="shared" si="2"/>
        <v>451</v>
      </c>
      <c r="N40" s="227" t="s">
        <v>144</v>
      </c>
      <c r="O40" s="443" t="str">
        <f t="shared" si="9"/>
        <v>--</v>
      </c>
      <c r="P40" s="297">
        <f t="shared" si="3"/>
        <v>50</v>
      </c>
      <c r="Q40" s="298">
        <f t="shared" si="4"/>
        <v>599.908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44" t="s">
        <v>145</v>
      </c>
      <c r="V40" s="305">
        <f t="shared" si="8"/>
        <v>599.908</v>
      </c>
      <c r="W40" s="238"/>
    </row>
    <row r="41" spans="2:23" s="1" customFormat="1" ht="16.5" customHeight="1">
      <c r="B41" s="13"/>
      <c r="C41" s="210">
        <v>220</v>
      </c>
      <c r="D41" s="209">
        <v>291750</v>
      </c>
      <c r="E41" s="209">
        <v>2612</v>
      </c>
      <c r="F41" s="293" t="s">
        <v>212</v>
      </c>
      <c r="G41" s="293" t="s">
        <v>294</v>
      </c>
      <c r="H41" s="294">
        <v>33</v>
      </c>
      <c r="I41" s="295">
        <f t="shared" si="0"/>
        <v>11.964</v>
      </c>
      <c r="J41" s="449">
        <v>42244.44236111111</v>
      </c>
      <c r="K41" s="450">
        <v>42244.72361111111</v>
      </c>
      <c r="L41" s="225">
        <f t="shared" si="1"/>
        <v>6.75</v>
      </c>
      <c r="M41" s="296">
        <f t="shared" si="2"/>
        <v>405</v>
      </c>
      <c r="N41" s="227" t="s">
        <v>144</v>
      </c>
      <c r="O41" s="443" t="str">
        <f t="shared" si="9"/>
        <v>--</v>
      </c>
      <c r="P41" s="297">
        <f t="shared" si="3"/>
        <v>50</v>
      </c>
      <c r="Q41" s="298">
        <f t="shared" si="4"/>
        <v>403.7850000000001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44" t="s">
        <v>145</v>
      </c>
      <c r="V41" s="305">
        <f t="shared" si="8"/>
        <v>403.7850000000001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67</v>
      </c>
      <c r="D43" s="471" t="s">
        <v>321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5579.11637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20">
        <f>ROUND(SUM(V20:V42),2)</f>
        <v>43826.06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7">
    <pageSetUpPr fitToPage="1"/>
  </sheetPr>
  <dimension ref="A1:W47"/>
  <sheetViews>
    <sheetView zoomScale="80" zoomScaleNormal="80" zoomScalePageLayoutView="0" workbookViewId="0" topLeftCell="A1">
      <selection activeCell="E30" sqref="E30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7.7109375" style="5" customWidth="1"/>
    <col min="8" max="8" width="10.7109375" style="5" customWidth="1"/>
    <col min="9" max="9" width="12.421875" style="5" hidden="1" customWidth="1"/>
    <col min="10" max="10" width="16.57421875" style="5" customWidth="1"/>
    <col min="11" max="11" width="16.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'TOT-0815'!B14</f>
        <v>Desde el 01 al 31 de agosto de 2015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31.907</v>
      </c>
      <c r="H14" s="267">
        <f>60*'TOT-0815'!B13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15.955</v>
      </c>
      <c r="H15" s="267">
        <f>50*'TOT-0815'!B13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11.964</v>
      </c>
      <c r="H16" s="271">
        <f>50*'TOT-0815'!B13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11.964</v>
      </c>
      <c r="H17" s="276">
        <f>40*'TOT-0815'!B13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14"/>
    </row>
    <row r="19" spans="2:23" s="277" customFormat="1" ht="34.5" customHeight="1" thickBot="1" thickTop="1">
      <c r="B19" s="278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1"/>
      <c r="E20" s="421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'SA-08 (4)'!V43</f>
        <v>43826.06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49"/>
      <c r="K21" s="450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221</v>
      </c>
      <c r="D22" s="209">
        <v>291751</v>
      </c>
      <c r="E22" s="209">
        <v>2530</v>
      </c>
      <c r="F22" s="293" t="s">
        <v>212</v>
      </c>
      <c r="G22" s="293" t="s">
        <v>295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11.964</v>
      </c>
      <c r="J22" s="449">
        <v>42244.44305555556</v>
      </c>
      <c r="K22" s="450">
        <v>42244.72361111111</v>
      </c>
      <c r="L22" s="225">
        <f aca="true" t="shared" si="1" ref="L22:L41">IF(F22="","",(K22-J22)*24)</f>
        <v>6.733333333279006</v>
      </c>
      <c r="M22" s="296">
        <f aca="true" t="shared" si="2" ref="M22:M41">IF(F22="","",ROUND((K22-J22)*24*60,0))</f>
        <v>404</v>
      </c>
      <c r="N22" s="227" t="s">
        <v>144</v>
      </c>
      <c r="O22" s="443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322.07088000000005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44" t="s">
        <v>145</v>
      </c>
      <c r="V22" s="305">
        <f aca="true" t="shared" si="8" ref="V22:V41">IF(F22="","",SUM(Q22:T22)*IF(U22="SI",1,2)*IF(H22="500/220",0,1))</f>
        <v>322.07088000000005</v>
      </c>
      <c r="W22" s="238"/>
    </row>
    <row r="23" spans="2:23" s="1" customFormat="1" ht="16.5" customHeight="1">
      <c r="B23" s="13"/>
      <c r="C23" s="210">
        <v>222</v>
      </c>
      <c r="D23" s="209">
        <v>291752</v>
      </c>
      <c r="E23" s="209">
        <v>2612</v>
      </c>
      <c r="F23" s="293" t="s">
        <v>212</v>
      </c>
      <c r="G23" s="293" t="s">
        <v>294</v>
      </c>
      <c r="H23" s="294">
        <v>33</v>
      </c>
      <c r="I23" s="295">
        <f t="shared" si="0"/>
        <v>11.964</v>
      </c>
      <c r="J23" s="449">
        <v>42245.34444444445</v>
      </c>
      <c r="K23" s="450">
        <v>42245.629166666666</v>
      </c>
      <c r="L23" s="225">
        <f t="shared" si="1"/>
        <v>6.833333333255723</v>
      </c>
      <c r="M23" s="296">
        <f t="shared" si="2"/>
        <v>410</v>
      </c>
      <c r="N23" s="227" t="s">
        <v>144</v>
      </c>
      <c r="O23" s="443" t="str">
        <f aca="true" t="shared" si="9" ref="O23:O41">IF(F23="","",IF(OR(N23="P",N23="RP"),"--","NO"))</f>
        <v>--</v>
      </c>
      <c r="P23" s="297">
        <f t="shared" si="3"/>
        <v>50</v>
      </c>
      <c r="Q23" s="298">
        <f t="shared" si="4"/>
        <v>408.5706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44" t="s">
        <v>145</v>
      </c>
      <c r="V23" s="305">
        <f t="shared" si="8"/>
        <v>408.5706</v>
      </c>
      <c r="W23" s="238"/>
    </row>
    <row r="24" spans="2:23" s="1" customFormat="1" ht="16.5" customHeight="1">
      <c r="B24" s="13"/>
      <c r="C24" s="210">
        <v>223</v>
      </c>
      <c r="D24" s="209">
        <v>291753</v>
      </c>
      <c r="E24" s="209">
        <v>2535</v>
      </c>
      <c r="F24" s="293" t="s">
        <v>212</v>
      </c>
      <c r="G24" s="293" t="s">
        <v>296</v>
      </c>
      <c r="H24" s="294">
        <v>13.199999809265137</v>
      </c>
      <c r="I24" s="295">
        <f t="shared" si="0"/>
        <v>11.964</v>
      </c>
      <c r="J24" s="449">
        <v>42245.34583333333</v>
      </c>
      <c r="K24" s="450">
        <v>42245.629166666666</v>
      </c>
      <c r="L24" s="225">
        <f t="shared" si="1"/>
        <v>6.7999999999883585</v>
      </c>
      <c r="M24" s="296">
        <f t="shared" si="2"/>
        <v>408</v>
      </c>
      <c r="N24" s="227" t="s">
        <v>144</v>
      </c>
      <c r="O24" s="443" t="str">
        <f t="shared" si="9"/>
        <v>--</v>
      </c>
      <c r="P24" s="297">
        <f t="shared" si="3"/>
        <v>40</v>
      </c>
      <c r="Q24" s="298">
        <f t="shared" si="4"/>
        <v>325.42080000000004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44" t="s">
        <v>145</v>
      </c>
      <c r="V24" s="305">
        <f t="shared" si="8"/>
        <v>325.42080000000004</v>
      </c>
      <c r="W24" s="238"/>
    </row>
    <row r="25" spans="2:23" s="1" customFormat="1" ht="16.5" customHeight="1">
      <c r="B25" s="13"/>
      <c r="C25" s="210">
        <v>224</v>
      </c>
      <c r="D25" s="209">
        <v>291756</v>
      </c>
      <c r="E25" s="209">
        <v>3719</v>
      </c>
      <c r="F25" s="293" t="s">
        <v>298</v>
      </c>
      <c r="G25" s="293" t="s">
        <v>315</v>
      </c>
      <c r="H25" s="294">
        <v>13.2</v>
      </c>
      <c r="I25" s="295">
        <f t="shared" si="0"/>
        <v>11.964</v>
      </c>
      <c r="J25" s="449">
        <v>42246.34375</v>
      </c>
      <c r="K25" s="450">
        <v>42246.479166666664</v>
      </c>
      <c r="L25" s="225">
        <f t="shared" si="1"/>
        <v>3.2499999999417923</v>
      </c>
      <c r="M25" s="296">
        <f t="shared" si="2"/>
        <v>195</v>
      </c>
      <c r="N25" s="227" t="s">
        <v>144</v>
      </c>
      <c r="O25" s="443" t="str">
        <f t="shared" si="9"/>
        <v>--</v>
      </c>
      <c r="P25" s="297">
        <f t="shared" si="3"/>
        <v>40</v>
      </c>
      <c r="Q25" s="298">
        <f t="shared" si="4"/>
        <v>155.532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44" t="s">
        <v>145</v>
      </c>
      <c r="V25" s="305">
        <f t="shared" si="8"/>
        <v>155.532</v>
      </c>
      <c r="W25" s="238"/>
    </row>
    <row r="26" spans="2:23" s="1" customFormat="1" ht="16.5" customHeight="1">
      <c r="B26" s="13"/>
      <c r="C26" s="210">
        <v>225</v>
      </c>
      <c r="D26" s="209">
        <v>291757</v>
      </c>
      <c r="E26" s="209">
        <v>2535</v>
      </c>
      <c r="F26" s="293" t="s">
        <v>212</v>
      </c>
      <c r="G26" s="293" t="s">
        <v>296</v>
      </c>
      <c r="H26" s="294">
        <v>13.199999809265137</v>
      </c>
      <c r="I26" s="295">
        <f t="shared" si="0"/>
        <v>11.964</v>
      </c>
      <c r="J26" s="449">
        <v>42246.34444444445</v>
      </c>
      <c r="K26" s="450">
        <v>42246.629166666666</v>
      </c>
      <c r="L26" s="225">
        <f t="shared" si="1"/>
        <v>6.833333333255723</v>
      </c>
      <c r="M26" s="296">
        <f t="shared" si="2"/>
        <v>410</v>
      </c>
      <c r="N26" s="227" t="s">
        <v>144</v>
      </c>
      <c r="O26" s="443" t="str">
        <f t="shared" si="9"/>
        <v>--</v>
      </c>
      <c r="P26" s="297">
        <f t="shared" si="3"/>
        <v>40</v>
      </c>
      <c r="Q26" s="298">
        <f t="shared" si="4"/>
        <v>326.85648000000003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44" t="s">
        <v>145</v>
      </c>
      <c r="V26" s="305">
        <f t="shared" si="8"/>
        <v>326.85648000000003</v>
      </c>
      <c r="W26" s="238"/>
    </row>
    <row r="27" spans="2:23" s="1" customFormat="1" ht="16.5" customHeight="1">
      <c r="B27" s="13"/>
      <c r="C27" s="210">
        <v>226</v>
      </c>
      <c r="D27" s="209">
        <v>291758</v>
      </c>
      <c r="E27" s="209">
        <v>3469</v>
      </c>
      <c r="F27" s="293" t="s">
        <v>286</v>
      </c>
      <c r="G27" s="293" t="s">
        <v>297</v>
      </c>
      <c r="H27" s="294">
        <v>13.199999809265137</v>
      </c>
      <c r="I27" s="295">
        <f t="shared" si="0"/>
        <v>11.964</v>
      </c>
      <c r="J27" s="449">
        <v>42246.34722222222</v>
      </c>
      <c r="K27" s="450">
        <v>42246.470138888886</v>
      </c>
      <c r="L27" s="225">
        <f t="shared" si="1"/>
        <v>2.9500000000116415</v>
      </c>
      <c r="M27" s="296">
        <f t="shared" si="2"/>
        <v>177</v>
      </c>
      <c r="N27" s="227" t="s">
        <v>144</v>
      </c>
      <c r="O27" s="443" t="str">
        <f t="shared" si="9"/>
        <v>--</v>
      </c>
      <c r="P27" s="297">
        <f t="shared" si="3"/>
        <v>40</v>
      </c>
      <c r="Q27" s="298">
        <f t="shared" si="4"/>
        <v>141.17520000000002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44" t="s">
        <v>145</v>
      </c>
      <c r="V27" s="305">
        <f t="shared" si="8"/>
        <v>141.17520000000002</v>
      </c>
      <c r="W27" s="238"/>
    </row>
    <row r="28" spans="2:23" s="1" customFormat="1" ht="16.5" customHeight="1">
      <c r="B28" s="13"/>
      <c r="C28" s="210">
        <v>227</v>
      </c>
      <c r="D28" s="209">
        <v>291762</v>
      </c>
      <c r="E28" s="209">
        <v>5068</v>
      </c>
      <c r="F28" s="293" t="s">
        <v>298</v>
      </c>
      <c r="G28" s="293" t="s">
        <v>299</v>
      </c>
      <c r="H28" s="294">
        <v>13.199999809265137</v>
      </c>
      <c r="I28" s="295">
        <f t="shared" si="0"/>
        <v>11.964</v>
      </c>
      <c r="J28" s="449">
        <v>42246.47638888889</v>
      </c>
      <c r="K28" s="450">
        <v>42246.572222222225</v>
      </c>
      <c r="L28" s="225">
        <f t="shared" si="1"/>
        <v>2.2999999999883585</v>
      </c>
      <c r="M28" s="296">
        <f t="shared" si="2"/>
        <v>138</v>
      </c>
      <c r="N28" s="227" t="s">
        <v>144</v>
      </c>
      <c r="O28" s="443" t="str">
        <f t="shared" si="9"/>
        <v>--</v>
      </c>
      <c r="P28" s="297">
        <f t="shared" si="3"/>
        <v>40</v>
      </c>
      <c r="Q28" s="298">
        <f t="shared" si="4"/>
        <v>110.0688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44" t="s">
        <v>145</v>
      </c>
      <c r="V28" s="305">
        <f t="shared" si="8"/>
        <v>110.0688</v>
      </c>
      <c r="W28" s="238"/>
    </row>
    <row r="29" spans="2:23" s="1" customFormat="1" ht="16.5" customHeight="1">
      <c r="B29" s="13"/>
      <c r="C29" s="210">
        <v>228</v>
      </c>
      <c r="D29" s="209">
        <v>291769</v>
      </c>
      <c r="E29" s="209">
        <v>2612</v>
      </c>
      <c r="F29" s="293" t="s">
        <v>212</v>
      </c>
      <c r="G29" s="293" t="s">
        <v>294</v>
      </c>
      <c r="H29" s="294">
        <v>33</v>
      </c>
      <c r="I29" s="295">
        <f t="shared" si="0"/>
        <v>11.964</v>
      </c>
      <c r="J29" s="449">
        <v>42247.40069444444</v>
      </c>
      <c r="K29" s="450">
        <v>42247.625</v>
      </c>
      <c r="L29" s="225">
        <f t="shared" si="1"/>
        <v>5.383333333418705</v>
      </c>
      <c r="M29" s="296">
        <f t="shared" si="2"/>
        <v>323</v>
      </c>
      <c r="N29" s="227" t="s">
        <v>144</v>
      </c>
      <c r="O29" s="443" t="str">
        <f t="shared" si="9"/>
        <v>--</v>
      </c>
      <c r="P29" s="297">
        <f t="shared" si="3"/>
        <v>50</v>
      </c>
      <c r="Q29" s="298">
        <f t="shared" si="4"/>
        <v>321.83160000000004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44" t="s">
        <v>145</v>
      </c>
      <c r="V29" s="305">
        <f t="shared" si="8"/>
        <v>321.83160000000004</v>
      </c>
      <c r="W29" s="238"/>
    </row>
    <row r="30" spans="2:23" s="1" customFormat="1" ht="16.5" customHeight="1">
      <c r="B30" s="13"/>
      <c r="C30" s="210">
        <v>229</v>
      </c>
      <c r="D30" s="209">
        <v>291770</v>
      </c>
      <c r="E30" s="209">
        <v>4760</v>
      </c>
      <c r="F30" s="293" t="s">
        <v>316</v>
      </c>
      <c r="G30" s="293" t="s">
        <v>317</v>
      </c>
      <c r="H30" s="294">
        <v>132</v>
      </c>
      <c r="I30" s="295">
        <f t="shared" si="0"/>
        <v>15.955</v>
      </c>
      <c r="J30" s="449">
        <v>42247.53472222222</v>
      </c>
      <c r="K30" s="450">
        <v>42247.606944444444</v>
      </c>
      <c r="L30" s="225">
        <f t="shared" si="1"/>
        <v>1.7333333333954215</v>
      </c>
      <c r="M30" s="296">
        <f t="shared" si="2"/>
        <v>104</v>
      </c>
      <c r="N30" s="227" t="s">
        <v>144</v>
      </c>
      <c r="O30" s="443" t="str">
        <f t="shared" si="9"/>
        <v>--</v>
      </c>
      <c r="P30" s="297">
        <f t="shared" si="3"/>
        <v>50</v>
      </c>
      <c r="Q30" s="298">
        <f t="shared" si="4"/>
        <v>138.01075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44" t="s">
        <v>145</v>
      </c>
      <c r="V30" s="305">
        <v>0</v>
      </c>
      <c r="W30" s="238"/>
    </row>
    <row r="31" spans="2:23" s="1" customFormat="1" ht="16.5" customHeight="1">
      <c r="B31" s="13"/>
      <c r="C31" s="210"/>
      <c r="D31" s="209"/>
      <c r="E31" s="209"/>
      <c r="F31" s="293"/>
      <c r="G31" s="293"/>
      <c r="H31" s="294"/>
      <c r="I31" s="295">
        <f t="shared" si="0"/>
        <v>11.964</v>
      </c>
      <c r="J31" s="449"/>
      <c r="K31" s="450"/>
      <c r="L31" s="225">
        <f t="shared" si="1"/>
      </c>
      <c r="M31" s="296">
        <f t="shared" si="2"/>
      </c>
      <c r="N31" s="227"/>
      <c r="O31" s="443">
        <f t="shared" si="9"/>
      </c>
      <c r="P31" s="297">
        <f t="shared" si="3"/>
        <v>40</v>
      </c>
      <c r="Q31" s="298" t="str">
        <f t="shared" si="4"/>
        <v>--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44">
        <f aca="true" t="shared" si="10" ref="U31:U41">IF(F31="","","SI")</f>
      </c>
      <c r="V31" s="305">
        <f t="shared" si="8"/>
      </c>
      <c r="W31" s="238"/>
    </row>
    <row r="32" spans="2:23" s="1" customFormat="1" ht="16.5" customHeight="1">
      <c r="B32" s="13"/>
      <c r="C32" s="210"/>
      <c r="D32" s="209"/>
      <c r="E32" s="209"/>
      <c r="F32" s="293"/>
      <c r="G32" s="293"/>
      <c r="H32" s="294"/>
      <c r="I32" s="295">
        <f t="shared" si="0"/>
        <v>11.964</v>
      </c>
      <c r="J32" s="449"/>
      <c r="K32" s="450"/>
      <c r="L32" s="225">
        <f t="shared" si="1"/>
      </c>
      <c r="M32" s="296">
        <f t="shared" si="2"/>
      </c>
      <c r="N32" s="227"/>
      <c r="O32" s="443">
        <f t="shared" si="9"/>
      </c>
      <c r="P32" s="297">
        <f t="shared" si="3"/>
        <v>40</v>
      </c>
      <c r="Q32" s="298" t="str">
        <f t="shared" si="4"/>
        <v>--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44">
        <f t="shared" si="10"/>
      </c>
      <c r="V32" s="305">
        <f t="shared" si="8"/>
      </c>
      <c r="W32" s="238"/>
    </row>
    <row r="33" spans="2:23" s="1" customFormat="1" ht="16.5" customHeight="1">
      <c r="B33" s="13"/>
      <c r="C33" s="210"/>
      <c r="D33" s="209"/>
      <c r="E33" s="209"/>
      <c r="F33" s="293"/>
      <c r="G33" s="293"/>
      <c r="H33" s="294"/>
      <c r="I33" s="295">
        <f t="shared" si="0"/>
        <v>11.964</v>
      </c>
      <c r="J33" s="449"/>
      <c r="K33" s="450"/>
      <c r="L33" s="225">
        <f t="shared" si="1"/>
      </c>
      <c r="M33" s="296">
        <f t="shared" si="2"/>
      </c>
      <c r="N33" s="227"/>
      <c r="O33" s="443">
        <f t="shared" si="9"/>
      </c>
      <c r="P33" s="297">
        <f t="shared" si="3"/>
        <v>40</v>
      </c>
      <c r="Q33" s="298" t="str">
        <f t="shared" si="4"/>
        <v>--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44">
        <f t="shared" si="10"/>
      </c>
      <c r="V33" s="305">
        <f t="shared" si="8"/>
      </c>
      <c r="W33" s="238"/>
    </row>
    <row r="34" spans="2:23" s="1" customFormat="1" ht="16.5" customHeight="1">
      <c r="B34" s="13"/>
      <c r="C34" s="210"/>
      <c r="D34" s="209"/>
      <c r="E34" s="209"/>
      <c r="F34" s="293"/>
      <c r="G34" s="293"/>
      <c r="H34" s="294"/>
      <c r="I34" s="295">
        <f t="shared" si="0"/>
        <v>11.964</v>
      </c>
      <c r="J34" s="449"/>
      <c r="K34" s="450"/>
      <c r="L34" s="225">
        <f t="shared" si="1"/>
      </c>
      <c r="M34" s="296">
        <f t="shared" si="2"/>
      </c>
      <c r="N34" s="227"/>
      <c r="O34" s="443">
        <f t="shared" si="9"/>
      </c>
      <c r="P34" s="297">
        <f t="shared" si="3"/>
        <v>40</v>
      </c>
      <c r="Q34" s="298" t="str">
        <f t="shared" si="4"/>
        <v>--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44">
        <f t="shared" si="10"/>
      </c>
      <c r="V34" s="305">
        <f t="shared" si="8"/>
      </c>
      <c r="W34" s="238"/>
    </row>
    <row r="35" spans="2:23" s="1" customFormat="1" ht="16.5" customHeight="1">
      <c r="B35" s="13"/>
      <c r="C35" s="210"/>
      <c r="D35" s="209"/>
      <c r="E35" s="209"/>
      <c r="F35" s="293"/>
      <c r="G35" s="293"/>
      <c r="H35" s="294"/>
      <c r="I35" s="295">
        <f t="shared" si="0"/>
        <v>11.964</v>
      </c>
      <c r="J35" s="449"/>
      <c r="K35" s="450"/>
      <c r="L35" s="225">
        <f t="shared" si="1"/>
      </c>
      <c r="M35" s="296">
        <f t="shared" si="2"/>
      </c>
      <c r="N35" s="227"/>
      <c r="O35" s="443">
        <f t="shared" si="9"/>
      </c>
      <c r="P35" s="297">
        <f t="shared" si="3"/>
        <v>40</v>
      </c>
      <c r="Q35" s="298" t="str">
        <f t="shared" si="4"/>
        <v>--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44">
        <f t="shared" si="10"/>
      </c>
      <c r="V35" s="305">
        <f t="shared" si="8"/>
      </c>
      <c r="W35" s="238"/>
    </row>
    <row r="36" spans="2:23" s="1" customFormat="1" ht="16.5" customHeight="1">
      <c r="B36" s="13"/>
      <c r="C36" s="210"/>
      <c r="D36" s="209"/>
      <c r="E36" s="209"/>
      <c r="F36" s="293"/>
      <c r="G36" s="293"/>
      <c r="H36" s="294"/>
      <c r="I36" s="295">
        <f t="shared" si="0"/>
        <v>11.964</v>
      </c>
      <c r="J36" s="449"/>
      <c r="K36" s="450"/>
      <c r="L36" s="225">
        <f t="shared" si="1"/>
      </c>
      <c r="M36" s="296">
        <f t="shared" si="2"/>
      </c>
      <c r="N36" s="227"/>
      <c r="O36" s="443">
        <f t="shared" si="9"/>
      </c>
      <c r="P36" s="297">
        <f t="shared" si="3"/>
        <v>40</v>
      </c>
      <c r="Q36" s="298" t="str">
        <f t="shared" si="4"/>
        <v>--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44">
        <f t="shared" si="10"/>
      </c>
      <c r="V36" s="305">
        <f t="shared" si="8"/>
      </c>
      <c r="W36" s="238"/>
    </row>
    <row r="37" spans="2:23" s="1" customFormat="1" ht="16.5" customHeight="1">
      <c r="B37" s="13"/>
      <c r="C37" s="210"/>
      <c r="D37" s="209"/>
      <c r="E37" s="209"/>
      <c r="F37" s="293"/>
      <c r="G37" s="293"/>
      <c r="H37" s="294"/>
      <c r="I37" s="295">
        <f t="shared" si="0"/>
        <v>11.964</v>
      </c>
      <c r="J37" s="449"/>
      <c r="K37" s="450"/>
      <c r="L37" s="225">
        <f t="shared" si="1"/>
      </c>
      <c r="M37" s="296">
        <f t="shared" si="2"/>
      </c>
      <c r="N37" s="227"/>
      <c r="O37" s="443">
        <f t="shared" si="9"/>
      </c>
      <c r="P37" s="297">
        <f t="shared" si="3"/>
        <v>40</v>
      </c>
      <c r="Q37" s="298" t="str">
        <f t="shared" si="4"/>
        <v>--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44">
        <f t="shared" si="10"/>
      </c>
      <c r="V37" s="305">
        <f t="shared" si="8"/>
      </c>
      <c r="W37" s="238"/>
    </row>
    <row r="38" spans="2:23" s="1" customFormat="1" ht="16.5" customHeight="1">
      <c r="B38" s="13"/>
      <c r="C38" s="210"/>
      <c r="D38" s="209"/>
      <c r="E38" s="209"/>
      <c r="F38" s="293"/>
      <c r="G38" s="293"/>
      <c r="H38" s="294"/>
      <c r="I38" s="295">
        <f t="shared" si="0"/>
        <v>11.964</v>
      </c>
      <c r="J38" s="449"/>
      <c r="K38" s="450"/>
      <c r="L38" s="225">
        <f t="shared" si="1"/>
      </c>
      <c r="M38" s="296">
        <f t="shared" si="2"/>
      </c>
      <c r="N38" s="227"/>
      <c r="O38" s="443">
        <f t="shared" si="9"/>
      </c>
      <c r="P38" s="297">
        <f t="shared" si="3"/>
        <v>40</v>
      </c>
      <c r="Q38" s="298" t="str">
        <f t="shared" si="4"/>
        <v>--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44">
        <f t="shared" si="10"/>
      </c>
      <c r="V38" s="305">
        <f t="shared" si="8"/>
      </c>
      <c r="W38" s="238"/>
    </row>
    <row r="39" spans="2:23" s="1" customFormat="1" ht="16.5" customHeight="1">
      <c r="B39" s="13"/>
      <c r="C39" s="210"/>
      <c r="D39" s="209"/>
      <c r="E39" s="209"/>
      <c r="F39" s="293"/>
      <c r="G39" s="293"/>
      <c r="H39" s="294"/>
      <c r="I39" s="295">
        <f t="shared" si="0"/>
        <v>11.964</v>
      </c>
      <c r="J39" s="449"/>
      <c r="K39" s="450"/>
      <c r="L39" s="225">
        <f t="shared" si="1"/>
      </c>
      <c r="M39" s="296">
        <f t="shared" si="2"/>
      </c>
      <c r="N39" s="227"/>
      <c r="O39" s="443">
        <f t="shared" si="9"/>
      </c>
      <c r="P39" s="297">
        <f t="shared" si="3"/>
        <v>40</v>
      </c>
      <c r="Q39" s="298" t="str">
        <f t="shared" si="4"/>
        <v>--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44">
        <f t="shared" si="10"/>
      </c>
      <c r="V39" s="305">
        <f t="shared" si="8"/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11.964</v>
      </c>
      <c r="J40" s="449"/>
      <c r="K40" s="450"/>
      <c r="L40" s="225">
        <f t="shared" si="1"/>
      </c>
      <c r="M40" s="296">
        <f t="shared" si="2"/>
      </c>
      <c r="N40" s="227"/>
      <c r="O40" s="443">
        <f t="shared" si="9"/>
      </c>
      <c r="P40" s="297">
        <f t="shared" si="3"/>
        <v>40</v>
      </c>
      <c r="Q40" s="298" t="str">
        <f t="shared" si="4"/>
        <v>--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44">
        <f t="shared" si="10"/>
      </c>
      <c r="V40" s="305">
        <f t="shared" si="8"/>
      </c>
      <c r="W40" s="238"/>
    </row>
    <row r="41" spans="2:23" s="1" customFormat="1" ht="16.5" customHeight="1">
      <c r="B41" s="13"/>
      <c r="C41" s="210"/>
      <c r="D41" s="209"/>
      <c r="E41" s="209"/>
      <c r="F41" s="293"/>
      <c r="G41" s="293"/>
      <c r="H41" s="294"/>
      <c r="I41" s="295">
        <f t="shared" si="0"/>
        <v>11.964</v>
      </c>
      <c r="J41" s="449"/>
      <c r="K41" s="450"/>
      <c r="L41" s="225">
        <f t="shared" si="1"/>
      </c>
      <c r="M41" s="296">
        <f t="shared" si="2"/>
      </c>
      <c r="N41" s="227"/>
      <c r="O41" s="443">
        <f t="shared" si="9"/>
      </c>
      <c r="P41" s="297">
        <f t="shared" si="3"/>
        <v>40</v>
      </c>
      <c r="Q41" s="298" t="str">
        <f t="shared" si="4"/>
        <v>--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44">
        <f t="shared" si="10"/>
      </c>
      <c r="V41" s="305">
        <f t="shared" si="8"/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67</v>
      </c>
      <c r="D43" s="471" t="s">
        <v>321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2249.53711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20">
        <f>ROUND(SUM(V20:V42),2)</f>
        <v>45937.59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E46"/>
  <sheetViews>
    <sheetView zoomScale="80" zoomScaleNormal="80" zoomScalePageLayoutView="0" workbookViewId="0" topLeftCell="A1">
      <selection activeCell="A33" sqref="A33"/>
    </sheetView>
  </sheetViews>
  <sheetFormatPr defaultColWidth="11.421875" defaultRowHeight="12.75"/>
  <cols>
    <col min="1" max="1" width="18.710937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5.7109375" style="5" hidden="1" customWidth="1"/>
    <col min="12" max="12" width="16.57421875" style="5" customWidth="1"/>
    <col min="13" max="13" width="16.851562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5"/>
    </row>
    <row r="2" spans="2:31" s="3" customFormat="1" ht="26.25">
      <c r="B2" s="16" t="str">
        <f>'TOT-0815'!B2</f>
        <v>ANEXO III al Memorándum D.T.E.E. N°  316 / 2016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2:31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2:31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2:31" s="22" customFormat="1" ht="20.25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2:31" s="1" customFormat="1" ht="16.5" customHeight="1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2:31" s="22" customFormat="1" ht="20.25">
      <c r="B10" s="153"/>
      <c r="C10" s="154"/>
      <c r="D10" s="154"/>
      <c r="E10" s="154"/>
      <c r="F10" s="155" t="s">
        <v>78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2:31" s="1" customFormat="1" ht="16.5" customHeight="1">
      <c r="B11" s="158"/>
      <c r="C11" s="2"/>
      <c r="D11" s="2"/>
      <c r="E11" s="2"/>
      <c r="F11" s="160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2:31" s="22" customFormat="1" ht="20.25">
      <c r="B12" s="153"/>
      <c r="C12" s="154"/>
      <c r="D12" s="154"/>
      <c r="E12" s="154"/>
      <c r="F12" s="412" t="s">
        <v>79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2:31" s="1" customFormat="1" ht="16.5" customHeight="1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2:31" s="10" customFormat="1" ht="19.5">
      <c r="B14" s="166" t="str">
        <f>'TOT-0815'!B14</f>
        <v>Desde el 01 al 31 de agosto de 2015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2:31" s="1" customFormat="1" ht="16.5" customHeight="1" thickBot="1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2:31" s="1" customFormat="1" ht="16.5" customHeight="1" thickBot="1" thickTop="1">
      <c r="B16" s="158"/>
      <c r="C16" s="2"/>
      <c r="D16" s="2"/>
      <c r="E16" s="2"/>
      <c r="F16" s="174" t="s">
        <v>34</v>
      </c>
      <c r="G16" s="175"/>
      <c r="H16" s="175"/>
      <c r="I16" s="175"/>
      <c r="J16" s="176">
        <f>60*'TOT-0815'!B13</f>
        <v>60</v>
      </c>
      <c r="K16" s="177"/>
      <c r="L16" s="177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6.5" customHeight="1" thickBot="1" thickTop="1">
      <c r="B17" s="158"/>
      <c r="C17" s="438">
        <v>3</v>
      </c>
      <c r="D17" s="438">
        <v>4</v>
      </c>
      <c r="E17" s="438">
        <v>5</v>
      </c>
      <c r="F17" s="438">
        <v>6</v>
      </c>
      <c r="G17" s="438">
        <v>7</v>
      </c>
      <c r="H17" s="438">
        <v>8</v>
      </c>
      <c r="I17" s="438">
        <v>9</v>
      </c>
      <c r="J17" s="438">
        <v>10</v>
      </c>
      <c r="K17" s="438">
        <v>11</v>
      </c>
      <c r="L17" s="438">
        <v>12</v>
      </c>
      <c r="M17" s="438">
        <v>13</v>
      </c>
      <c r="N17" s="438">
        <v>14</v>
      </c>
      <c r="O17" s="438">
        <v>15</v>
      </c>
      <c r="P17" s="438">
        <v>16</v>
      </c>
      <c r="Q17" s="438">
        <v>17</v>
      </c>
      <c r="R17" s="438">
        <v>18</v>
      </c>
      <c r="S17" s="438">
        <v>19</v>
      </c>
      <c r="T17" s="438">
        <v>20</v>
      </c>
      <c r="U17" s="438">
        <v>21</v>
      </c>
      <c r="V17" s="438">
        <v>22</v>
      </c>
      <c r="W17" s="438">
        <v>23</v>
      </c>
      <c r="X17" s="438">
        <v>24</v>
      </c>
      <c r="Y17" s="438">
        <v>25</v>
      </c>
      <c r="Z17" s="438">
        <v>26</v>
      </c>
      <c r="AA17" s="438">
        <v>27</v>
      </c>
      <c r="AB17" s="438">
        <v>28</v>
      </c>
      <c r="AC17" s="438">
        <v>29</v>
      </c>
      <c r="AD17" s="438">
        <v>30</v>
      </c>
      <c r="AE17" s="159"/>
    </row>
    <row r="18" spans="2:31" s="179" customFormat="1" ht="34.5" customHeight="1" thickBot="1" thickTop="1">
      <c r="B18" s="180"/>
      <c r="C18" s="422" t="s">
        <v>13</v>
      </c>
      <c r="D18" s="422" t="s">
        <v>83</v>
      </c>
      <c r="E18" s="422" t="s">
        <v>84</v>
      </c>
      <c r="F18" s="181" t="s">
        <v>35</v>
      </c>
      <c r="G18" s="182" t="s">
        <v>36</v>
      </c>
      <c r="H18" s="183" t="s">
        <v>37</v>
      </c>
      <c r="I18" s="183" t="s">
        <v>80</v>
      </c>
      <c r="J18" s="184" t="s">
        <v>14</v>
      </c>
      <c r="K18" s="185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66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6.5" customHeight="1" thickTop="1">
      <c r="B19" s="158"/>
      <c r="C19" s="196"/>
      <c r="D19" s="196"/>
      <c r="E19" s="196"/>
      <c r="F19" s="197"/>
      <c r="G19" s="198"/>
      <c r="H19" s="198"/>
      <c r="I19" s="413"/>
      <c r="J19" s="198"/>
      <c r="K19" s="199"/>
      <c r="L19" s="406"/>
      <c r="M19" s="407"/>
      <c r="N19" s="200"/>
      <c r="O19" s="200"/>
      <c r="P19" s="198"/>
      <c r="Q19" s="198"/>
      <c r="R19" s="198"/>
      <c r="S19" s="198"/>
      <c r="T19" s="74"/>
      <c r="U19" s="72"/>
      <c r="V19" s="201"/>
      <c r="W19" s="202"/>
      <c r="X19" s="203"/>
      <c r="Y19" s="204"/>
      <c r="Z19" s="205"/>
      <c r="AA19" s="206"/>
      <c r="AB19" s="207"/>
      <c r="AC19" s="198"/>
      <c r="AD19" s="208"/>
      <c r="AE19" s="159"/>
    </row>
    <row r="20" spans="2:31" s="1" customFormat="1" ht="16.5" customHeight="1">
      <c r="B20" s="158"/>
      <c r="C20" s="209"/>
      <c r="D20" s="209"/>
      <c r="E20" s="209"/>
      <c r="F20" s="77"/>
      <c r="G20" s="79"/>
      <c r="H20" s="222"/>
      <c r="I20" s="414"/>
      <c r="J20" s="223"/>
      <c r="K20" s="224">
        <f aca="true" t="shared" si="0" ref="K20:K28">H20*I20</f>
        <v>0</v>
      </c>
      <c r="L20" s="447"/>
      <c r="M20" s="447"/>
      <c r="N20" s="225">
        <f aca="true" t="shared" si="1" ref="N20:N41">IF(F20="","",(M20-L20)*24)</f>
      </c>
      <c r="O20" s="226">
        <f aca="true" t="shared" si="2" ref="O20:O41">IF(F20="","",ROUND((M20-L20)*24*60,0))</f>
      </c>
      <c r="P20" s="227"/>
      <c r="Q20" s="227"/>
      <c r="R20" s="228"/>
      <c r="S20" s="227"/>
      <c r="T20" s="105">
        <f aca="true" t="shared" si="3" ref="T20:T41">$J$16*IF(OR(P20="P",P20="RP"),0.1,1)*IF(S20="SI",1,0.1)</f>
        <v>6</v>
      </c>
      <c r="U20" s="229" t="str">
        <f aca="true" t="shared" si="4" ref="U20:U41">IF(P20="P",K20*T20*ROUND(O20/60,2),"--")</f>
        <v>--</v>
      </c>
      <c r="V20" s="230" t="str">
        <f aca="true" t="shared" si="5" ref="V20:V41">IF(P20="RP",K20*T20*ROUND(O20/60,2)*R20/100,"--")</f>
        <v>--</v>
      </c>
      <c r="W20" s="231" t="str">
        <f aca="true" t="shared" si="6" ref="W20:W41">IF(AND(P20="F",Q20="NO"),K20*T20,"--")</f>
        <v>--</v>
      </c>
      <c r="X20" s="232" t="str">
        <f aca="true" t="shared" si="7" ref="X20:X41">IF(P20="F",K20*T20*ROUND(O20/60,2),"--")</f>
        <v>--</v>
      </c>
      <c r="Y20" s="233" t="str">
        <f aca="true" t="shared" si="8" ref="Y20:Y41">IF(AND(P20="R",Q20="NO"),K20*T20*R20/100,"--")</f>
        <v>--</v>
      </c>
      <c r="Z20" s="234" t="str">
        <f aca="true" t="shared" si="9" ref="Z20:Z41">IF(P20="R",K20*T20*ROUND(O20/60,2)*R20/100,"--")</f>
        <v>--</v>
      </c>
      <c r="AA20" s="235" t="str">
        <f aca="true" t="shared" si="10" ref="AA20:AA41">IF(P20="RF",K20*T20*ROUND(O20/60,2),"--")</f>
        <v>--</v>
      </c>
      <c r="AB20" s="236" t="str">
        <f aca="true" t="shared" si="11" ref="AB20:AB41">IF(P20="RR",K20*T20*ROUND(O20/60,2)*R20/100,"--")</f>
        <v>--</v>
      </c>
      <c r="AC20" s="227"/>
      <c r="AD20" s="237">
        <f aca="true" t="shared" si="12" ref="AD20:AD41">IF(F20="","",SUM(U20:AB20)*IF(AC20="SI",1,2))</f>
      </c>
      <c r="AE20" s="159"/>
    </row>
    <row r="21" spans="2:31" s="1" customFormat="1" ht="16.5" customHeight="1">
      <c r="B21" s="158"/>
      <c r="C21" s="209">
        <v>230</v>
      </c>
      <c r="D21" s="209">
        <v>290981</v>
      </c>
      <c r="E21" s="209">
        <v>4457</v>
      </c>
      <c r="F21" s="77" t="s">
        <v>286</v>
      </c>
      <c r="G21" s="79" t="s">
        <v>300</v>
      </c>
      <c r="H21" s="222">
        <v>3</v>
      </c>
      <c r="I21" s="414">
        <v>8.866</v>
      </c>
      <c r="J21" s="223">
        <v>13.199999809265137</v>
      </c>
      <c r="K21" s="224">
        <f t="shared" si="0"/>
        <v>26.598</v>
      </c>
      <c r="L21" s="447">
        <v>42223.35625</v>
      </c>
      <c r="M21" s="447">
        <v>42223.50069444445</v>
      </c>
      <c r="N21" s="225">
        <f t="shared" si="1"/>
        <v>3.466666666790843</v>
      </c>
      <c r="O21" s="226">
        <f t="shared" si="2"/>
        <v>208</v>
      </c>
      <c r="P21" s="227" t="s">
        <v>144</v>
      </c>
      <c r="Q21" s="445" t="str">
        <f>IF(F21="","",IF(OR(P21="P",P21="RP"),"--","NO"))</f>
        <v>--</v>
      </c>
      <c r="R21" s="446" t="str">
        <f>IF(F21="","","--")</f>
        <v>--</v>
      </c>
      <c r="S21" s="439" t="str">
        <f>IF(F21="","","NO")</f>
        <v>NO</v>
      </c>
      <c r="T21" s="105">
        <f t="shared" si="3"/>
        <v>0.6000000000000001</v>
      </c>
      <c r="U21" s="229">
        <f t="shared" si="4"/>
        <v>55.37703600000001</v>
      </c>
      <c r="V21" s="230" t="str">
        <f t="shared" si="5"/>
        <v>--</v>
      </c>
      <c r="W21" s="231" t="str">
        <f t="shared" si="6"/>
        <v>--</v>
      </c>
      <c r="X21" s="232" t="str">
        <f t="shared" si="7"/>
        <v>--</v>
      </c>
      <c r="Y21" s="233" t="str">
        <f t="shared" si="8"/>
        <v>--</v>
      </c>
      <c r="Z21" s="234" t="str">
        <f t="shared" si="9"/>
        <v>--</v>
      </c>
      <c r="AA21" s="235" t="str">
        <f t="shared" si="10"/>
        <v>--</v>
      </c>
      <c r="AB21" s="236" t="str">
        <f t="shared" si="11"/>
        <v>--</v>
      </c>
      <c r="AC21" s="445" t="s">
        <v>145</v>
      </c>
      <c r="AD21" s="237">
        <f t="shared" si="12"/>
        <v>55.37703600000001</v>
      </c>
      <c r="AE21" s="159"/>
    </row>
    <row r="22" spans="2:31" s="1" customFormat="1" ht="16.5" customHeight="1">
      <c r="B22" s="158"/>
      <c r="C22" s="209">
        <v>231</v>
      </c>
      <c r="D22" s="209">
        <v>291271</v>
      </c>
      <c r="E22" s="209">
        <v>4452</v>
      </c>
      <c r="F22" s="77" t="s">
        <v>301</v>
      </c>
      <c r="G22" s="79" t="s">
        <v>302</v>
      </c>
      <c r="H22" s="222">
        <v>1.5</v>
      </c>
      <c r="I22" s="414">
        <v>5.503</v>
      </c>
      <c r="J22" s="223">
        <v>13.199999809265137</v>
      </c>
      <c r="K22" s="224">
        <f t="shared" si="0"/>
        <v>8.2545</v>
      </c>
      <c r="L22" s="447">
        <v>42228.41736111111</v>
      </c>
      <c r="M22" s="447">
        <v>42228.58888888889</v>
      </c>
      <c r="N22" s="225">
        <f t="shared" si="1"/>
        <v>4.116666666639503</v>
      </c>
      <c r="O22" s="226">
        <f t="shared" si="2"/>
        <v>247</v>
      </c>
      <c r="P22" s="227" t="s">
        <v>144</v>
      </c>
      <c r="Q22" s="445" t="str">
        <f aca="true" t="shared" si="13" ref="Q22:Q41">IF(F22="","",IF(OR(P22="P",P22="RP"),"--","NO"))</f>
        <v>--</v>
      </c>
      <c r="R22" s="446" t="str">
        <f aca="true" t="shared" si="14" ref="R22:R41">IF(F22="","","--")</f>
        <v>--</v>
      </c>
      <c r="S22" s="439" t="str">
        <f aca="true" t="shared" si="15" ref="S22:S41">IF(F22="","","NO")</f>
        <v>NO</v>
      </c>
      <c r="T22" s="105">
        <f t="shared" si="3"/>
        <v>0.6000000000000001</v>
      </c>
      <c r="U22" s="229">
        <f t="shared" si="4"/>
        <v>20.405124000000004</v>
      </c>
      <c r="V22" s="230" t="str">
        <f t="shared" si="5"/>
        <v>--</v>
      </c>
      <c r="W22" s="231" t="str">
        <f t="shared" si="6"/>
        <v>--</v>
      </c>
      <c r="X22" s="232" t="str">
        <f t="shared" si="7"/>
        <v>--</v>
      </c>
      <c r="Y22" s="233" t="str">
        <f t="shared" si="8"/>
        <v>--</v>
      </c>
      <c r="Z22" s="234" t="str">
        <f t="shared" si="9"/>
        <v>--</v>
      </c>
      <c r="AA22" s="235" t="str">
        <f t="shared" si="10"/>
        <v>--</v>
      </c>
      <c r="AB22" s="236" t="str">
        <f t="shared" si="11"/>
        <v>--</v>
      </c>
      <c r="AC22" s="445" t="s">
        <v>145</v>
      </c>
      <c r="AD22" s="237">
        <f t="shared" si="12"/>
        <v>20.405124000000004</v>
      </c>
      <c r="AE22" s="159"/>
    </row>
    <row r="23" spans="2:31" s="1" customFormat="1" ht="16.5" customHeight="1">
      <c r="B23" s="158"/>
      <c r="C23" s="209">
        <v>232</v>
      </c>
      <c r="D23" s="209">
        <v>291272</v>
      </c>
      <c r="E23" s="209">
        <v>4453</v>
      </c>
      <c r="F23" s="77" t="s">
        <v>301</v>
      </c>
      <c r="G23" s="79" t="s">
        <v>303</v>
      </c>
      <c r="H23" s="222">
        <v>1.5</v>
      </c>
      <c r="I23" s="414">
        <v>5.503</v>
      </c>
      <c r="J23" s="223">
        <v>13.199999809265137</v>
      </c>
      <c r="K23" s="224">
        <f t="shared" si="0"/>
        <v>8.2545</v>
      </c>
      <c r="L23" s="447">
        <v>42228.41736111111</v>
      </c>
      <c r="M23" s="447">
        <v>42228.58888888889</v>
      </c>
      <c r="N23" s="225">
        <f t="shared" si="1"/>
        <v>4.116666666639503</v>
      </c>
      <c r="O23" s="226">
        <f t="shared" si="2"/>
        <v>247</v>
      </c>
      <c r="P23" s="227" t="s">
        <v>144</v>
      </c>
      <c r="Q23" s="445" t="str">
        <f t="shared" si="13"/>
        <v>--</v>
      </c>
      <c r="R23" s="446" t="str">
        <f t="shared" si="14"/>
        <v>--</v>
      </c>
      <c r="S23" s="439" t="str">
        <f t="shared" si="15"/>
        <v>NO</v>
      </c>
      <c r="T23" s="105">
        <f t="shared" si="3"/>
        <v>0.6000000000000001</v>
      </c>
      <c r="U23" s="229">
        <f t="shared" si="4"/>
        <v>20.405124000000004</v>
      </c>
      <c r="V23" s="230" t="str">
        <f t="shared" si="5"/>
        <v>--</v>
      </c>
      <c r="W23" s="231" t="str">
        <f t="shared" si="6"/>
        <v>--</v>
      </c>
      <c r="X23" s="232" t="str">
        <f t="shared" si="7"/>
        <v>--</v>
      </c>
      <c r="Y23" s="233" t="str">
        <f t="shared" si="8"/>
        <v>--</v>
      </c>
      <c r="Z23" s="234" t="str">
        <f t="shared" si="9"/>
        <v>--</v>
      </c>
      <c r="AA23" s="235" t="str">
        <f t="shared" si="10"/>
        <v>--</v>
      </c>
      <c r="AB23" s="236" t="str">
        <f t="shared" si="11"/>
        <v>--</v>
      </c>
      <c r="AC23" s="445" t="s">
        <v>145</v>
      </c>
      <c r="AD23" s="237">
        <f t="shared" si="12"/>
        <v>20.405124000000004</v>
      </c>
      <c r="AE23" s="159"/>
    </row>
    <row r="24" spans="2:31" s="1" customFormat="1" ht="16.5" customHeight="1">
      <c r="B24" s="158"/>
      <c r="C24" s="209">
        <v>233</v>
      </c>
      <c r="D24" s="209">
        <v>291528</v>
      </c>
      <c r="E24" s="209">
        <v>4460</v>
      </c>
      <c r="F24" s="77" t="s">
        <v>194</v>
      </c>
      <c r="G24" s="79" t="s">
        <v>304</v>
      </c>
      <c r="H24" s="222">
        <v>1.5</v>
      </c>
      <c r="I24" s="414">
        <v>4.563</v>
      </c>
      <c r="J24" s="223">
        <v>13.199999809265137</v>
      </c>
      <c r="K24" s="224">
        <f t="shared" si="0"/>
        <v>6.8445</v>
      </c>
      <c r="L24" s="447">
        <v>42234.584027777775</v>
      </c>
      <c r="M24" s="447">
        <v>42234.7125</v>
      </c>
      <c r="N24" s="225">
        <f t="shared" si="1"/>
        <v>3.083333333430346</v>
      </c>
      <c r="O24" s="226">
        <f t="shared" si="2"/>
        <v>185</v>
      </c>
      <c r="P24" s="227" t="s">
        <v>149</v>
      </c>
      <c r="Q24" s="445" t="str">
        <f t="shared" si="13"/>
        <v>NO</v>
      </c>
      <c r="R24" s="446" t="str">
        <f t="shared" si="14"/>
        <v>--</v>
      </c>
      <c r="S24" s="439" t="str">
        <f t="shared" si="15"/>
        <v>NO</v>
      </c>
      <c r="T24" s="105">
        <f t="shared" si="3"/>
        <v>6</v>
      </c>
      <c r="U24" s="229" t="str">
        <f t="shared" si="4"/>
        <v>--</v>
      </c>
      <c r="V24" s="230" t="str">
        <f t="shared" si="5"/>
        <v>--</v>
      </c>
      <c r="W24" s="231">
        <f t="shared" si="6"/>
        <v>41.067</v>
      </c>
      <c r="X24" s="232">
        <f t="shared" si="7"/>
        <v>126.48636</v>
      </c>
      <c r="Y24" s="233" t="str">
        <f t="shared" si="8"/>
        <v>--</v>
      </c>
      <c r="Z24" s="234" t="str">
        <f t="shared" si="9"/>
        <v>--</v>
      </c>
      <c r="AA24" s="235" t="str">
        <f t="shared" si="10"/>
        <v>--</v>
      </c>
      <c r="AB24" s="236" t="str">
        <f t="shared" si="11"/>
        <v>--</v>
      </c>
      <c r="AC24" s="445" t="s">
        <v>145</v>
      </c>
      <c r="AD24" s="237">
        <f t="shared" si="12"/>
        <v>167.55336</v>
      </c>
      <c r="AE24" s="159"/>
    </row>
    <row r="25" spans="2:31" s="1" customFormat="1" ht="16.5" customHeight="1">
      <c r="B25" s="158"/>
      <c r="C25" s="209"/>
      <c r="D25" s="209"/>
      <c r="E25" s="209"/>
      <c r="F25" s="77"/>
      <c r="G25" s="79"/>
      <c r="H25" s="222"/>
      <c r="I25" s="414"/>
      <c r="J25" s="223"/>
      <c r="K25" s="224">
        <f t="shared" si="0"/>
        <v>0</v>
      </c>
      <c r="L25" s="447"/>
      <c r="M25" s="447"/>
      <c r="N25" s="225">
        <f t="shared" si="1"/>
      </c>
      <c r="O25" s="226">
        <f t="shared" si="2"/>
      </c>
      <c r="P25" s="227"/>
      <c r="Q25" s="445">
        <f t="shared" si="13"/>
      </c>
      <c r="R25" s="446">
        <f t="shared" si="14"/>
      </c>
      <c r="S25" s="439">
        <f t="shared" si="15"/>
      </c>
      <c r="T25" s="105">
        <f t="shared" si="3"/>
        <v>6</v>
      </c>
      <c r="U25" s="229" t="str">
        <f t="shared" si="4"/>
        <v>--</v>
      </c>
      <c r="V25" s="230" t="str">
        <f t="shared" si="5"/>
        <v>--</v>
      </c>
      <c r="W25" s="231" t="str">
        <f t="shared" si="6"/>
        <v>--</v>
      </c>
      <c r="X25" s="232" t="str">
        <f t="shared" si="7"/>
        <v>--</v>
      </c>
      <c r="Y25" s="233" t="str">
        <f t="shared" si="8"/>
        <v>--</v>
      </c>
      <c r="Z25" s="234" t="str">
        <f t="shared" si="9"/>
        <v>--</v>
      </c>
      <c r="AA25" s="235" t="str">
        <f t="shared" si="10"/>
        <v>--</v>
      </c>
      <c r="AB25" s="236" t="str">
        <f t="shared" si="11"/>
        <v>--</v>
      </c>
      <c r="AC25" s="445">
        <f aca="true" t="shared" si="16" ref="AC25:AC41">IF(F25="","","SI")</f>
      </c>
      <c r="AD25" s="237">
        <f t="shared" si="12"/>
      </c>
      <c r="AE25" s="159"/>
    </row>
    <row r="26" spans="2:31" s="1" customFormat="1" ht="16.5" customHeight="1">
      <c r="B26" s="158"/>
      <c r="C26" s="209"/>
      <c r="D26" s="209"/>
      <c r="E26" s="209"/>
      <c r="F26" s="77"/>
      <c r="G26" s="79"/>
      <c r="H26" s="222"/>
      <c r="I26" s="414"/>
      <c r="J26" s="223"/>
      <c r="K26" s="224">
        <f t="shared" si="0"/>
        <v>0</v>
      </c>
      <c r="L26" s="447"/>
      <c r="M26" s="447"/>
      <c r="N26" s="225">
        <f t="shared" si="1"/>
      </c>
      <c r="O26" s="226">
        <f t="shared" si="2"/>
      </c>
      <c r="P26" s="227"/>
      <c r="Q26" s="445">
        <f t="shared" si="13"/>
      </c>
      <c r="R26" s="446">
        <f t="shared" si="14"/>
      </c>
      <c r="S26" s="439">
        <f t="shared" si="15"/>
      </c>
      <c r="T26" s="105">
        <f t="shared" si="3"/>
        <v>6</v>
      </c>
      <c r="U26" s="229" t="str">
        <f t="shared" si="4"/>
        <v>--</v>
      </c>
      <c r="V26" s="230" t="str">
        <f t="shared" si="5"/>
        <v>--</v>
      </c>
      <c r="W26" s="231" t="str">
        <f t="shared" si="6"/>
        <v>--</v>
      </c>
      <c r="X26" s="232" t="str">
        <f t="shared" si="7"/>
        <v>--</v>
      </c>
      <c r="Y26" s="233" t="str">
        <f t="shared" si="8"/>
        <v>--</v>
      </c>
      <c r="Z26" s="234" t="str">
        <f t="shared" si="9"/>
        <v>--</v>
      </c>
      <c r="AA26" s="235" t="str">
        <f t="shared" si="10"/>
        <v>--</v>
      </c>
      <c r="AB26" s="236" t="str">
        <f t="shared" si="11"/>
        <v>--</v>
      </c>
      <c r="AC26" s="445">
        <f t="shared" si="16"/>
      </c>
      <c r="AD26" s="237">
        <f t="shared" si="12"/>
      </c>
      <c r="AE26" s="159"/>
    </row>
    <row r="27" spans="2:31" s="1" customFormat="1" ht="16.5" customHeight="1">
      <c r="B27" s="158"/>
      <c r="C27" s="209"/>
      <c r="D27" s="209"/>
      <c r="E27" s="209"/>
      <c r="F27" s="77"/>
      <c r="G27" s="79"/>
      <c r="H27" s="222"/>
      <c r="I27" s="414"/>
      <c r="J27" s="223"/>
      <c r="K27" s="224">
        <f t="shared" si="0"/>
        <v>0</v>
      </c>
      <c r="L27" s="447"/>
      <c r="M27" s="447"/>
      <c r="N27" s="225">
        <f t="shared" si="1"/>
      </c>
      <c r="O27" s="226">
        <f t="shared" si="2"/>
      </c>
      <c r="P27" s="227"/>
      <c r="Q27" s="445">
        <f t="shared" si="13"/>
      </c>
      <c r="R27" s="446">
        <f t="shared" si="14"/>
      </c>
      <c r="S27" s="439">
        <f t="shared" si="15"/>
      </c>
      <c r="T27" s="105">
        <f t="shared" si="3"/>
        <v>6</v>
      </c>
      <c r="U27" s="229" t="str">
        <f t="shared" si="4"/>
        <v>--</v>
      </c>
      <c r="V27" s="230" t="str">
        <f t="shared" si="5"/>
        <v>--</v>
      </c>
      <c r="W27" s="231" t="str">
        <f t="shared" si="6"/>
        <v>--</v>
      </c>
      <c r="X27" s="232" t="str">
        <f t="shared" si="7"/>
        <v>--</v>
      </c>
      <c r="Y27" s="233" t="str">
        <f t="shared" si="8"/>
        <v>--</v>
      </c>
      <c r="Z27" s="234" t="str">
        <f t="shared" si="9"/>
        <v>--</v>
      </c>
      <c r="AA27" s="235" t="str">
        <f t="shared" si="10"/>
        <v>--</v>
      </c>
      <c r="AB27" s="236" t="str">
        <f t="shared" si="11"/>
        <v>--</v>
      </c>
      <c r="AC27" s="445">
        <f t="shared" si="16"/>
      </c>
      <c r="AD27" s="237">
        <f t="shared" si="12"/>
      </c>
      <c r="AE27" s="159"/>
    </row>
    <row r="28" spans="2:31" s="1" customFormat="1" ht="16.5" customHeight="1">
      <c r="B28" s="158"/>
      <c r="C28" s="209"/>
      <c r="D28" s="209"/>
      <c r="E28" s="209"/>
      <c r="F28" s="77"/>
      <c r="G28" s="79"/>
      <c r="H28" s="222"/>
      <c r="I28" s="414"/>
      <c r="J28" s="223"/>
      <c r="K28" s="224">
        <f t="shared" si="0"/>
        <v>0</v>
      </c>
      <c r="L28" s="447"/>
      <c r="M28" s="447"/>
      <c r="N28" s="225">
        <f t="shared" si="1"/>
      </c>
      <c r="O28" s="226">
        <f t="shared" si="2"/>
      </c>
      <c r="P28" s="227"/>
      <c r="Q28" s="445">
        <f t="shared" si="13"/>
      </c>
      <c r="R28" s="446">
        <f t="shared" si="14"/>
      </c>
      <c r="S28" s="439">
        <f t="shared" si="15"/>
      </c>
      <c r="T28" s="105">
        <f t="shared" si="3"/>
        <v>6</v>
      </c>
      <c r="U28" s="229" t="str">
        <f t="shared" si="4"/>
        <v>--</v>
      </c>
      <c r="V28" s="230" t="str">
        <f t="shared" si="5"/>
        <v>--</v>
      </c>
      <c r="W28" s="231" t="str">
        <f t="shared" si="6"/>
        <v>--</v>
      </c>
      <c r="X28" s="232" t="str">
        <f t="shared" si="7"/>
        <v>--</v>
      </c>
      <c r="Y28" s="233" t="str">
        <f t="shared" si="8"/>
        <v>--</v>
      </c>
      <c r="Z28" s="234" t="str">
        <f t="shared" si="9"/>
        <v>--</v>
      </c>
      <c r="AA28" s="235" t="str">
        <f t="shared" si="10"/>
        <v>--</v>
      </c>
      <c r="AB28" s="236" t="str">
        <f t="shared" si="11"/>
        <v>--</v>
      </c>
      <c r="AC28" s="445">
        <f t="shared" si="16"/>
      </c>
      <c r="AD28" s="237">
        <f t="shared" si="12"/>
      </c>
      <c r="AE28" s="159"/>
    </row>
    <row r="29" spans="2:31" s="1" customFormat="1" ht="16.5" customHeight="1">
      <c r="B29" s="158"/>
      <c r="C29" s="209"/>
      <c r="D29" s="209"/>
      <c r="E29" s="209"/>
      <c r="F29" s="77"/>
      <c r="G29" s="79"/>
      <c r="H29" s="222"/>
      <c r="I29" s="414"/>
      <c r="J29" s="223"/>
      <c r="K29" s="224"/>
      <c r="L29" s="447"/>
      <c r="M29" s="447"/>
      <c r="N29" s="225">
        <f t="shared" si="1"/>
      </c>
      <c r="O29" s="226">
        <f t="shared" si="2"/>
      </c>
      <c r="P29" s="227"/>
      <c r="Q29" s="445">
        <f t="shared" si="13"/>
      </c>
      <c r="R29" s="446">
        <f t="shared" si="14"/>
      </c>
      <c r="S29" s="439">
        <f t="shared" si="15"/>
      </c>
      <c r="T29" s="105">
        <f t="shared" si="3"/>
        <v>6</v>
      </c>
      <c r="U29" s="229" t="str">
        <f t="shared" si="4"/>
        <v>--</v>
      </c>
      <c r="V29" s="230" t="str">
        <f t="shared" si="5"/>
        <v>--</v>
      </c>
      <c r="W29" s="231" t="str">
        <f t="shared" si="6"/>
        <v>--</v>
      </c>
      <c r="X29" s="232" t="str">
        <f t="shared" si="7"/>
        <v>--</v>
      </c>
      <c r="Y29" s="233" t="str">
        <f t="shared" si="8"/>
        <v>--</v>
      </c>
      <c r="Z29" s="234" t="str">
        <f t="shared" si="9"/>
        <v>--</v>
      </c>
      <c r="AA29" s="235" t="str">
        <f t="shared" si="10"/>
        <v>--</v>
      </c>
      <c r="AB29" s="236" t="str">
        <f t="shared" si="11"/>
        <v>--</v>
      </c>
      <c r="AC29" s="445">
        <f t="shared" si="16"/>
      </c>
      <c r="AD29" s="237">
        <f t="shared" si="12"/>
      </c>
      <c r="AE29" s="159"/>
    </row>
    <row r="30" spans="2:31" s="1" customFormat="1" ht="16.5" customHeight="1">
      <c r="B30" s="158"/>
      <c r="C30" s="416"/>
      <c r="D30" s="416"/>
      <c r="E30" s="416"/>
      <c r="F30" s="77"/>
      <c r="G30" s="79"/>
      <c r="H30" s="222"/>
      <c r="I30" s="414"/>
      <c r="J30" s="223"/>
      <c r="K30" s="417"/>
      <c r="L30" s="447"/>
      <c r="M30" s="447"/>
      <c r="N30" s="225">
        <f t="shared" si="1"/>
      </c>
      <c r="O30" s="226">
        <f t="shared" si="2"/>
      </c>
      <c r="P30" s="227"/>
      <c r="Q30" s="445">
        <f t="shared" si="13"/>
      </c>
      <c r="R30" s="446">
        <f t="shared" si="14"/>
      </c>
      <c r="S30" s="439">
        <f t="shared" si="15"/>
      </c>
      <c r="T30" s="105">
        <f t="shared" si="3"/>
        <v>6</v>
      </c>
      <c r="U30" s="229" t="str">
        <f t="shared" si="4"/>
        <v>--</v>
      </c>
      <c r="V30" s="230" t="str">
        <f t="shared" si="5"/>
        <v>--</v>
      </c>
      <c r="W30" s="231" t="str">
        <f t="shared" si="6"/>
        <v>--</v>
      </c>
      <c r="X30" s="232" t="str">
        <f t="shared" si="7"/>
        <v>--</v>
      </c>
      <c r="Y30" s="233" t="str">
        <f t="shared" si="8"/>
        <v>--</v>
      </c>
      <c r="Z30" s="234" t="str">
        <f t="shared" si="9"/>
        <v>--</v>
      </c>
      <c r="AA30" s="235" t="str">
        <f t="shared" si="10"/>
        <v>--</v>
      </c>
      <c r="AB30" s="236" t="str">
        <f t="shared" si="11"/>
        <v>--</v>
      </c>
      <c r="AC30" s="445">
        <f t="shared" si="16"/>
      </c>
      <c r="AD30" s="237">
        <f t="shared" si="12"/>
      </c>
      <c r="AE30" s="159"/>
    </row>
    <row r="31" spans="2:31" s="1" customFormat="1" ht="16.5" customHeight="1">
      <c r="B31" s="158"/>
      <c r="C31" s="416"/>
      <c r="D31" s="416"/>
      <c r="E31" s="416"/>
      <c r="F31" s="77"/>
      <c r="G31" s="79"/>
      <c r="H31" s="222"/>
      <c r="I31" s="414"/>
      <c r="J31" s="223"/>
      <c r="K31" s="417"/>
      <c r="L31" s="447"/>
      <c r="M31" s="447"/>
      <c r="N31" s="225">
        <f t="shared" si="1"/>
      </c>
      <c r="O31" s="226">
        <f t="shared" si="2"/>
      </c>
      <c r="P31" s="227"/>
      <c r="Q31" s="445">
        <f t="shared" si="13"/>
      </c>
      <c r="R31" s="446">
        <f t="shared" si="14"/>
      </c>
      <c r="S31" s="439">
        <f t="shared" si="15"/>
      </c>
      <c r="T31" s="105">
        <f t="shared" si="3"/>
        <v>6</v>
      </c>
      <c r="U31" s="229" t="str">
        <f t="shared" si="4"/>
        <v>--</v>
      </c>
      <c r="V31" s="230" t="str">
        <f t="shared" si="5"/>
        <v>--</v>
      </c>
      <c r="W31" s="231" t="str">
        <f t="shared" si="6"/>
        <v>--</v>
      </c>
      <c r="X31" s="232" t="str">
        <f t="shared" si="7"/>
        <v>--</v>
      </c>
      <c r="Y31" s="233" t="str">
        <f t="shared" si="8"/>
        <v>--</v>
      </c>
      <c r="Z31" s="234" t="str">
        <f t="shared" si="9"/>
        <v>--</v>
      </c>
      <c r="AA31" s="235" t="str">
        <f t="shared" si="10"/>
        <v>--</v>
      </c>
      <c r="AB31" s="236" t="str">
        <f t="shared" si="11"/>
        <v>--</v>
      </c>
      <c r="AC31" s="445">
        <f t="shared" si="16"/>
      </c>
      <c r="AD31" s="237">
        <f t="shared" si="12"/>
      </c>
      <c r="AE31" s="159"/>
    </row>
    <row r="32" spans="2:31" s="1" customFormat="1" ht="16.5" customHeight="1">
      <c r="B32" s="158"/>
      <c r="C32" s="416"/>
      <c r="D32" s="416"/>
      <c r="E32" s="416"/>
      <c r="F32" s="77"/>
      <c r="G32" s="79"/>
      <c r="H32" s="222"/>
      <c r="I32" s="414"/>
      <c r="J32" s="223"/>
      <c r="K32" s="417"/>
      <c r="L32" s="447"/>
      <c r="M32" s="447"/>
      <c r="N32" s="225">
        <f t="shared" si="1"/>
      </c>
      <c r="O32" s="226">
        <f t="shared" si="2"/>
      </c>
      <c r="P32" s="227"/>
      <c r="Q32" s="445">
        <f t="shared" si="13"/>
      </c>
      <c r="R32" s="446">
        <f t="shared" si="14"/>
      </c>
      <c r="S32" s="439">
        <f t="shared" si="15"/>
      </c>
      <c r="T32" s="105">
        <f t="shared" si="3"/>
        <v>6</v>
      </c>
      <c r="U32" s="229" t="str">
        <f t="shared" si="4"/>
        <v>--</v>
      </c>
      <c r="V32" s="230" t="str">
        <f t="shared" si="5"/>
        <v>--</v>
      </c>
      <c r="W32" s="231" t="str">
        <f t="shared" si="6"/>
        <v>--</v>
      </c>
      <c r="X32" s="232" t="str">
        <f t="shared" si="7"/>
        <v>--</v>
      </c>
      <c r="Y32" s="233" t="str">
        <f t="shared" si="8"/>
        <v>--</v>
      </c>
      <c r="Z32" s="234" t="str">
        <f t="shared" si="9"/>
        <v>--</v>
      </c>
      <c r="AA32" s="235" t="str">
        <f t="shared" si="10"/>
        <v>--</v>
      </c>
      <c r="AB32" s="236" t="str">
        <f t="shared" si="11"/>
        <v>--</v>
      </c>
      <c r="AC32" s="445">
        <f t="shared" si="16"/>
      </c>
      <c r="AD32" s="237">
        <f t="shared" si="12"/>
      </c>
      <c r="AE32" s="159"/>
    </row>
    <row r="33" spans="2:31" s="1" customFormat="1" ht="16.5" customHeight="1">
      <c r="B33" s="158"/>
      <c r="C33" s="416"/>
      <c r="D33" s="416"/>
      <c r="E33" s="416"/>
      <c r="F33" s="77"/>
      <c r="G33" s="79"/>
      <c r="H33" s="222"/>
      <c r="I33" s="414"/>
      <c r="J33" s="223"/>
      <c r="K33" s="417"/>
      <c r="L33" s="447"/>
      <c r="M33" s="447"/>
      <c r="N33" s="225">
        <f t="shared" si="1"/>
      </c>
      <c r="O33" s="226">
        <f t="shared" si="2"/>
      </c>
      <c r="P33" s="227"/>
      <c r="Q33" s="445">
        <f t="shared" si="13"/>
      </c>
      <c r="R33" s="446">
        <f t="shared" si="14"/>
      </c>
      <c r="S33" s="439">
        <f t="shared" si="15"/>
      </c>
      <c r="T33" s="105">
        <f t="shared" si="3"/>
        <v>6</v>
      </c>
      <c r="U33" s="229" t="str">
        <f t="shared" si="4"/>
        <v>--</v>
      </c>
      <c r="V33" s="230" t="str">
        <f t="shared" si="5"/>
        <v>--</v>
      </c>
      <c r="W33" s="231" t="str">
        <f t="shared" si="6"/>
        <v>--</v>
      </c>
      <c r="X33" s="232" t="str">
        <f t="shared" si="7"/>
        <v>--</v>
      </c>
      <c r="Y33" s="233" t="str">
        <f t="shared" si="8"/>
        <v>--</v>
      </c>
      <c r="Z33" s="234" t="str">
        <f t="shared" si="9"/>
        <v>--</v>
      </c>
      <c r="AA33" s="235" t="str">
        <f t="shared" si="10"/>
        <v>--</v>
      </c>
      <c r="AB33" s="236" t="str">
        <f t="shared" si="11"/>
        <v>--</v>
      </c>
      <c r="AC33" s="445">
        <f t="shared" si="16"/>
      </c>
      <c r="AD33" s="237">
        <f t="shared" si="12"/>
      </c>
      <c r="AE33" s="159"/>
    </row>
    <row r="34" spans="2:31" s="1" customFormat="1" ht="16.5" customHeight="1">
      <c r="B34" s="158"/>
      <c r="C34" s="416"/>
      <c r="D34" s="416"/>
      <c r="E34" s="416"/>
      <c r="F34" s="77"/>
      <c r="G34" s="79"/>
      <c r="H34" s="222"/>
      <c r="I34" s="414"/>
      <c r="J34" s="223"/>
      <c r="K34" s="417"/>
      <c r="L34" s="447"/>
      <c r="M34" s="447"/>
      <c r="N34" s="225">
        <f t="shared" si="1"/>
      </c>
      <c r="O34" s="226">
        <f t="shared" si="2"/>
      </c>
      <c r="P34" s="227"/>
      <c r="Q34" s="445">
        <f t="shared" si="13"/>
      </c>
      <c r="R34" s="446">
        <f t="shared" si="14"/>
      </c>
      <c r="S34" s="439">
        <f t="shared" si="15"/>
      </c>
      <c r="T34" s="105">
        <f t="shared" si="3"/>
        <v>6</v>
      </c>
      <c r="U34" s="229" t="str">
        <f t="shared" si="4"/>
        <v>--</v>
      </c>
      <c r="V34" s="230" t="str">
        <f t="shared" si="5"/>
        <v>--</v>
      </c>
      <c r="W34" s="231" t="str">
        <f t="shared" si="6"/>
        <v>--</v>
      </c>
      <c r="X34" s="232" t="str">
        <f t="shared" si="7"/>
        <v>--</v>
      </c>
      <c r="Y34" s="233" t="str">
        <f t="shared" si="8"/>
        <v>--</v>
      </c>
      <c r="Z34" s="234" t="str">
        <f t="shared" si="9"/>
        <v>--</v>
      </c>
      <c r="AA34" s="235" t="str">
        <f t="shared" si="10"/>
        <v>--</v>
      </c>
      <c r="AB34" s="236" t="str">
        <f t="shared" si="11"/>
        <v>--</v>
      </c>
      <c r="AC34" s="445">
        <f t="shared" si="16"/>
      </c>
      <c r="AD34" s="237">
        <f t="shared" si="12"/>
      </c>
      <c r="AE34" s="159"/>
    </row>
    <row r="35" spans="2:31" s="1" customFormat="1" ht="16.5" customHeight="1">
      <c r="B35" s="158"/>
      <c r="C35" s="416"/>
      <c r="D35" s="416"/>
      <c r="E35" s="416"/>
      <c r="F35" s="77"/>
      <c r="G35" s="79"/>
      <c r="H35" s="222"/>
      <c r="I35" s="414"/>
      <c r="J35" s="223"/>
      <c r="K35" s="417"/>
      <c r="L35" s="447"/>
      <c r="M35" s="447"/>
      <c r="N35" s="225">
        <f t="shared" si="1"/>
      </c>
      <c r="O35" s="226">
        <f t="shared" si="2"/>
      </c>
      <c r="P35" s="227"/>
      <c r="Q35" s="445">
        <f t="shared" si="13"/>
      </c>
      <c r="R35" s="446">
        <f t="shared" si="14"/>
      </c>
      <c r="S35" s="439">
        <f t="shared" si="15"/>
      </c>
      <c r="T35" s="105">
        <f t="shared" si="3"/>
        <v>6</v>
      </c>
      <c r="U35" s="229" t="str">
        <f t="shared" si="4"/>
        <v>--</v>
      </c>
      <c r="V35" s="230" t="str">
        <f t="shared" si="5"/>
        <v>--</v>
      </c>
      <c r="W35" s="231" t="str">
        <f t="shared" si="6"/>
        <v>--</v>
      </c>
      <c r="X35" s="232" t="str">
        <f t="shared" si="7"/>
        <v>--</v>
      </c>
      <c r="Y35" s="233" t="str">
        <f t="shared" si="8"/>
        <v>--</v>
      </c>
      <c r="Z35" s="234" t="str">
        <f t="shared" si="9"/>
        <v>--</v>
      </c>
      <c r="AA35" s="235" t="str">
        <f t="shared" si="10"/>
        <v>--</v>
      </c>
      <c r="AB35" s="236" t="str">
        <f t="shared" si="11"/>
        <v>--</v>
      </c>
      <c r="AC35" s="445">
        <f t="shared" si="16"/>
      </c>
      <c r="AD35" s="237">
        <f t="shared" si="12"/>
      </c>
      <c r="AE35" s="159"/>
    </row>
    <row r="36" spans="2:31" s="1" customFormat="1" ht="16.5" customHeight="1">
      <c r="B36" s="158"/>
      <c r="C36" s="416"/>
      <c r="D36" s="416"/>
      <c r="E36" s="416"/>
      <c r="F36" s="77"/>
      <c r="G36" s="79"/>
      <c r="H36" s="222"/>
      <c r="I36" s="414"/>
      <c r="J36" s="223"/>
      <c r="K36" s="417"/>
      <c r="L36" s="447"/>
      <c r="M36" s="447"/>
      <c r="N36" s="225">
        <f t="shared" si="1"/>
      </c>
      <c r="O36" s="226">
        <f t="shared" si="2"/>
      </c>
      <c r="P36" s="227"/>
      <c r="Q36" s="445">
        <f t="shared" si="13"/>
      </c>
      <c r="R36" s="446">
        <f t="shared" si="14"/>
      </c>
      <c r="S36" s="439">
        <f t="shared" si="15"/>
      </c>
      <c r="T36" s="105">
        <f t="shared" si="3"/>
        <v>6</v>
      </c>
      <c r="U36" s="229" t="str">
        <f t="shared" si="4"/>
        <v>--</v>
      </c>
      <c r="V36" s="230" t="str">
        <f t="shared" si="5"/>
        <v>--</v>
      </c>
      <c r="W36" s="231" t="str">
        <f t="shared" si="6"/>
        <v>--</v>
      </c>
      <c r="X36" s="232" t="str">
        <f t="shared" si="7"/>
        <v>--</v>
      </c>
      <c r="Y36" s="233" t="str">
        <f t="shared" si="8"/>
        <v>--</v>
      </c>
      <c r="Z36" s="234" t="str">
        <f t="shared" si="9"/>
        <v>--</v>
      </c>
      <c r="AA36" s="235" t="str">
        <f t="shared" si="10"/>
        <v>--</v>
      </c>
      <c r="AB36" s="236" t="str">
        <f t="shared" si="11"/>
        <v>--</v>
      </c>
      <c r="AC36" s="445">
        <f t="shared" si="16"/>
      </c>
      <c r="AD36" s="237">
        <f t="shared" si="12"/>
      </c>
      <c r="AE36" s="159"/>
    </row>
    <row r="37" spans="2:31" s="1" customFormat="1" ht="16.5" customHeight="1">
      <c r="B37" s="158"/>
      <c r="C37" s="416"/>
      <c r="D37" s="416"/>
      <c r="E37" s="416"/>
      <c r="F37" s="77"/>
      <c r="G37" s="79"/>
      <c r="H37" s="222"/>
      <c r="I37" s="414"/>
      <c r="J37" s="223"/>
      <c r="K37" s="417"/>
      <c r="L37" s="447"/>
      <c r="M37" s="447"/>
      <c r="N37" s="225">
        <f t="shared" si="1"/>
      </c>
      <c r="O37" s="226">
        <f t="shared" si="2"/>
      </c>
      <c r="P37" s="227"/>
      <c r="Q37" s="445">
        <f t="shared" si="13"/>
      </c>
      <c r="R37" s="446">
        <f t="shared" si="14"/>
      </c>
      <c r="S37" s="439">
        <f t="shared" si="15"/>
      </c>
      <c r="T37" s="105">
        <f t="shared" si="3"/>
        <v>6</v>
      </c>
      <c r="U37" s="229" t="str">
        <f t="shared" si="4"/>
        <v>--</v>
      </c>
      <c r="V37" s="230" t="str">
        <f t="shared" si="5"/>
        <v>--</v>
      </c>
      <c r="W37" s="231" t="str">
        <f t="shared" si="6"/>
        <v>--</v>
      </c>
      <c r="X37" s="232" t="str">
        <f t="shared" si="7"/>
        <v>--</v>
      </c>
      <c r="Y37" s="233" t="str">
        <f t="shared" si="8"/>
        <v>--</v>
      </c>
      <c r="Z37" s="234" t="str">
        <f t="shared" si="9"/>
        <v>--</v>
      </c>
      <c r="AA37" s="235" t="str">
        <f t="shared" si="10"/>
        <v>--</v>
      </c>
      <c r="AB37" s="236" t="str">
        <f t="shared" si="11"/>
        <v>--</v>
      </c>
      <c r="AC37" s="445">
        <f t="shared" si="16"/>
      </c>
      <c r="AD37" s="237">
        <f t="shared" si="12"/>
      </c>
      <c r="AE37" s="159"/>
    </row>
    <row r="38" spans="2:31" s="1" customFormat="1" ht="16.5" customHeight="1">
      <c r="B38" s="158"/>
      <c r="C38" s="416"/>
      <c r="D38" s="416"/>
      <c r="E38" s="416"/>
      <c r="F38" s="77"/>
      <c r="G38" s="79"/>
      <c r="H38" s="222"/>
      <c r="I38" s="414"/>
      <c r="J38" s="223"/>
      <c r="K38" s="417"/>
      <c r="L38" s="447"/>
      <c r="M38" s="447"/>
      <c r="N38" s="225">
        <f t="shared" si="1"/>
      </c>
      <c r="O38" s="226">
        <f t="shared" si="2"/>
      </c>
      <c r="P38" s="227"/>
      <c r="Q38" s="445">
        <f t="shared" si="13"/>
      </c>
      <c r="R38" s="446">
        <f t="shared" si="14"/>
      </c>
      <c r="S38" s="439">
        <f t="shared" si="15"/>
      </c>
      <c r="T38" s="105">
        <f t="shared" si="3"/>
        <v>6</v>
      </c>
      <c r="U38" s="229" t="str">
        <f t="shared" si="4"/>
        <v>--</v>
      </c>
      <c r="V38" s="230" t="str">
        <f t="shared" si="5"/>
        <v>--</v>
      </c>
      <c r="W38" s="231" t="str">
        <f t="shared" si="6"/>
        <v>--</v>
      </c>
      <c r="X38" s="232" t="str">
        <f t="shared" si="7"/>
        <v>--</v>
      </c>
      <c r="Y38" s="233" t="str">
        <f t="shared" si="8"/>
        <v>--</v>
      </c>
      <c r="Z38" s="234" t="str">
        <f t="shared" si="9"/>
        <v>--</v>
      </c>
      <c r="AA38" s="235" t="str">
        <f t="shared" si="10"/>
        <v>--</v>
      </c>
      <c r="AB38" s="236" t="str">
        <f t="shared" si="11"/>
        <v>--</v>
      </c>
      <c r="AC38" s="445">
        <f t="shared" si="16"/>
      </c>
      <c r="AD38" s="237">
        <f t="shared" si="12"/>
      </c>
      <c r="AE38" s="159"/>
    </row>
    <row r="39" spans="2:31" s="1" customFormat="1" ht="16.5" customHeight="1">
      <c r="B39" s="158"/>
      <c r="C39" s="416"/>
      <c r="D39" s="416"/>
      <c r="E39" s="416"/>
      <c r="F39" s="77"/>
      <c r="G39" s="79"/>
      <c r="H39" s="222"/>
      <c r="I39" s="414"/>
      <c r="J39" s="223"/>
      <c r="K39" s="417"/>
      <c r="L39" s="447"/>
      <c r="M39" s="447"/>
      <c r="N39" s="225">
        <f t="shared" si="1"/>
      </c>
      <c r="O39" s="226">
        <f t="shared" si="2"/>
      </c>
      <c r="P39" s="227"/>
      <c r="Q39" s="445">
        <f t="shared" si="13"/>
      </c>
      <c r="R39" s="446">
        <f t="shared" si="14"/>
      </c>
      <c r="S39" s="439">
        <f t="shared" si="15"/>
      </c>
      <c r="T39" s="105">
        <f t="shared" si="3"/>
        <v>6</v>
      </c>
      <c r="U39" s="229" t="str">
        <f t="shared" si="4"/>
        <v>--</v>
      </c>
      <c r="V39" s="230" t="str">
        <f t="shared" si="5"/>
        <v>--</v>
      </c>
      <c r="W39" s="231" t="str">
        <f t="shared" si="6"/>
        <v>--</v>
      </c>
      <c r="X39" s="232" t="str">
        <f t="shared" si="7"/>
        <v>--</v>
      </c>
      <c r="Y39" s="233" t="str">
        <f t="shared" si="8"/>
        <v>--</v>
      </c>
      <c r="Z39" s="234" t="str">
        <f t="shared" si="9"/>
        <v>--</v>
      </c>
      <c r="AA39" s="235" t="str">
        <f t="shared" si="10"/>
        <v>--</v>
      </c>
      <c r="AB39" s="236" t="str">
        <f t="shared" si="11"/>
        <v>--</v>
      </c>
      <c r="AC39" s="445">
        <f t="shared" si="16"/>
      </c>
      <c r="AD39" s="237">
        <f t="shared" si="12"/>
      </c>
      <c r="AE39" s="159"/>
    </row>
    <row r="40" spans="2:31" s="1" customFormat="1" ht="16.5" customHeight="1">
      <c r="B40" s="158"/>
      <c r="C40" s="416"/>
      <c r="D40" s="416"/>
      <c r="E40" s="416"/>
      <c r="F40" s="77"/>
      <c r="G40" s="79"/>
      <c r="H40" s="222"/>
      <c r="I40" s="414"/>
      <c r="J40" s="223"/>
      <c r="K40" s="417"/>
      <c r="L40" s="447"/>
      <c r="M40" s="447"/>
      <c r="N40" s="225">
        <f t="shared" si="1"/>
      </c>
      <c r="O40" s="226">
        <f t="shared" si="2"/>
      </c>
      <c r="P40" s="227"/>
      <c r="Q40" s="445">
        <f t="shared" si="13"/>
      </c>
      <c r="R40" s="446">
        <f t="shared" si="14"/>
      </c>
      <c r="S40" s="439">
        <f t="shared" si="15"/>
      </c>
      <c r="T40" s="105">
        <f t="shared" si="3"/>
        <v>6</v>
      </c>
      <c r="U40" s="229" t="str">
        <f t="shared" si="4"/>
        <v>--</v>
      </c>
      <c r="V40" s="230" t="str">
        <f t="shared" si="5"/>
        <v>--</v>
      </c>
      <c r="W40" s="231" t="str">
        <f t="shared" si="6"/>
        <v>--</v>
      </c>
      <c r="X40" s="232" t="str">
        <f t="shared" si="7"/>
        <v>--</v>
      </c>
      <c r="Y40" s="233" t="str">
        <f t="shared" si="8"/>
        <v>--</v>
      </c>
      <c r="Z40" s="234" t="str">
        <f t="shared" si="9"/>
        <v>--</v>
      </c>
      <c r="AA40" s="235" t="str">
        <f t="shared" si="10"/>
        <v>--</v>
      </c>
      <c r="AB40" s="236" t="str">
        <f t="shared" si="11"/>
        <v>--</v>
      </c>
      <c r="AC40" s="445">
        <f t="shared" si="16"/>
      </c>
      <c r="AD40" s="237">
        <f t="shared" si="12"/>
      </c>
      <c r="AE40" s="159"/>
    </row>
    <row r="41" spans="2:31" s="1" customFormat="1" ht="16.5" customHeight="1">
      <c r="B41" s="158"/>
      <c r="C41" s="416"/>
      <c r="D41" s="416"/>
      <c r="E41" s="416"/>
      <c r="F41" s="77"/>
      <c r="G41" s="79"/>
      <c r="H41" s="222"/>
      <c r="I41" s="414"/>
      <c r="J41" s="223"/>
      <c r="K41" s="417"/>
      <c r="L41" s="447"/>
      <c r="M41" s="447"/>
      <c r="N41" s="225">
        <f t="shared" si="1"/>
      </c>
      <c r="O41" s="226">
        <f t="shared" si="2"/>
      </c>
      <c r="P41" s="227"/>
      <c r="Q41" s="445">
        <f t="shared" si="13"/>
      </c>
      <c r="R41" s="446">
        <f t="shared" si="14"/>
      </c>
      <c r="S41" s="439">
        <f t="shared" si="15"/>
      </c>
      <c r="T41" s="105">
        <f t="shared" si="3"/>
        <v>6</v>
      </c>
      <c r="U41" s="229" t="str">
        <f t="shared" si="4"/>
        <v>--</v>
      </c>
      <c r="V41" s="230" t="str">
        <f t="shared" si="5"/>
        <v>--</v>
      </c>
      <c r="W41" s="231" t="str">
        <f t="shared" si="6"/>
        <v>--</v>
      </c>
      <c r="X41" s="232" t="str">
        <f t="shared" si="7"/>
        <v>--</v>
      </c>
      <c r="Y41" s="233" t="str">
        <f t="shared" si="8"/>
        <v>--</v>
      </c>
      <c r="Z41" s="234" t="str">
        <f t="shared" si="9"/>
        <v>--</v>
      </c>
      <c r="AA41" s="235" t="str">
        <f t="shared" si="10"/>
        <v>--</v>
      </c>
      <c r="AB41" s="236" t="str">
        <f t="shared" si="11"/>
        <v>--</v>
      </c>
      <c r="AC41" s="445">
        <f t="shared" si="16"/>
      </c>
      <c r="AD41" s="237">
        <f t="shared" si="12"/>
      </c>
      <c r="AE41" s="159"/>
    </row>
    <row r="42" spans="2:31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318"/>
      <c r="K42" s="240"/>
      <c r="L42" s="408"/>
      <c r="M42" s="408"/>
      <c r="N42" s="239"/>
      <c r="O42" s="239"/>
      <c r="P42" s="318"/>
      <c r="Q42" s="318"/>
      <c r="R42" s="318"/>
      <c r="S42" s="318"/>
      <c r="T42" s="319"/>
      <c r="U42" s="320"/>
      <c r="V42" s="321"/>
      <c r="W42" s="322"/>
      <c r="X42" s="323"/>
      <c r="Y42" s="324"/>
      <c r="Z42" s="325"/>
      <c r="AA42" s="326"/>
      <c r="AB42" s="327"/>
      <c r="AC42" s="318"/>
      <c r="AD42" s="241"/>
      <c r="AE42" s="159"/>
    </row>
    <row r="43" spans="2:31" s="1" customFormat="1" ht="16.5" customHeight="1" thickBot="1" thickTop="1">
      <c r="B43" s="158"/>
      <c r="C43" s="113" t="s">
        <v>67</v>
      </c>
      <c r="D43" s="471" t="s">
        <v>319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2">
        <f>SUM(U19:U42)</f>
        <v>96.18728400000002</v>
      </c>
      <c r="V43" s="243">
        <f>SUM(V19:V42)</f>
        <v>0</v>
      </c>
      <c r="W43" s="244">
        <f>SUM(W19:W42)</f>
        <v>41.067</v>
      </c>
      <c r="X43" s="245">
        <f>SUM(X21:X42)</f>
        <v>126.48636</v>
      </c>
      <c r="Y43" s="246">
        <f>SUM(Y19:Y42)</f>
        <v>0</v>
      </c>
      <c r="Z43" s="246">
        <f>SUM(Z21:Z42)</f>
        <v>0</v>
      </c>
      <c r="AA43" s="247">
        <f>SUM(AA19:AA42)</f>
        <v>0</v>
      </c>
      <c r="AB43" s="248">
        <f>SUM(AB21:AB42)</f>
        <v>0</v>
      </c>
      <c r="AC43" s="249"/>
      <c r="AD43" s="415">
        <f>ROUND(SUM(AD19:AD42),2)</f>
        <v>263.74</v>
      </c>
      <c r="AE43" s="159"/>
    </row>
    <row r="44" spans="2:31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1"/>
      <c r="AD44" s="253"/>
      <c r="AE44" s="254"/>
    </row>
    <row r="45" spans="2:31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2:31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/>
  <dimension ref="A1:AC22"/>
  <sheetViews>
    <sheetView zoomScale="85" zoomScaleNormal="85" zoomScalePageLayoutView="0" workbookViewId="0" topLeftCell="A1">
      <selection activeCell="K25" sqref="K25"/>
    </sheetView>
  </sheetViews>
  <sheetFormatPr defaultColWidth="11.421875" defaultRowHeight="12.75"/>
  <cols>
    <col min="1" max="1" width="21.7109375" style="424" customWidth="1"/>
    <col min="2" max="2" width="9.28125" style="424" customWidth="1"/>
    <col min="3" max="3" width="11.8515625" style="424" bestFit="1" customWidth="1"/>
    <col min="4" max="4" width="9.57421875" style="424" bestFit="1" customWidth="1"/>
    <col min="5" max="5" width="14.8515625" style="424" bestFit="1" customWidth="1"/>
    <col min="6" max="6" width="64.00390625" style="424" bestFit="1" customWidth="1"/>
    <col min="7" max="16384" width="11.421875" style="424" customWidth="1"/>
  </cols>
  <sheetData>
    <row r="1" spans="1:4" ht="12.75">
      <c r="A1" s="423" t="s">
        <v>85</v>
      </c>
      <c r="B1" s="423" t="s">
        <v>85</v>
      </c>
      <c r="C1" s="423" t="s">
        <v>86</v>
      </c>
      <c r="D1" s="423" t="s">
        <v>87</v>
      </c>
    </row>
    <row r="2" spans="1:4" ht="12.75">
      <c r="A2" s="425" t="s">
        <v>54</v>
      </c>
      <c r="B2" s="426" t="s">
        <v>88</v>
      </c>
      <c r="C2" s="425">
        <v>31</v>
      </c>
      <c r="D2" s="425">
        <v>2006</v>
      </c>
    </row>
    <row r="3" spans="1:4" ht="12.75">
      <c r="A3" s="425" t="s">
        <v>55</v>
      </c>
      <c r="B3" s="426" t="s">
        <v>89</v>
      </c>
      <c r="C3" s="425">
        <f>IF(MOD(E14,4)=0,29,28)</f>
        <v>28</v>
      </c>
      <c r="D3" s="425">
        <f>+D2+1</f>
        <v>2007</v>
      </c>
    </row>
    <row r="4" spans="1:4" ht="12.75">
      <c r="A4" s="425" t="s">
        <v>56</v>
      </c>
      <c r="B4" s="426" t="s">
        <v>90</v>
      </c>
      <c r="C4" s="425">
        <v>31</v>
      </c>
      <c r="D4" s="425">
        <v>2008</v>
      </c>
    </row>
    <row r="5" spans="1:4" ht="12.75">
      <c r="A5" s="425" t="s">
        <v>57</v>
      </c>
      <c r="B5" s="426" t="s">
        <v>91</v>
      </c>
      <c r="C5" s="425">
        <v>30</v>
      </c>
      <c r="D5" s="425">
        <v>2009</v>
      </c>
    </row>
    <row r="6" spans="1:4" ht="12.75">
      <c r="A6" s="425" t="s">
        <v>58</v>
      </c>
      <c r="B6" s="426" t="s">
        <v>92</v>
      </c>
      <c r="C6" s="425">
        <v>31</v>
      </c>
      <c r="D6" s="425">
        <v>2010</v>
      </c>
    </row>
    <row r="7" spans="1:4" ht="12.75">
      <c r="A7" s="425" t="s">
        <v>59</v>
      </c>
      <c r="B7" s="426" t="s">
        <v>93</v>
      </c>
      <c r="C7" s="425">
        <v>30</v>
      </c>
      <c r="D7" s="425">
        <v>2011</v>
      </c>
    </row>
    <row r="8" spans="1:4" ht="12.75">
      <c r="A8" s="425" t="s">
        <v>60</v>
      </c>
      <c r="B8" s="426" t="s">
        <v>94</v>
      </c>
      <c r="C8" s="425">
        <v>31</v>
      </c>
      <c r="D8" s="425">
        <v>2012</v>
      </c>
    </row>
    <row r="9" spans="1:4" ht="12.75">
      <c r="A9" s="425" t="s">
        <v>61</v>
      </c>
      <c r="B9" s="426" t="s">
        <v>95</v>
      </c>
      <c r="C9" s="425">
        <v>31</v>
      </c>
      <c r="D9" s="425">
        <v>2013</v>
      </c>
    </row>
    <row r="10" spans="1:4" ht="12.75">
      <c r="A10" s="425" t="s">
        <v>62</v>
      </c>
      <c r="B10" s="426" t="s">
        <v>96</v>
      </c>
      <c r="C10" s="425">
        <v>30</v>
      </c>
      <c r="D10" s="425">
        <v>2014</v>
      </c>
    </row>
    <row r="11" spans="1:4" ht="12.75">
      <c r="A11" s="425" t="s">
        <v>63</v>
      </c>
      <c r="B11" s="426" t="s">
        <v>97</v>
      </c>
      <c r="C11" s="425">
        <v>31</v>
      </c>
      <c r="D11" s="425">
        <v>2015</v>
      </c>
    </row>
    <row r="12" spans="1:4" ht="12.75">
      <c r="A12" s="425" t="s">
        <v>64</v>
      </c>
      <c r="B12" s="426" t="s">
        <v>98</v>
      </c>
      <c r="C12" s="425">
        <v>30</v>
      </c>
      <c r="D12" s="425"/>
    </row>
    <row r="13" spans="1:9" ht="12.75">
      <c r="A13" s="425" t="s">
        <v>65</v>
      </c>
      <c r="B13" s="426" t="s">
        <v>99</v>
      </c>
      <c r="C13" s="425">
        <v>31</v>
      </c>
      <c r="D13" s="425"/>
      <c r="I13" s="427" t="s">
        <v>100</v>
      </c>
    </row>
    <row r="14" spans="1:9" ht="12.75">
      <c r="A14" s="428">
        <v>10</v>
      </c>
      <c r="B14" s="429">
        <v>8</v>
      </c>
      <c r="C14" s="428" t="str">
        <f ca="1">CELL("CONTENIDO",OFFSET(A1,B14,0))</f>
        <v>agosto</v>
      </c>
      <c r="D14" s="428">
        <f ca="1">CELL("CONTENIDO",OFFSET(C1,B14,0))</f>
        <v>31</v>
      </c>
      <c r="E14" s="428">
        <f ca="1">CELL("CONTENIDO",OFFSET(D1,A14,0))</f>
        <v>2015</v>
      </c>
      <c r="F14" s="428" t="str">
        <f>"Desde el 01 al "&amp;D14&amp;" de "&amp;C14&amp;" de "&amp;E14</f>
        <v>Desde el 01 al 31 de agosto de 2015</v>
      </c>
      <c r="G14" s="428" t="str">
        <f ca="1">CELL("CONTENIDO",OFFSET(B1,B14,0))</f>
        <v>08</v>
      </c>
      <c r="H14" s="428" t="str">
        <f>RIGHT(E14,2)</f>
        <v>15</v>
      </c>
      <c r="I14" s="430" t="s">
        <v>101</v>
      </c>
    </row>
    <row r="15" spans="1:8" ht="12.75">
      <c r="A15" s="428"/>
      <c r="B15" s="431" t="str">
        <f>"\\rugor\files\Transporte\Transporte\AA PROCESO AUT ARCHIVOS J\TRANSBA\"&amp;E14</f>
        <v>\\rugor\files\Transporte\Transporte\AA PROCESO AUT ARCHIVOS J\TRANSBA\2015</v>
      </c>
      <c r="C15" s="428"/>
      <c r="D15" s="428"/>
      <c r="E15" s="428"/>
      <c r="F15" s="428"/>
      <c r="G15" s="428" t="str">
        <f>"J"&amp;G14&amp;H14&amp;"TBA"</f>
        <v>J0815TBA</v>
      </c>
      <c r="H15" s="428"/>
    </row>
    <row r="16" spans="1:8" ht="12.75">
      <c r="A16" s="428"/>
      <c r="B16" s="431" t="str">
        <f>"\\rugor\files\Transporte\transporte\AA PROCESO AUT\INTERCAMBIO\"&amp;H14&amp;G14</f>
        <v>\\rugor\files\Transporte\transporte\AA PROCESO AUT\INTERCAMBIO\1508</v>
      </c>
      <c r="C16" s="428"/>
      <c r="D16" s="428"/>
      <c r="E16" s="428"/>
      <c r="F16" s="428"/>
      <c r="G16" s="428"/>
      <c r="H16" s="428"/>
    </row>
    <row r="17" spans="1:29" s="411" customFormat="1" ht="12.75">
      <c r="A17" s="423" t="s">
        <v>102</v>
      </c>
      <c r="B17" s="423" t="s">
        <v>103</v>
      </c>
      <c r="C17" s="423" t="s">
        <v>104</v>
      </c>
      <c r="D17" s="423" t="s">
        <v>105</v>
      </c>
      <c r="E17" s="423" t="s">
        <v>106</v>
      </c>
      <c r="F17" s="423" t="s">
        <v>107</v>
      </c>
      <c r="G17" s="423" t="s">
        <v>108</v>
      </c>
      <c r="H17" s="423" t="s">
        <v>109</v>
      </c>
      <c r="I17" s="423" t="s">
        <v>110</v>
      </c>
      <c r="J17" s="423" t="s">
        <v>111</v>
      </c>
      <c r="K17" s="423" t="s">
        <v>112</v>
      </c>
      <c r="L17" s="423" t="s">
        <v>113</v>
      </c>
      <c r="M17" s="423" t="s">
        <v>114</v>
      </c>
      <c r="N17" s="423" t="s">
        <v>115</v>
      </c>
      <c r="O17" s="423" t="s">
        <v>116</v>
      </c>
      <c r="P17" s="423" t="s">
        <v>117</v>
      </c>
      <c r="Q17" s="423" t="s">
        <v>118</v>
      </c>
      <c r="R17" s="423" t="s">
        <v>119</v>
      </c>
      <c r="S17" s="423" t="s">
        <v>120</v>
      </c>
      <c r="T17" s="423" t="s">
        <v>121</v>
      </c>
      <c r="U17" s="423" t="s">
        <v>122</v>
      </c>
      <c r="V17" s="423" t="s">
        <v>123</v>
      </c>
      <c r="W17" s="423" t="s">
        <v>124</v>
      </c>
      <c r="X17" s="423" t="s">
        <v>125</v>
      </c>
      <c r="Y17" s="423" t="s">
        <v>126</v>
      </c>
      <c r="Z17" s="423" t="s">
        <v>127</v>
      </c>
      <c r="AA17" s="423" t="s">
        <v>128</v>
      </c>
      <c r="AB17" s="423" t="s">
        <v>129</v>
      </c>
      <c r="AC17" s="423" t="s">
        <v>130</v>
      </c>
    </row>
    <row r="18" spans="1:29" ht="12.75">
      <c r="A18" s="432" t="s">
        <v>131</v>
      </c>
      <c r="B18" s="432">
        <v>21</v>
      </c>
      <c r="C18" s="432">
        <v>20</v>
      </c>
      <c r="D18" s="432">
        <v>12</v>
      </c>
      <c r="E18" s="432" t="str">
        <f>"LI-"&amp;$G$14</f>
        <v>LI-08</v>
      </c>
      <c r="F18" s="432" t="s">
        <v>137</v>
      </c>
      <c r="G18" s="432">
        <v>3</v>
      </c>
      <c r="H18" s="433">
        <v>5</v>
      </c>
      <c r="I18" s="433">
        <v>4</v>
      </c>
      <c r="J18" s="432">
        <v>6</v>
      </c>
      <c r="K18" s="432">
        <v>7</v>
      </c>
      <c r="L18" s="432">
        <v>8</v>
      </c>
      <c r="M18" s="432">
        <v>9</v>
      </c>
      <c r="N18" s="432">
        <v>11</v>
      </c>
      <c r="O18" s="432">
        <v>12</v>
      </c>
      <c r="P18" s="432">
        <v>15</v>
      </c>
      <c r="Q18" s="432">
        <v>0</v>
      </c>
      <c r="R18" s="432">
        <v>28</v>
      </c>
      <c r="S18" s="432">
        <v>16</v>
      </c>
      <c r="T18" s="432">
        <v>0</v>
      </c>
      <c r="U18" s="432">
        <v>0</v>
      </c>
      <c r="V18" s="432">
        <v>0</v>
      </c>
      <c r="W18" s="432">
        <v>18</v>
      </c>
      <c r="X18" s="432">
        <v>9</v>
      </c>
      <c r="Y18" s="432">
        <v>42</v>
      </c>
      <c r="Z18" s="432">
        <v>29</v>
      </c>
      <c r="AA18" s="432">
        <v>19</v>
      </c>
      <c r="AB18" s="432">
        <v>29</v>
      </c>
      <c r="AC18" s="432">
        <v>15</v>
      </c>
    </row>
    <row r="19" spans="1:29" ht="12.75">
      <c r="A19" s="434" t="s">
        <v>132</v>
      </c>
      <c r="B19" s="434">
        <v>22</v>
      </c>
      <c r="C19" s="434">
        <v>20</v>
      </c>
      <c r="D19" s="434">
        <v>13</v>
      </c>
      <c r="E19" s="434" t="str">
        <f>"T-"&amp;$G$14</f>
        <v>T-08</v>
      </c>
      <c r="F19" s="434" t="s">
        <v>138</v>
      </c>
      <c r="G19" s="432">
        <v>3</v>
      </c>
      <c r="H19" s="433">
        <v>5</v>
      </c>
      <c r="I19" s="433">
        <v>4</v>
      </c>
      <c r="J19" s="434">
        <v>6</v>
      </c>
      <c r="K19" s="434">
        <v>7</v>
      </c>
      <c r="L19" s="434">
        <v>8</v>
      </c>
      <c r="M19" s="434">
        <v>9</v>
      </c>
      <c r="N19" s="434">
        <v>11</v>
      </c>
      <c r="O19" s="434">
        <v>12</v>
      </c>
      <c r="P19" s="434">
        <v>15</v>
      </c>
      <c r="Q19" s="434">
        <v>16</v>
      </c>
      <c r="R19" s="434">
        <v>18</v>
      </c>
      <c r="S19" s="434">
        <v>28</v>
      </c>
      <c r="T19" s="434">
        <v>17</v>
      </c>
      <c r="U19" s="434">
        <v>0</v>
      </c>
      <c r="V19" s="434">
        <v>0</v>
      </c>
      <c r="W19" s="434">
        <v>22</v>
      </c>
      <c r="X19" s="432">
        <v>9</v>
      </c>
      <c r="Y19" s="434">
        <v>43</v>
      </c>
      <c r="Z19" s="434">
        <v>29</v>
      </c>
      <c r="AA19" s="434">
        <v>20</v>
      </c>
      <c r="AB19" s="434">
        <v>29</v>
      </c>
      <c r="AC19" s="434">
        <v>15</v>
      </c>
    </row>
    <row r="20" spans="1:29" ht="12.75">
      <c r="A20" s="432" t="s">
        <v>133</v>
      </c>
      <c r="B20" s="432">
        <v>22</v>
      </c>
      <c r="C20" s="432">
        <v>20</v>
      </c>
      <c r="D20" s="432">
        <v>10</v>
      </c>
      <c r="E20" s="432" t="str">
        <f>"SA-"&amp;$G$14</f>
        <v>SA-08</v>
      </c>
      <c r="F20" s="432" t="s">
        <v>139</v>
      </c>
      <c r="G20" s="432">
        <v>3</v>
      </c>
      <c r="H20" s="433">
        <v>5</v>
      </c>
      <c r="I20" s="433">
        <v>4</v>
      </c>
      <c r="J20" s="432">
        <v>6</v>
      </c>
      <c r="K20" s="432">
        <v>7</v>
      </c>
      <c r="L20" s="432">
        <v>8</v>
      </c>
      <c r="M20" s="432">
        <v>10</v>
      </c>
      <c r="N20" s="432">
        <v>11</v>
      </c>
      <c r="O20" s="432">
        <v>14</v>
      </c>
      <c r="P20" s="432">
        <v>15</v>
      </c>
      <c r="Q20" s="432">
        <v>21</v>
      </c>
      <c r="R20" s="432">
        <v>0</v>
      </c>
      <c r="S20" s="432">
        <v>0</v>
      </c>
      <c r="T20" s="432">
        <v>0</v>
      </c>
      <c r="U20" s="432">
        <v>0</v>
      </c>
      <c r="V20" s="432">
        <v>0</v>
      </c>
      <c r="W20" s="432">
        <v>24</v>
      </c>
      <c r="X20" s="432">
        <v>9</v>
      </c>
      <c r="Y20" s="432">
        <v>43</v>
      </c>
      <c r="Z20" s="432">
        <v>22</v>
      </c>
      <c r="AA20" s="432">
        <v>20</v>
      </c>
      <c r="AB20" s="432">
        <v>22</v>
      </c>
      <c r="AC20" s="432">
        <v>14</v>
      </c>
    </row>
    <row r="21" spans="1:29" ht="12.75">
      <c r="A21" s="432" t="s">
        <v>136</v>
      </c>
      <c r="B21" s="432">
        <v>21</v>
      </c>
      <c r="C21" s="432">
        <v>20</v>
      </c>
      <c r="D21" s="434">
        <v>12</v>
      </c>
      <c r="E21" s="432" t="str">
        <f>"RE-"&amp;$G$14</f>
        <v>RE-08</v>
      </c>
      <c r="F21" s="432" t="s">
        <v>140</v>
      </c>
      <c r="G21" s="432">
        <v>3</v>
      </c>
      <c r="H21" s="433">
        <v>5</v>
      </c>
      <c r="I21" s="433">
        <v>4</v>
      </c>
      <c r="J21" s="432">
        <v>6</v>
      </c>
      <c r="K21" s="432">
        <v>7</v>
      </c>
      <c r="L21" s="432">
        <v>8</v>
      </c>
      <c r="M21" s="432">
        <v>9</v>
      </c>
      <c r="N21" s="432">
        <v>10</v>
      </c>
      <c r="O21" s="432">
        <v>12</v>
      </c>
      <c r="P21" s="432">
        <v>13</v>
      </c>
      <c r="Q21" s="432">
        <v>16</v>
      </c>
      <c r="R21" s="432">
        <v>17</v>
      </c>
      <c r="S21" s="432">
        <v>29</v>
      </c>
      <c r="T21" s="432">
        <v>18</v>
      </c>
      <c r="U21" s="432">
        <v>0</v>
      </c>
      <c r="V21" s="432">
        <v>0</v>
      </c>
      <c r="W21" s="432">
        <v>26</v>
      </c>
      <c r="X21" s="432">
        <v>9</v>
      </c>
      <c r="Y21" s="432">
        <v>43</v>
      </c>
      <c r="Z21" s="432">
        <v>30</v>
      </c>
      <c r="AA21" s="432">
        <v>20</v>
      </c>
      <c r="AB21" s="432">
        <v>30</v>
      </c>
      <c r="AC21" s="432">
        <v>16</v>
      </c>
    </row>
    <row r="22" spans="1:29" s="411" customFormat="1" ht="12.75">
      <c r="A22" s="435" t="s">
        <v>134</v>
      </c>
      <c r="B22" s="435">
        <v>19</v>
      </c>
      <c r="C22" s="435">
        <v>24</v>
      </c>
      <c r="D22" s="436">
        <v>4</v>
      </c>
      <c r="E22" s="435" t="str">
        <f>"CAUSAS-VST-"&amp;$G$14</f>
        <v>CAUSAS-VST-08</v>
      </c>
      <c r="F22" s="435" t="s">
        <v>135</v>
      </c>
      <c r="G22" s="435">
        <v>3</v>
      </c>
      <c r="H22" s="435">
        <v>4</v>
      </c>
      <c r="I22" s="435">
        <v>5</v>
      </c>
      <c r="J22" s="435">
        <v>6</v>
      </c>
      <c r="K22" s="435">
        <v>7</v>
      </c>
      <c r="L22" s="435">
        <v>0</v>
      </c>
      <c r="M22" s="435">
        <v>0</v>
      </c>
      <c r="N22" s="435">
        <v>0</v>
      </c>
      <c r="O22" s="435">
        <v>0</v>
      </c>
      <c r="P22" s="435">
        <v>0</v>
      </c>
      <c r="Q22" s="435">
        <v>0</v>
      </c>
      <c r="R22" s="435">
        <v>0</v>
      </c>
      <c r="S22" s="435">
        <v>0</v>
      </c>
      <c r="T22" s="435">
        <v>0</v>
      </c>
      <c r="U22" s="435">
        <v>0</v>
      </c>
      <c r="V22" s="435">
        <v>0</v>
      </c>
      <c r="W22" s="435">
        <v>999</v>
      </c>
      <c r="X22" s="435">
        <v>999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90"/>
  <sheetViews>
    <sheetView zoomScale="80" zoomScaleNormal="80" zoomScalePageLayoutView="0" workbookViewId="0" topLeftCell="A1">
      <selection activeCell="A39" sqref="A39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6.574218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+'TOT-0815'!B14</f>
        <v>Desde el 01 al 31 de agosto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358.939</v>
      </c>
      <c r="H14" s="37"/>
      <c r="I14" s="38"/>
      <c r="J14" s="34"/>
      <c r="K14" s="34"/>
      <c r="L14" s="39" t="s">
        <v>8</v>
      </c>
      <c r="M14" s="40">
        <f>150*'TOT-0815'!B13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342.99</v>
      </c>
      <c r="H15" s="42"/>
      <c r="I15" s="43"/>
      <c r="J15" s="7"/>
      <c r="K15" s="44"/>
      <c r="L15" s="39" t="s">
        <v>10</v>
      </c>
      <c r="M15" s="40">
        <f>50*'TOT-0815'!B13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342.99</v>
      </c>
      <c r="H16" s="42"/>
      <c r="I16" s="43"/>
      <c r="J16" s="7"/>
      <c r="K16" s="7"/>
      <c r="L16" s="39" t="s">
        <v>12</v>
      </c>
      <c r="M16" s="40">
        <f>10*'TOT-0815'!B13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14"/>
    </row>
    <row r="18" spans="2:30" s="45" customFormat="1" ht="34.5" customHeight="1" thickBot="1" thickTop="1">
      <c r="B18" s="46"/>
      <c r="C18" s="422" t="s">
        <v>13</v>
      </c>
      <c r="D18" s="422" t="s">
        <v>83</v>
      </c>
      <c r="E18" s="422" t="s">
        <v>84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7"/>
      <c r="L20" s="448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290932</v>
      </c>
      <c r="E21" s="79">
        <v>4935</v>
      </c>
      <c r="F21" s="77" t="s">
        <v>142</v>
      </c>
      <c r="G21" s="77">
        <v>132</v>
      </c>
      <c r="H21" s="90">
        <v>67.30000305175781</v>
      </c>
      <c r="I21" s="91" t="s">
        <v>143</v>
      </c>
      <c r="J21" s="92">
        <f aca="true" t="shared" si="0" ref="J21:J40">IF(G21=220,$G$14,IF(G21=132,$G$15,$G$16))*IF(H21&gt;25,H21,25)/100</f>
        <v>230.8322804672241</v>
      </c>
      <c r="K21" s="447">
        <v>42219.37222222222</v>
      </c>
      <c r="L21" s="447">
        <v>42219.657638888886</v>
      </c>
      <c r="M21" s="94">
        <f aca="true" t="shared" si="1" ref="M21:M40">IF(F21="","",(L21-K21)*24)</f>
        <v>6.849999999976717</v>
      </c>
      <c r="N21" s="95">
        <f aca="true" t="shared" si="2" ref="N21:N40">IF(F21="","",ROUND((L21-K21)*24*60,0))</f>
        <v>411</v>
      </c>
      <c r="O21" s="96" t="s">
        <v>144</v>
      </c>
      <c r="P21" s="445" t="s">
        <v>146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158.1201121200485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2" t="s">
        <v>145</v>
      </c>
      <c r="AC21" s="106">
        <f aca="true" t="shared" si="14" ref="AC21:AC40">IF(F21="","",SUM(R21:AA21)*IF(AB21="SI",1,2))</f>
        <v>158.1201121200485</v>
      </c>
      <c r="AD21" s="107"/>
    </row>
    <row r="22" spans="2:30" s="1" customFormat="1" ht="16.5" customHeight="1">
      <c r="B22" s="13"/>
      <c r="C22" s="79">
        <v>2</v>
      </c>
      <c r="D22" s="79">
        <v>290935</v>
      </c>
      <c r="E22" s="79">
        <v>3690</v>
      </c>
      <c r="F22" s="77" t="s">
        <v>147</v>
      </c>
      <c r="G22" s="77">
        <v>132</v>
      </c>
      <c r="H22" s="90">
        <v>27.5</v>
      </c>
      <c r="I22" s="91" t="s">
        <v>143</v>
      </c>
      <c r="J22" s="92">
        <f t="shared" si="0"/>
        <v>94.32225</v>
      </c>
      <c r="K22" s="447">
        <v>42219.41875</v>
      </c>
      <c r="L22" s="447">
        <v>42219.72777777778</v>
      </c>
      <c r="M22" s="94">
        <f t="shared" si="1"/>
        <v>7.416666666744277</v>
      </c>
      <c r="N22" s="95">
        <f t="shared" si="2"/>
        <v>445</v>
      </c>
      <c r="O22" s="96" t="s">
        <v>144</v>
      </c>
      <c r="P22" s="445" t="s">
        <v>146</v>
      </c>
      <c r="Q22" s="97">
        <f t="shared" si="3"/>
        <v>10</v>
      </c>
      <c r="R22" s="98">
        <f t="shared" si="4"/>
        <v>69.9871095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2" t="s">
        <v>145</v>
      </c>
      <c r="AC22" s="106">
        <f t="shared" si="14"/>
        <v>69.9871095</v>
      </c>
      <c r="AD22" s="107"/>
    </row>
    <row r="23" spans="2:30" s="1" customFormat="1" ht="16.5" customHeight="1">
      <c r="B23" s="13"/>
      <c r="C23" s="79">
        <v>3</v>
      </c>
      <c r="D23" s="79">
        <v>290938</v>
      </c>
      <c r="E23" s="79">
        <v>4935</v>
      </c>
      <c r="F23" s="77" t="s">
        <v>142</v>
      </c>
      <c r="G23" s="77">
        <v>132</v>
      </c>
      <c r="H23" s="90">
        <v>67.30000305175781</v>
      </c>
      <c r="I23" s="91" t="s">
        <v>143</v>
      </c>
      <c r="J23" s="92">
        <f t="shared" si="0"/>
        <v>230.8322804672241</v>
      </c>
      <c r="K23" s="447">
        <v>42220.365277777775</v>
      </c>
      <c r="L23" s="447">
        <v>42220.635416666664</v>
      </c>
      <c r="M23" s="94">
        <f t="shared" si="1"/>
        <v>6.483333333337214</v>
      </c>
      <c r="N23" s="95">
        <f t="shared" si="2"/>
        <v>389</v>
      </c>
      <c r="O23" s="96" t="s">
        <v>144</v>
      </c>
      <c r="P23" s="445" t="s">
        <v>146</v>
      </c>
      <c r="Q23" s="97">
        <f t="shared" si="3"/>
        <v>10</v>
      </c>
      <c r="R23" s="98">
        <f t="shared" si="4"/>
        <v>149.57931774276125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2" t="s">
        <v>145</v>
      </c>
      <c r="AC23" s="106">
        <f t="shared" si="14"/>
        <v>149.57931774276125</v>
      </c>
      <c r="AD23" s="107"/>
    </row>
    <row r="24" spans="2:30" s="1" customFormat="1" ht="16.5" customHeight="1">
      <c r="B24" s="13"/>
      <c r="C24" s="79">
        <v>4</v>
      </c>
      <c r="D24" s="79">
        <v>290939</v>
      </c>
      <c r="E24" s="79">
        <v>3690</v>
      </c>
      <c r="F24" s="77" t="s">
        <v>147</v>
      </c>
      <c r="G24" s="77">
        <v>132</v>
      </c>
      <c r="H24" s="90">
        <v>27.5</v>
      </c>
      <c r="I24" s="91" t="s">
        <v>143</v>
      </c>
      <c r="J24" s="92">
        <f t="shared" si="0"/>
        <v>94.32225</v>
      </c>
      <c r="K24" s="447">
        <v>42220.37569444445</v>
      </c>
      <c r="L24" s="447">
        <v>42220.720138888886</v>
      </c>
      <c r="M24" s="94">
        <f t="shared" si="1"/>
        <v>8.26666666654637</v>
      </c>
      <c r="N24" s="95">
        <f t="shared" si="2"/>
        <v>496</v>
      </c>
      <c r="O24" s="96" t="s">
        <v>144</v>
      </c>
      <c r="P24" s="445" t="s">
        <v>146</v>
      </c>
      <c r="Q24" s="97">
        <f t="shared" si="3"/>
        <v>10</v>
      </c>
      <c r="R24" s="98">
        <f t="shared" si="4"/>
        <v>78.00450074999999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2" t="s">
        <v>145</v>
      </c>
      <c r="AC24" s="106">
        <f t="shared" si="14"/>
        <v>78.00450074999999</v>
      </c>
      <c r="AD24" s="107"/>
    </row>
    <row r="25" spans="2:30" s="1" customFormat="1" ht="16.5" customHeight="1">
      <c r="B25" s="13"/>
      <c r="C25" s="79">
        <v>5</v>
      </c>
      <c r="D25" s="79">
        <v>291702</v>
      </c>
      <c r="E25" s="79">
        <v>1538</v>
      </c>
      <c r="F25" s="77" t="s">
        <v>148</v>
      </c>
      <c r="G25" s="77">
        <v>132</v>
      </c>
      <c r="H25" s="90">
        <v>99</v>
      </c>
      <c r="I25" s="91" t="s">
        <v>143</v>
      </c>
      <c r="J25" s="92">
        <f t="shared" si="0"/>
        <v>339.56010000000003</v>
      </c>
      <c r="K25" s="447">
        <v>42220.42638888889</v>
      </c>
      <c r="L25" s="447">
        <v>42220.4375</v>
      </c>
      <c r="M25" s="94">
        <f t="shared" si="1"/>
        <v>0.26666666666278616</v>
      </c>
      <c r="N25" s="95">
        <f t="shared" si="2"/>
        <v>16</v>
      </c>
      <c r="O25" s="96" t="s">
        <v>149</v>
      </c>
      <c r="P25" s="445" t="s">
        <v>146</v>
      </c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3395.6010000000006</v>
      </c>
      <c r="U25" s="100">
        <f t="shared" si="7"/>
        <v>916.8122700000002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2" t="s">
        <v>145</v>
      </c>
      <c r="AC25" s="106">
        <f t="shared" si="14"/>
        <v>4312.413270000001</v>
      </c>
      <c r="AD25" s="107"/>
    </row>
    <row r="26" spans="2:30" s="1" customFormat="1" ht="16.5" customHeight="1">
      <c r="B26" s="13"/>
      <c r="C26" s="79">
        <v>6</v>
      </c>
      <c r="D26" s="79">
        <v>290949</v>
      </c>
      <c r="E26" s="79">
        <v>1441</v>
      </c>
      <c r="F26" s="77" t="s">
        <v>150</v>
      </c>
      <c r="G26" s="77">
        <v>66</v>
      </c>
      <c r="H26" s="90">
        <v>43.79999923706055</v>
      </c>
      <c r="I26" s="91" t="s">
        <v>151</v>
      </c>
      <c r="J26" s="92">
        <f t="shared" si="0"/>
        <v>150.22961738319398</v>
      </c>
      <c r="K26" s="447">
        <v>42221.37777777778</v>
      </c>
      <c r="L26" s="447">
        <v>42221.59583333333</v>
      </c>
      <c r="M26" s="94">
        <f t="shared" si="1"/>
        <v>5.233333333279006</v>
      </c>
      <c r="N26" s="95">
        <f t="shared" si="2"/>
        <v>314</v>
      </c>
      <c r="O26" s="93" t="s">
        <v>144</v>
      </c>
      <c r="P26" s="445" t="s">
        <v>146</v>
      </c>
      <c r="Q26" s="97">
        <f t="shared" si="3"/>
        <v>50</v>
      </c>
      <c r="R26" s="98">
        <f t="shared" si="4"/>
        <v>392.8504494570523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2" t="s">
        <v>145</v>
      </c>
      <c r="AC26" s="106">
        <f t="shared" si="14"/>
        <v>392.8504494570523</v>
      </c>
      <c r="AD26" s="107"/>
    </row>
    <row r="27" spans="2:30" s="1" customFormat="1" ht="16.5" customHeight="1">
      <c r="B27" s="13"/>
      <c r="C27" s="79">
        <v>7</v>
      </c>
      <c r="D27" s="79">
        <v>290951</v>
      </c>
      <c r="E27" s="79">
        <v>3690</v>
      </c>
      <c r="F27" s="77" t="s">
        <v>147</v>
      </c>
      <c r="G27" s="77">
        <v>132</v>
      </c>
      <c r="H27" s="90">
        <v>27.5</v>
      </c>
      <c r="I27" s="91" t="s">
        <v>143</v>
      </c>
      <c r="J27" s="92">
        <f t="shared" si="0"/>
        <v>94.32225</v>
      </c>
      <c r="K27" s="447">
        <v>42221.38611111111</v>
      </c>
      <c r="L27" s="447">
        <v>42221.725694444445</v>
      </c>
      <c r="M27" s="94">
        <f t="shared" si="1"/>
        <v>8.150000000023283</v>
      </c>
      <c r="N27" s="95">
        <f t="shared" si="2"/>
        <v>489</v>
      </c>
      <c r="O27" s="93" t="s">
        <v>144</v>
      </c>
      <c r="P27" s="445" t="s">
        <v>146</v>
      </c>
      <c r="Q27" s="97">
        <f t="shared" si="3"/>
        <v>10</v>
      </c>
      <c r="R27" s="98">
        <f t="shared" si="4"/>
        <v>76.87263375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2" t="s">
        <v>145</v>
      </c>
      <c r="AC27" s="106">
        <f t="shared" si="14"/>
        <v>76.87263375</v>
      </c>
      <c r="AD27" s="107"/>
    </row>
    <row r="28" spans="2:30" s="1" customFormat="1" ht="16.5" customHeight="1">
      <c r="B28" s="13"/>
      <c r="C28" s="79">
        <v>8</v>
      </c>
      <c r="D28" s="79">
        <v>290952</v>
      </c>
      <c r="E28" s="79">
        <v>1536</v>
      </c>
      <c r="F28" s="77" t="s">
        <v>152</v>
      </c>
      <c r="G28" s="77">
        <v>66</v>
      </c>
      <c r="H28" s="90">
        <v>46.79999923706055</v>
      </c>
      <c r="I28" s="91" t="s">
        <v>143</v>
      </c>
      <c r="J28" s="92">
        <f t="shared" si="0"/>
        <v>160.51931738319396</v>
      </c>
      <c r="K28" s="447">
        <v>42221.402083333334</v>
      </c>
      <c r="L28" s="447">
        <v>42221.48888888889</v>
      </c>
      <c r="M28" s="94">
        <f t="shared" si="1"/>
        <v>2.083333333313931</v>
      </c>
      <c r="N28" s="95">
        <f t="shared" si="2"/>
        <v>125</v>
      </c>
      <c r="O28" s="93" t="s">
        <v>149</v>
      </c>
      <c r="P28" s="445" t="s">
        <v>146</v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1605.1931738319397</v>
      </c>
      <c r="U28" s="100">
        <f t="shared" si="7"/>
        <v>3338.8018015704347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2" t="s">
        <v>145</v>
      </c>
      <c r="AC28" s="106">
        <f t="shared" si="14"/>
        <v>4943.994975402375</v>
      </c>
      <c r="AD28" s="107"/>
    </row>
    <row r="29" spans="2:30" s="1" customFormat="1" ht="16.5" customHeight="1">
      <c r="B29" s="13"/>
      <c r="C29" s="79">
        <v>9</v>
      </c>
      <c r="D29" s="79">
        <v>290953</v>
      </c>
      <c r="E29" s="79">
        <v>4935</v>
      </c>
      <c r="F29" s="77" t="s">
        <v>142</v>
      </c>
      <c r="G29" s="77">
        <v>132</v>
      </c>
      <c r="H29" s="90">
        <v>67.30000305175781</v>
      </c>
      <c r="I29" s="91" t="s">
        <v>143</v>
      </c>
      <c r="J29" s="92">
        <f t="shared" si="0"/>
        <v>230.8322804672241</v>
      </c>
      <c r="K29" s="447">
        <v>42221.40347222222</v>
      </c>
      <c r="L29" s="447">
        <v>42221.62847222222</v>
      </c>
      <c r="M29" s="94">
        <f t="shared" si="1"/>
        <v>5.399999999965075</v>
      </c>
      <c r="N29" s="95">
        <f t="shared" si="2"/>
        <v>324</v>
      </c>
      <c r="O29" s="93" t="s">
        <v>144</v>
      </c>
      <c r="P29" s="445" t="s">
        <v>146</v>
      </c>
      <c r="Q29" s="97">
        <f t="shared" si="3"/>
        <v>10</v>
      </c>
      <c r="R29" s="98">
        <f t="shared" si="4"/>
        <v>124.64943145230102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2" t="s">
        <v>145</v>
      </c>
      <c r="AC29" s="106">
        <f t="shared" si="14"/>
        <v>124.64943145230102</v>
      </c>
      <c r="AD29" s="107"/>
    </row>
    <row r="30" spans="2:30" s="1" customFormat="1" ht="16.5" customHeight="1">
      <c r="B30" s="13"/>
      <c r="C30" s="79">
        <v>10</v>
      </c>
      <c r="D30" s="79">
        <v>290956</v>
      </c>
      <c r="E30" s="79">
        <v>1402</v>
      </c>
      <c r="F30" s="77" t="s">
        <v>153</v>
      </c>
      <c r="G30" s="77">
        <v>132</v>
      </c>
      <c r="H30" s="90">
        <v>105.4000015258789</v>
      </c>
      <c r="I30" s="91" t="s">
        <v>154</v>
      </c>
      <c r="J30" s="92">
        <f t="shared" si="0"/>
        <v>361.51146523361206</v>
      </c>
      <c r="K30" s="447">
        <v>42221.68819444445</v>
      </c>
      <c r="L30" s="447">
        <v>42221.74791666667</v>
      </c>
      <c r="M30" s="94">
        <f t="shared" si="1"/>
        <v>1.4333333332906477</v>
      </c>
      <c r="N30" s="95">
        <f t="shared" si="2"/>
        <v>86</v>
      </c>
      <c r="O30" s="93" t="s">
        <v>149</v>
      </c>
      <c r="P30" s="445" t="s">
        <v>146</v>
      </c>
      <c r="Q30" s="97">
        <f t="shared" si="3"/>
        <v>150</v>
      </c>
      <c r="R30" s="98" t="str">
        <f t="shared" si="4"/>
        <v>--</v>
      </c>
      <c r="S30" s="99" t="str">
        <f t="shared" si="5"/>
        <v>--</v>
      </c>
      <c r="T30" s="100">
        <f t="shared" si="6"/>
        <v>54226.71978504181</v>
      </c>
      <c r="U30" s="100">
        <f t="shared" si="7"/>
        <v>77544.20929260978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2" t="s">
        <v>145</v>
      </c>
      <c r="AC30" s="106">
        <f t="shared" si="14"/>
        <v>131770.92907765158</v>
      </c>
      <c r="AD30" s="107"/>
    </row>
    <row r="31" spans="2:30" s="1" customFormat="1" ht="16.5" customHeight="1">
      <c r="B31" s="13"/>
      <c r="C31" s="79">
        <v>11</v>
      </c>
      <c r="D31" s="79">
        <v>290977</v>
      </c>
      <c r="E31" s="79">
        <v>1536</v>
      </c>
      <c r="F31" s="77" t="s">
        <v>152</v>
      </c>
      <c r="G31" s="77">
        <v>66</v>
      </c>
      <c r="H31" s="90">
        <v>46.79999923706055</v>
      </c>
      <c r="I31" s="91" t="s">
        <v>143</v>
      </c>
      <c r="J31" s="92">
        <f t="shared" si="0"/>
        <v>160.51931738319396</v>
      </c>
      <c r="K31" s="447">
        <v>42223.33194444444</v>
      </c>
      <c r="L31" s="447">
        <v>42223.404861111114</v>
      </c>
      <c r="M31" s="94">
        <f t="shared" si="1"/>
        <v>1.7500000001164153</v>
      </c>
      <c r="N31" s="95">
        <f t="shared" si="2"/>
        <v>105</v>
      </c>
      <c r="O31" s="93" t="s">
        <v>144</v>
      </c>
      <c r="P31" s="445" t="s">
        <v>146</v>
      </c>
      <c r="Q31" s="97">
        <f t="shared" si="3"/>
        <v>10</v>
      </c>
      <c r="R31" s="98">
        <f t="shared" si="4"/>
        <v>28.090880542058944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2" t="s">
        <v>145</v>
      </c>
      <c r="AC31" s="106">
        <f t="shared" si="14"/>
        <v>28.090880542058944</v>
      </c>
      <c r="AD31" s="107"/>
    </row>
    <row r="32" spans="2:30" s="1" customFormat="1" ht="16.5" customHeight="1">
      <c r="B32" s="13"/>
      <c r="C32" s="79">
        <v>12</v>
      </c>
      <c r="D32" s="79">
        <v>290987</v>
      </c>
      <c r="E32" s="79">
        <v>1404</v>
      </c>
      <c r="F32" s="77" t="s">
        <v>155</v>
      </c>
      <c r="G32" s="77">
        <v>132</v>
      </c>
      <c r="H32" s="90">
        <v>49</v>
      </c>
      <c r="I32" s="91" t="s">
        <v>151</v>
      </c>
      <c r="J32" s="92">
        <f t="shared" si="0"/>
        <v>168.06510000000003</v>
      </c>
      <c r="K32" s="447">
        <v>42224.629166666666</v>
      </c>
      <c r="L32" s="447">
        <v>42224.65347222222</v>
      </c>
      <c r="M32" s="94">
        <f t="shared" si="1"/>
        <v>0.5833333333139308</v>
      </c>
      <c r="N32" s="95">
        <f t="shared" si="2"/>
        <v>35</v>
      </c>
      <c r="O32" s="93" t="s">
        <v>149</v>
      </c>
      <c r="P32" s="445" t="s">
        <v>146</v>
      </c>
      <c r="Q32" s="97">
        <f t="shared" si="3"/>
        <v>50</v>
      </c>
      <c r="R32" s="98" t="str">
        <f t="shared" si="4"/>
        <v>--</v>
      </c>
      <c r="S32" s="99" t="str">
        <f t="shared" si="5"/>
        <v>--</v>
      </c>
      <c r="T32" s="100">
        <f t="shared" si="6"/>
        <v>8403.255000000001</v>
      </c>
      <c r="U32" s="100">
        <f t="shared" si="7"/>
        <v>4873.887900000001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2" t="s">
        <v>145</v>
      </c>
      <c r="AC32" s="106">
        <f t="shared" si="14"/>
        <v>13277.142900000003</v>
      </c>
      <c r="AD32" s="107"/>
    </row>
    <row r="33" spans="2:30" s="1" customFormat="1" ht="16.5" customHeight="1">
      <c r="B33" s="13"/>
      <c r="C33" s="79">
        <v>13</v>
      </c>
      <c r="D33" s="79">
        <v>290988</v>
      </c>
      <c r="E33" s="79">
        <v>4096</v>
      </c>
      <c r="F33" s="77" t="s">
        <v>156</v>
      </c>
      <c r="G33" s="77">
        <v>132</v>
      </c>
      <c r="H33" s="90">
        <v>58.400001525878906</v>
      </c>
      <c r="I33" s="91" t="s">
        <v>143</v>
      </c>
      <c r="J33" s="92">
        <f t="shared" si="0"/>
        <v>200.3061652336121</v>
      </c>
      <c r="K33" s="447">
        <v>42224.788194444445</v>
      </c>
      <c r="L33" s="447">
        <v>42225.56597222222</v>
      </c>
      <c r="M33" s="94">
        <f t="shared" si="1"/>
        <v>18.666666666569654</v>
      </c>
      <c r="N33" s="95">
        <f t="shared" si="2"/>
        <v>1120</v>
      </c>
      <c r="O33" s="93" t="s">
        <v>149</v>
      </c>
      <c r="P33" s="445" t="s">
        <v>146</v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>
        <f t="shared" si="6"/>
        <v>2003.061652336121</v>
      </c>
      <c r="U33" s="100">
        <f t="shared" si="7"/>
        <v>6009.184957008363</v>
      </c>
      <c r="V33" s="101">
        <f t="shared" si="8"/>
        <v>3138.797609210702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2" t="s">
        <v>145</v>
      </c>
      <c r="AC33" s="106">
        <f t="shared" si="14"/>
        <v>11151.044218555186</v>
      </c>
      <c r="AD33" s="107"/>
    </row>
    <row r="34" spans="2:30" s="1" customFormat="1" ht="16.5" customHeight="1">
      <c r="B34" s="108"/>
      <c r="C34" s="79">
        <v>14</v>
      </c>
      <c r="D34" s="79">
        <v>290993</v>
      </c>
      <c r="E34" s="79">
        <v>2621</v>
      </c>
      <c r="F34" s="77" t="s">
        <v>157</v>
      </c>
      <c r="G34" s="77">
        <v>132</v>
      </c>
      <c r="H34" s="90">
        <v>43</v>
      </c>
      <c r="I34" s="91" t="s">
        <v>154</v>
      </c>
      <c r="J34" s="92">
        <f t="shared" si="0"/>
        <v>147.4857</v>
      </c>
      <c r="K34" s="447">
        <v>42225.260416666664</v>
      </c>
      <c r="L34" s="447">
        <v>42226.59166666667</v>
      </c>
      <c r="M34" s="94">
        <f t="shared" si="1"/>
        <v>31.95000000006985</v>
      </c>
      <c r="N34" s="95">
        <f t="shared" si="2"/>
        <v>1917</v>
      </c>
      <c r="O34" s="93" t="s">
        <v>149</v>
      </c>
      <c r="P34" s="445" t="s">
        <v>146</v>
      </c>
      <c r="Q34" s="97">
        <f t="shared" si="3"/>
        <v>150</v>
      </c>
      <c r="R34" s="98" t="str">
        <f t="shared" si="4"/>
        <v>--</v>
      </c>
      <c r="S34" s="99" t="str">
        <f t="shared" si="5"/>
        <v>--</v>
      </c>
      <c r="T34" s="100">
        <f t="shared" si="6"/>
        <v>22122.855</v>
      </c>
      <c r="U34" s="100">
        <f t="shared" si="7"/>
        <v>66368.565</v>
      </c>
      <c r="V34" s="101">
        <f t="shared" si="8"/>
        <v>64045.665225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2" t="s">
        <v>145</v>
      </c>
      <c r="AC34" s="106">
        <f t="shared" si="14"/>
        <v>152537.085225</v>
      </c>
      <c r="AD34" s="107"/>
    </row>
    <row r="35" spans="2:30" s="1" customFormat="1" ht="16.5" customHeight="1">
      <c r="B35" s="108"/>
      <c r="C35" s="79">
        <v>15</v>
      </c>
      <c r="D35" s="79">
        <v>290994</v>
      </c>
      <c r="E35" s="79">
        <v>4077</v>
      </c>
      <c r="F35" s="77" t="s">
        <v>158</v>
      </c>
      <c r="G35" s="77">
        <v>132</v>
      </c>
      <c r="H35" s="90">
        <v>19.600000381469727</v>
      </c>
      <c r="I35" s="91" t="s">
        <v>143</v>
      </c>
      <c r="J35" s="92">
        <f t="shared" si="0"/>
        <v>85.7475</v>
      </c>
      <c r="K35" s="447">
        <v>42225.40555555555</v>
      </c>
      <c r="L35" s="447">
        <v>42225.41388888889</v>
      </c>
      <c r="M35" s="94">
        <f t="shared" si="1"/>
        <v>0.20000000012805685</v>
      </c>
      <c r="N35" s="95">
        <f t="shared" si="2"/>
        <v>12</v>
      </c>
      <c r="O35" s="93" t="s">
        <v>149</v>
      </c>
      <c r="P35" s="445" t="s">
        <v>146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857.475</v>
      </c>
      <c r="U35" s="100">
        <f t="shared" si="7"/>
        <v>171.495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2" t="s">
        <v>145</v>
      </c>
      <c r="AC35" s="106">
        <f t="shared" si="14"/>
        <v>1028.97</v>
      </c>
      <c r="AD35" s="107"/>
    </row>
    <row r="36" spans="2:30" s="1" customFormat="1" ht="16.5" customHeight="1">
      <c r="B36" s="108"/>
      <c r="C36" s="79">
        <v>16</v>
      </c>
      <c r="D36" s="79">
        <v>291252</v>
      </c>
      <c r="E36" s="79">
        <v>1456</v>
      </c>
      <c r="F36" s="77" t="s">
        <v>159</v>
      </c>
      <c r="G36" s="77">
        <v>132</v>
      </c>
      <c r="H36" s="90">
        <v>71.5</v>
      </c>
      <c r="I36" s="91" t="s">
        <v>143</v>
      </c>
      <c r="J36" s="92">
        <f t="shared" si="0"/>
        <v>245.23785</v>
      </c>
      <c r="K36" s="447">
        <v>42226.44861111111</v>
      </c>
      <c r="L36" s="447">
        <v>42226.60138888889</v>
      </c>
      <c r="M36" s="94">
        <f t="shared" si="1"/>
        <v>3.666666666744277</v>
      </c>
      <c r="N36" s="95">
        <f t="shared" si="2"/>
        <v>220</v>
      </c>
      <c r="O36" s="93" t="s">
        <v>144</v>
      </c>
      <c r="P36" s="445" t="s">
        <v>146</v>
      </c>
      <c r="Q36" s="97">
        <f t="shared" si="3"/>
        <v>10</v>
      </c>
      <c r="R36" s="98">
        <f t="shared" si="4"/>
        <v>90.00229094999999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2" t="s">
        <v>145</v>
      </c>
      <c r="AC36" s="106">
        <f t="shared" si="14"/>
        <v>90.00229094999999</v>
      </c>
      <c r="AD36" s="107"/>
    </row>
    <row r="37" spans="2:30" s="1" customFormat="1" ht="16.5" customHeight="1">
      <c r="B37" s="108"/>
      <c r="C37" s="79">
        <v>17</v>
      </c>
      <c r="D37" s="79">
        <v>291257</v>
      </c>
      <c r="E37" s="79">
        <v>1535</v>
      </c>
      <c r="F37" s="77" t="s">
        <v>160</v>
      </c>
      <c r="G37" s="77">
        <v>132</v>
      </c>
      <c r="H37" s="90">
        <v>29.799999237060547</v>
      </c>
      <c r="I37" s="91" t="s">
        <v>143</v>
      </c>
      <c r="J37" s="92">
        <f t="shared" si="0"/>
        <v>102.21101738319398</v>
      </c>
      <c r="K37" s="447">
        <v>42227.36666666667</v>
      </c>
      <c r="L37" s="447">
        <v>42227.6</v>
      </c>
      <c r="M37" s="94">
        <f t="shared" si="1"/>
        <v>5.599999999918509</v>
      </c>
      <c r="N37" s="95">
        <f t="shared" si="2"/>
        <v>336</v>
      </c>
      <c r="O37" s="93" t="s">
        <v>144</v>
      </c>
      <c r="P37" s="445" t="s">
        <v>146</v>
      </c>
      <c r="Q37" s="97">
        <f t="shared" si="3"/>
        <v>10</v>
      </c>
      <c r="R37" s="98">
        <f t="shared" si="4"/>
        <v>57.23816973458862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2" t="s">
        <v>145</v>
      </c>
      <c r="AC37" s="106">
        <f t="shared" si="14"/>
        <v>57.23816973458862</v>
      </c>
      <c r="AD37" s="107"/>
    </row>
    <row r="38" spans="2:30" s="1" customFormat="1" ht="16.5" customHeight="1">
      <c r="B38" s="108"/>
      <c r="C38" s="79">
        <v>18</v>
      </c>
      <c r="D38" s="79">
        <v>291258</v>
      </c>
      <c r="E38" s="79">
        <v>1456</v>
      </c>
      <c r="F38" s="77" t="s">
        <v>159</v>
      </c>
      <c r="G38" s="77">
        <v>132</v>
      </c>
      <c r="H38" s="90">
        <v>71.5</v>
      </c>
      <c r="I38" s="91" t="s">
        <v>143</v>
      </c>
      <c r="J38" s="92">
        <f t="shared" si="0"/>
        <v>245.23785</v>
      </c>
      <c r="K38" s="447">
        <v>42227.381944444445</v>
      </c>
      <c r="L38" s="447">
        <v>42227.72708333333</v>
      </c>
      <c r="M38" s="94">
        <f t="shared" si="1"/>
        <v>8.283333333267365</v>
      </c>
      <c r="N38" s="95">
        <f t="shared" si="2"/>
        <v>497</v>
      </c>
      <c r="O38" s="93" t="s">
        <v>144</v>
      </c>
      <c r="P38" s="445" t="s">
        <v>146</v>
      </c>
      <c r="Q38" s="97">
        <f t="shared" si="3"/>
        <v>10</v>
      </c>
      <c r="R38" s="98">
        <f t="shared" si="4"/>
        <v>203.0569398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2" t="s">
        <v>145</v>
      </c>
      <c r="AC38" s="106">
        <f t="shared" si="14"/>
        <v>203.0569398</v>
      </c>
      <c r="AD38" s="107"/>
    </row>
    <row r="39" spans="2:30" s="1" customFormat="1" ht="16.5" customHeight="1">
      <c r="B39" s="108"/>
      <c r="C39" s="79">
        <v>19</v>
      </c>
      <c r="D39" s="79">
        <v>291262</v>
      </c>
      <c r="E39" s="79">
        <v>1456</v>
      </c>
      <c r="F39" s="77" t="s">
        <v>159</v>
      </c>
      <c r="G39" s="77">
        <v>132</v>
      </c>
      <c r="H39" s="90">
        <v>71.5</v>
      </c>
      <c r="I39" s="91" t="s">
        <v>143</v>
      </c>
      <c r="J39" s="92">
        <f t="shared" si="0"/>
        <v>245.23785</v>
      </c>
      <c r="K39" s="447">
        <v>42228.35</v>
      </c>
      <c r="L39" s="447">
        <v>42228.72638888889</v>
      </c>
      <c r="M39" s="94">
        <f t="shared" si="1"/>
        <v>9.033333333441988</v>
      </c>
      <c r="N39" s="95">
        <f t="shared" si="2"/>
        <v>542</v>
      </c>
      <c r="O39" s="93" t="s">
        <v>144</v>
      </c>
      <c r="P39" s="445" t="s">
        <v>146</v>
      </c>
      <c r="Q39" s="97">
        <f t="shared" si="3"/>
        <v>10</v>
      </c>
      <c r="R39" s="98">
        <f t="shared" si="4"/>
        <v>221.44977855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2" t="s">
        <v>145</v>
      </c>
      <c r="AC39" s="106">
        <f t="shared" si="14"/>
        <v>221.44977855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85.7475</v>
      </c>
      <c r="K40" s="447"/>
      <c r="L40" s="447"/>
      <c r="M40" s="94">
        <f t="shared" si="1"/>
      </c>
      <c r="N40" s="95">
        <f t="shared" si="2"/>
      </c>
      <c r="O40" s="93"/>
      <c r="P40" s="441">
        <f>IF(F40="","","--")</f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2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67</v>
      </c>
      <c r="D42" s="471" t="s">
        <v>319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1649.9016143488109</v>
      </c>
      <c r="S42" s="120">
        <f t="shared" si="15"/>
        <v>0</v>
      </c>
      <c r="T42" s="121">
        <f t="shared" si="15"/>
        <v>92614.16061120988</v>
      </c>
      <c r="U42" s="121">
        <f t="shared" si="15"/>
        <v>159222.9562211886</v>
      </c>
      <c r="V42" s="121">
        <f t="shared" si="15"/>
        <v>67184.4628342107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8">
        <f>ROUND(SUM(AC19:AC41),2)</f>
        <v>320671.48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92"/>
  <sheetViews>
    <sheetView zoomScale="80" zoomScaleNormal="80" zoomScalePageLayoutView="0" workbookViewId="0" topLeftCell="A1">
      <selection activeCell="O43" sqref="O43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57421875" style="5" customWidth="1"/>
    <col min="10" max="10" width="7.8515625" style="5" hidden="1" customWidth="1"/>
    <col min="11" max="11" width="16.57421875" style="5" customWidth="1"/>
    <col min="12" max="12" width="16.421875" style="5" customWidth="1"/>
    <col min="13" max="15" width="9.7109375" style="5" customWidth="1"/>
    <col min="16" max="16" width="8.7109375" style="5" customWidth="1"/>
    <col min="17" max="17" width="8.421875" style="5" hidden="1" customWidth="1"/>
    <col min="18" max="19" width="11.57421875" style="5" hidden="1" customWidth="1"/>
    <col min="20" max="21" width="8.8515625" style="5" hidden="1" customWidth="1"/>
    <col min="22" max="22" width="7.8515625" style="5" hidden="1" customWidth="1"/>
    <col min="23" max="25" width="5.7109375" style="5" hidden="1" customWidth="1"/>
    <col min="26" max="27" width="11.574218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+'TOT-0815'!B14</f>
        <v>Desde el 01 al 31 de agosto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358.939</v>
      </c>
      <c r="H14" s="37"/>
      <c r="I14" s="38"/>
      <c r="J14" s="34"/>
      <c r="K14" s="34"/>
      <c r="L14" s="39" t="s">
        <v>8</v>
      </c>
      <c r="M14" s="40">
        <f>150*'TOT-0815'!B13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342.99</v>
      </c>
      <c r="H15" s="42"/>
      <c r="I15" s="43"/>
      <c r="J15" s="7"/>
      <c r="K15" s="44"/>
      <c r="L15" s="39" t="s">
        <v>10</v>
      </c>
      <c r="M15" s="40">
        <f>50*'TOT-0815'!B13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342.99</v>
      </c>
      <c r="H16" s="42"/>
      <c r="I16" s="43"/>
      <c r="J16" s="7"/>
      <c r="K16" s="7"/>
      <c r="L16" s="39" t="s">
        <v>12</v>
      </c>
      <c r="M16" s="40">
        <f>10*'TOT-0815'!B13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14"/>
    </row>
    <row r="18" spans="2:30" s="45" customFormat="1" ht="34.5" customHeight="1" thickBot="1" thickTop="1">
      <c r="B18" s="46"/>
      <c r="C18" s="422" t="s">
        <v>13</v>
      </c>
      <c r="D18" s="422" t="s">
        <v>83</v>
      </c>
      <c r="E18" s="422" t="s">
        <v>84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'LI-08 (1)'!AC42</f>
        <v>320671.48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7"/>
      <c r="L20" s="448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291263</v>
      </c>
      <c r="E21" s="79">
        <v>2712</v>
      </c>
      <c r="F21" s="77" t="s">
        <v>161</v>
      </c>
      <c r="G21" s="77">
        <v>132</v>
      </c>
      <c r="H21" s="90">
        <v>77.4000015258789</v>
      </c>
      <c r="I21" s="91" t="s">
        <v>143</v>
      </c>
      <c r="J21" s="92">
        <f aca="true" t="shared" si="0" ref="J21:J42">IF(G21=220,$G$14,IF(G21=132,$G$15,$G$16))*IF(H21&gt;25,H21,25)/100</f>
        <v>265.4742652336121</v>
      </c>
      <c r="K21" s="447">
        <v>42228.35</v>
      </c>
      <c r="L21" s="447">
        <v>42228.575694444444</v>
      </c>
      <c r="M21" s="94">
        <f aca="true" t="shared" si="1" ref="M21:M42">IF(F21="","",(L21-K21)*24)</f>
        <v>5.416666666686069</v>
      </c>
      <c r="N21" s="95">
        <f aca="true" t="shared" si="2" ref="N21:N42">IF(F21="","",ROUND((L21-K21)*24*60,0))</f>
        <v>325</v>
      </c>
      <c r="O21" s="96" t="s">
        <v>144</v>
      </c>
      <c r="P21" s="445" t="s">
        <v>146</v>
      </c>
      <c r="Q21" s="97">
        <f aca="true" t="shared" si="3" ref="Q21:Q42">IF(I21="A",$M$14,IF(I21="B",$M$15,$M$16))</f>
        <v>10</v>
      </c>
      <c r="R21" s="98">
        <f aca="true" t="shared" si="4" ref="R21:R40">IF(O21="P",ROUND(N21/60,2)*J21*Q21*0.01,"--")</f>
        <v>143.88705175661772</v>
      </c>
      <c r="S21" s="99" t="str">
        <f aca="true" t="shared" si="5" ref="S21:S42">IF(O21="RP",ROUND(N21/60,2)*J21*Q21*0.01*P21/100,"--")</f>
        <v>--</v>
      </c>
      <c r="T21" s="100" t="str">
        <f aca="true" t="shared" si="6" ref="T21:T42">IF(O21="F",J21*Q21,"--")</f>
        <v>--</v>
      </c>
      <c r="U21" s="100" t="str">
        <f aca="true" t="shared" si="7" ref="U21:U42">IF(AND(N21&gt;10,O21="F"),J21*Q21*IF(N21&gt;180,3,ROUND((N21)/60,2)),"--")</f>
        <v>--</v>
      </c>
      <c r="V21" s="101" t="str">
        <f aca="true" t="shared" si="8" ref="V21:V42">IF(AND(O21="F",N21&gt;180),(ROUND(N21/60,2)-3)*J21*Q21*0.1,"--")</f>
        <v>--</v>
      </c>
      <c r="W21" s="102" t="str">
        <f aca="true" t="shared" si="9" ref="W21:W42">IF(O21="R",J21*Q21*P21/100,"--")</f>
        <v>--</v>
      </c>
      <c r="X21" s="102" t="str">
        <f aca="true" t="shared" si="10" ref="X21:X42">IF(AND(N21&gt;10,O21="R"),Q21*J21*P21/100*IF(N21&gt;180,3,ROUND((N21)/60,2)),"--")</f>
        <v>--</v>
      </c>
      <c r="Y21" s="103" t="str">
        <f aca="true" t="shared" si="11" ref="Y21:Y42">IF(AND(O21="R",N21&gt;180),(ROUND(N21/60,2)-3)*J21*Q21*0.1*P21/100,"--")</f>
        <v>--</v>
      </c>
      <c r="Z21" s="104" t="str">
        <f aca="true" t="shared" si="12" ref="Z21:Z42">IF(O21="RF",ROUND(N21/60,2)*J21*Q21*0.1,"--")</f>
        <v>--</v>
      </c>
      <c r="AA21" s="105" t="str">
        <f aca="true" t="shared" si="13" ref="AA21:AA42">IF(O21="RR",ROUND(N21/60,2)*J21*Q21*0.1*P21/100,"--")</f>
        <v>--</v>
      </c>
      <c r="AB21" s="442" t="s">
        <v>145</v>
      </c>
      <c r="AC21" s="106">
        <v>0</v>
      </c>
      <c r="AD21" s="107"/>
    </row>
    <row r="22" spans="2:30" s="1" customFormat="1" ht="16.5" customHeight="1">
      <c r="B22" s="13"/>
      <c r="C22" s="79">
        <v>21</v>
      </c>
      <c r="D22" s="79">
        <v>291268</v>
      </c>
      <c r="E22" s="79">
        <v>1535</v>
      </c>
      <c r="F22" s="77" t="s">
        <v>160</v>
      </c>
      <c r="G22" s="77">
        <v>132</v>
      </c>
      <c r="H22" s="90">
        <v>29.799999237060547</v>
      </c>
      <c r="I22" s="91" t="s">
        <v>143</v>
      </c>
      <c r="J22" s="92">
        <f t="shared" si="0"/>
        <v>102.21101738319398</v>
      </c>
      <c r="K22" s="447">
        <v>42228.37569444445</v>
      </c>
      <c r="L22" s="447">
        <v>42228.552083333336</v>
      </c>
      <c r="M22" s="94">
        <f t="shared" si="1"/>
        <v>4.233333333337214</v>
      </c>
      <c r="N22" s="95">
        <f t="shared" si="2"/>
        <v>254</v>
      </c>
      <c r="O22" s="96" t="s">
        <v>144</v>
      </c>
      <c r="P22" s="445" t="s">
        <v>146</v>
      </c>
      <c r="Q22" s="97">
        <f t="shared" si="3"/>
        <v>10</v>
      </c>
      <c r="R22" s="98">
        <f t="shared" si="4"/>
        <v>43.235260353091064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2" t="s">
        <v>145</v>
      </c>
      <c r="AC22" s="106">
        <f aca="true" t="shared" si="14" ref="AC22:AC42">IF(F22="","",SUM(R22:AA22)*IF(AB22="SI",1,2))</f>
        <v>43.235260353091064</v>
      </c>
      <c r="AD22" s="107"/>
    </row>
    <row r="23" spans="2:30" s="1" customFormat="1" ht="16.5" customHeight="1">
      <c r="B23" s="13"/>
      <c r="C23" s="79">
        <v>22</v>
      </c>
      <c r="D23" s="79">
        <v>291270</v>
      </c>
      <c r="E23" s="79">
        <v>1453</v>
      </c>
      <c r="F23" s="77" t="s">
        <v>162</v>
      </c>
      <c r="G23" s="77">
        <v>132</v>
      </c>
      <c r="H23" s="90">
        <v>5.300000190734863</v>
      </c>
      <c r="I23" s="91" t="s">
        <v>143</v>
      </c>
      <c r="J23" s="92">
        <f t="shared" si="0"/>
        <v>85.7475</v>
      </c>
      <c r="K23" s="447">
        <v>42228.40833333333</v>
      </c>
      <c r="L23" s="447">
        <v>42228.71944444445</v>
      </c>
      <c r="M23" s="94">
        <f t="shared" si="1"/>
        <v>7.466666666732635</v>
      </c>
      <c r="N23" s="95">
        <f t="shared" si="2"/>
        <v>448</v>
      </c>
      <c r="O23" s="96" t="s">
        <v>144</v>
      </c>
      <c r="P23" s="445" t="s">
        <v>146</v>
      </c>
      <c r="Q23" s="97">
        <f t="shared" si="3"/>
        <v>10</v>
      </c>
      <c r="R23" s="98">
        <f t="shared" si="4"/>
        <v>64.0533825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2" t="s">
        <v>145</v>
      </c>
      <c r="AC23" s="106">
        <f t="shared" si="14"/>
        <v>64.0533825</v>
      </c>
      <c r="AD23" s="107"/>
    </row>
    <row r="24" spans="2:30" s="1" customFormat="1" ht="16.5" customHeight="1">
      <c r="B24" s="13"/>
      <c r="C24" s="79">
        <v>23</v>
      </c>
      <c r="D24" s="79">
        <v>291276</v>
      </c>
      <c r="E24" s="79">
        <v>1543</v>
      </c>
      <c r="F24" s="77" t="s">
        <v>163</v>
      </c>
      <c r="G24" s="77">
        <v>132</v>
      </c>
      <c r="H24" s="90">
        <v>24.100000381469727</v>
      </c>
      <c r="I24" s="91" t="s">
        <v>143</v>
      </c>
      <c r="J24" s="92">
        <f t="shared" si="0"/>
        <v>85.7475</v>
      </c>
      <c r="K24" s="447">
        <v>42228.509722222225</v>
      </c>
      <c r="L24" s="447">
        <v>42228.87291666667</v>
      </c>
      <c r="M24" s="94">
        <f t="shared" si="1"/>
        <v>8.71666666661622</v>
      </c>
      <c r="N24" s="95">
        <f t="shared" si="2"/>
        <v>523</v>
      </c>
      <c r="O24" s="96" t="s">
        <v>149</v>
      </c>
      <c r="P24" s="445" t="s">
        <v>146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857.475</v>
      </c>
      <c r="U24" s="100">
        <f t="shared" si="7"/>
        <v>2572.425</v>
      </c>
      <c r="V24" s="101">
        <f t="shared" si="8"/>
        <v>490.4757000000001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2" t="s">
        <v>145</v>
      </c>
      <c r="AC24" s="106">
        <f t="shared" si="14"/>
        <v>3920.3757</v>
      </c>
      <c r="AD24" s="107"/>
    </row>
    <row r="25" spans="2:30" s="1" customFormat="1" ht="16.5" customHeight="1">
      <c r="B25" s="13"/>
      <c r="C25" s="79">
        <v>24</v>
      </c>
      <c r="D25" s="79">
        <v>291279</v>
      </c>
      <c r="E25" s="79">
        <v>1456</v>
      </c>
      <c r="F25" s="77" t="s">
        <v>159</v>
      </c>
      <c r="G25" s="77">
        <v>132</v>
      </c>
      <c r="H25" s="90">
        <v>71.5</v>
      </c>
      <c r="I25" s="91" t="s">
        <v>143</v>
      </c>
      <c r="J25" s="92">
        <f t="shared" si="0"/>
        <v>245.23785</v>
      </c>
      <c r="K25" s="447">
        <v>42229.365277777775</v>
      </c>
      <c r="L25" s="447">
        <v>42229.566666666666</v>
      </c>
      <c r="M25" s="94">
        <f t="shared" si="1"/>
        <v>4.833333333372138</v>
      </c>
      <c r="N25" s="95">
        <f t="shared" si="2"/>
        <v>290</v>
      </c>
      <c r="O25" s="96" t="s">
        <v>144</v>
      </c>
      <c r="P25" s="445" t="s">
        <v>146</v>
      </c>
      <c r="Q25" s="97">
        <f t="shared" si="3"/>
        <v>10</v>
      </c>
      <c r="R25" s="98">
        <f t="shared" si="4"/>
        <v>118.44988155000001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2" t="s">
        <v>145</v>
      </c>
      <c r="AC25" s="106">
        <f t="shared" si="14"/>
        <v>118.44988155000001</v>
      </c>
      <c r="AD25" s="107"/>
    </row>
    <row r="26" spans="2:30" s="1" customFormat="1" ht="16.5" customHeight="1">
      <c r="B26" s="13"/>
      <c r="C26" s="79"/>
      <c r="D26" s="79"/>
      <c r="E26" s="79"/>
      <c r="F26" s="77"/>
      <c r="G26" s="77"/>
      <c r="H26" s="90"/>
      <c r="I26" s="91"/>
      <c r="J26" s="92"/>
      <c r="K26" s="447"/>
      <c r="L26" s="447"/>
      <c r="M26" s="94"/>
      <c r="N26" s="95"/>
      <c r="O26" s="93"/>
      <c r="P26" s="445"/>
      <c r="Q26" s="97"/>
      <c r="R26" s="98"/>
      <c r="S26" s="99"/>
      <c r="T26" s="100"/>
      <c r="U26" s="100"/>
      <c r="V26" s="101"/>
      <c r="W26" s="102"/>
      <c r="X26" s="102"/>
      <c r="Y26" s="103"/>
      <c r="Z26" s="104"/>
      <c r="AA26" s="105"/>
      <c r="AB26" s="442"/>
      <c r="AC26" s="106"/>
      <c r="AD26" s="107"/>
    </row>
    <row r="27" spans="2:30" s="1" customFormat="1" ht="16.5" customHeight="1">
      <c r="B27" s="13"/>
      <c r="C27" s="79">
        <v>26</v>
      </c>
      <c r="D27" s="79">
        <v>291294</v>
      </c>
      <c r="E27" s="79">
        <v>1446</v>
      </c>
      <c r="F27" s="77" t="s">
        <v>164</v>
      </c>
      <c r="G27" s="77">
        <v>132</v>
      </c>
      <c r="H27" s="90">
        <v>139.89999389648438</v>
      </c>
      <c r="I27" s="91" t="s">
        <v>143</v>
      </c>
      <c r="J27" s="92">
        <f t="shared" si="0"/>
        <v>479.84298906555176</v>
      </c>
      <c r="K27" s="447">
        <v>42230.427083333336</v>
      </c>
      <c r="L27" s="447">
        <v>42230.67847222222</v>
      </c>
      <c r="M27" s="94">
        <f t="shared" si="1"/>
        <v>6.033333333267365</v>
      </c>
      <c r="N27" s="95">
        <f t="shared" si="2"/>
        <v>362</v>
      </c>
      <c r="O27" s="93" t="s">
        <v>144</v>
      </c>
      <c r="P27" s="445" t="s">
        <v>146</v>
      </c>
      <c r="Q27" s="97">
        <f t="shared" si="3"/>
        <v>10</v>
      </c>
      <c r="R27" s="98">
        <f t="shared" si="4"/>
        <v>289.3453224065277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2" t="s">
        <v>145</v>
      </c>
      <c r="AC27" s="106">
        <f t="shared" si="14"/>
        <v>289.3453224065277</v>
      </c>
      <c r="AD27" s="107"/>
    </row>
    <row r="28" spans="2:30" s="1" customFormat="1" ht="16.5" customHeight="1">
      <c r="B28" s="13"/>
      <c r="C28" s="79">
        <v>27</v>
      </c>
      <c r="D28" s="79">
        <v>291296</v>
      </c>
      <c r="E28" s="79">
        <v>1433</v>
      </c>
      <c r="F28" s="77" t="s">
        <v>165</v>
      </c>
      <c r="G28" s="77">
        <v>132</v>
      </c>
      <c r="H28" s="90">
        <v>2.200000047683716</v>
      </c>
      <c r="I28" s="91" t="s">
        <v>143</v>
      </c>
      <c r="J28" s="92">
        <f t="shared" si="0"/>
        <v>85.7475</v>
      </c>
      <c r="K28" s="447">
        <v>42232.334027777775</v>
      </c>
      <c r="L28" s="447">
        <v>42232.61875</v>
      </c>
      <c r="M28" s="94">
        <f t="shared" si="1"/>
        <v>6.833333333430346</v>
      </c>
      <c r="N28" s="95">
        <f t="shared" si="2"/>
        <v>410</v>
      </c>
      <c r="O28" s="93" t="s">
        <v>144</v>
      </c>
      <c r="P28" s="445" t="s">
        <v>146</v>
      </c>
      <c r="Q28" s="97">
        <f t="shared" si="3"/>
        <v>10</v>
      </c>
      <c r="R28" s="98">
        <f t="shared" si="4"/>
        <v>58.5655425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2" t="s">
        <v>145</v>
      </c>
      <c r="AC28" s="106">
        <v>0</v>
      </c>
      <c r="AD28" s="107"/>
    </row>
    <row r="29" spans="2:30" s="1" customFormat="1" ht="16.5" customHeight="1">
      <c r="B29" s="13"/>
      <c r="C29" s="79">
        <v>28</v>
      </c>
      <c r="D29" s="79">
        <v>291303</v>
      </c>
      <c r="E29" s="79">
        <v>1536</v>
      </c>
      <c r="F29" s="77" t="s">
        <v>152</v>
      </c>
      <c r="G29" s="77">
        <v>66</v>
      </c>
      <c r="H29" s="90">
        <v>46.79999923706055</v>
      </c>
      <c r="I29" s="91" t="s">
        <v>143</v>
      </c>
      <c r="J29" s="92">
        <f t="shared" si="0"/>
        <v>160.51931738319396</v>
      </c>
      <c r="K29" s="447">
        <v>42233.85625</v>
      </c>
      <c r="L29" s="447">
        <v>42234.40138888889</v>
      </c>
      <c r="M29" s="94">
        <f t="shared" si="1"/>
        <v>13.083333333372138</v>
      </c>
      <c r="N29" s="95">
        <f t="shared" si="2"/>
        <v>785</v>
      </c>
      <c r="O29" s="93" t="s">
        <v>149</v>
      </c>
      <c r="P29" s="445" t="s">
        <v>146</v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1605.1931738319397</v>
      </c>
      <c r="U29" s="100">
        <f t="shared" si="7"/>
        <v>4815.579521495819</v>
      </c>
      <c r="V29" s="101">
        <f t="shared" si="8"/>
        <v>1618.0347192225954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2" t="s">
        <v>145</v>
      </c>
      <c r="AC29" s="106">
        <f t="shared" si="14"/>
        <v>8038.807414550354</v>
      </c>
      <c r="AD29" s="107"/>
    </row>
    <row r="30" spans="2:30" s="1" customFormat="1" ht="16.5" customHeight="1">
      <c r="B30" s="13"/>
      <c r="C30" s="79">
        <v>29</v>
      </c>
      <c r="D30" s="79">
        <v>291524</v>
      </c>
      <c r="E30" s="79">
        <v>1441</v>
      </c>
      <c r="F30" s="77" t="s">
        <v>150</v>
      </c>
      <c r="G30" s="77">
        <v>66</v>
      </c>
      <c r="H30" s="90">
        <v>43.79999923706055</v>
      </c>
      <c r="I30" s="91" t="s">
        <v>151</v>
      </c>
      <c r="J30" s="92">
        <f t="shared" si="0"/>
        <v>150.22961738319398</v>
      </c>
      <c r="K30" s="447">
        <v>42234.40138888889</v>
      </c>
      <c r="L30" s="447">
        <v>42234.60833333333</v>
      </c>
      <c r="M30" s="94">
        <f t="shared" si="1"/>
        <v>4.96666666661622</v>
      </c>
      <c r="N30" s="95">
        <f t="shared" si="2"/>
        <v>298</v>
      </c>
      <c r="O30" s="93" t="s">
        <v>144</v>
      </c>
      <c r="P30" s="445" t="s">
        <v>146</v>
      </c>
      <c r="Q30" s="97">
        <f t="shared" si="3"/>
        <v>50</v>
      </c>
      <c r="R30" s="98">
        <f t="shared" si="4"/>
        <v>373.320599197237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2" t="s">
        <v>145</v>
      </c>
      <c r="AC30" s="106">
        <f t="shared" si="14"/>
        <v>373.320599197237</v>
      </c>
      <c r="AD30" s="107"/>
    </row>
    <row r="31" spans="2:30" s="1" customFormat="1" ht="16.5" customHeight="1">
      <c r="B31" s="13"/>
      <c r="C31" s="79">
        <v>30</v>
      </c>
      <c r="D31" s="79">
        <v>291525</v>
      </c>
      <c r="E31" s="79">
        <v>1429</v>
      </c>
      <c r="F31" s="77" t="s">
        <v>305</v>
      </c>
      <c r="G31" s="77">
        <v>132</v>
      </c>
      <c r="H31" s="90">
        <v>61.5</v>
      </c>
      <c r="I31" s="91" t="s">
        <v>151</v>
      </c>
      <c r="J31" s="92">
        <f t="shared" si="0"/>
        <v>210.93885000000003</v>
      </c>
      <c r="K31" s="447">
        <v>42234.40972222222</v>
      </c>
      <c r="L31" s="447">
        <v>42234.42361111111</v>
      </c>
      <c r="M31" s="94">
        <f t="shared" si="1"/>
        <v>0.33333333337213844</v>
      </c>
      <c r="N31" s="95">
        <f t="shared" si="2"/>
        <v>20</v>
      </c>
      <c r="O31" s="93" t="s">
        <v>149</v>
      </c>
      <c r="P31" s="445" t="s">
        <v>146</v>
      </c>
      <c r="Q31" s="97">
        <f t="shared" si="3"/>
        <v>50</v>
      </c>
      <c r="R31" s="98" t="str">
        <f t="shared" si="4"/>
        <v>--</v>
      </c>
      <c r="S31" s="99" t="str">
        <f t="shared" si="5"/>
        <v>--</v>
      </c>
      <c r="T31" s="100">
        <f t="shared" si="6"/>
        <v>10546.942500000001</v>
      </c>
      <c r="U31" s="100">
        <f t="shared" si="7"/>
        <v>3480.4910250000007</v>
      </c>
      <c r="V31" s="101" t="str">
        <f t="shared" si="8"/>
        <v>--</v>
      </c>
      <c r="W31" s="102" t="str">
        <f>IF(O31="R",J31*Q31*P31/100,"--")</f>
        <v>--</v>
      </c>
      <c r="X31" s="102" t="str">
        <f>IF(AND(N31&gt;10,O31="R"),Q31*J31*P31/100*IF(N31&gt;180,3,ROUND((N31)/60,2)),"--")</f>
        <v>--</v>
      </c>
      <c r="Y31" s="103" t="str">
        <f>IF(AND(O31="R",N31&gt;180),(ROUND(N31/60,2)-3)*J31*Q31*0.1*P31/100,"--")</f>
        <v>--</v>
      </c>
      <c r="Z31" s="104" t="str">
        <f>IF(O31="RF",ROUND(N31/60,2)*J31*Q31*0.1,"--")</f>
        <v>--</v>
      </c>
      <c r="AA31" s="105" t="str">
        <f>IF(O31="RR",ROUND(N31/60,2)*J31*Q31*0.1*P31/100,"--")</f>
        <v>--</v>
      </c>
      <c r="AB31" s="442" t="s">
        <v>145</v>
      </c>
      <c r="AC31" s="106">
        <f>IF(F31="","",SUM(R31:AA31)*IF(AB31="SI",1,2))</f>
        <v>14027.433525000002</v>
      </c>
      <c r="AD31" s="107"/>
    </row>
    <row r="32" spans="2:30" s="1" customFormat="1" ht="16.5" customHeight="1">
      <c r="B32" s="13"/>
      <c r="C32" s="79">
        <v>31</v>
      </c>
      <c r="D32" s="79">
        <v>291527</v>
      </c>
      <c r="E32" s="79">
        <v>1520</v>
      </c>
      <c r="F32" s="77" t="s">
        <v>166</v>
      </c>
      <c r="G32" s="77">
        <v>132</v>
      </c>
      <c r="H32" s="90">
        <v>88.19999694824219</v>
      </c>
      <c r="I32" s="91" t="s">
        <v>143</v>
      </c>
      <c r="J32" s="92">
        <f t="shared" si="0"/>
        <v>302.5171695327759</v>
      </c>
      <c r="K32" s="447">
        <v>42234.4875</v>
      </c>
      <c r="L32" s="447">
        <v>42234.71597222222</v>
      </c>
      <c r="M32" s="94">
        <f t="shared" si="1"/>
        <v>5.4833333332207985</v>
      </c>
      <c r="N32" s="95">
        <f t="shared" si="2"/>
        <v>329</v>
      </c>
      <c r="O32" s="93" t="s">
        <v>144</v>
      </c>
      <c r="P32" s="445" t="s">
        <v>146</v>
      </c>
      <c r="Q32" s="97">
        <f t="shared" si="3"/>
        <v>10</v>
      </c>
      <c r="R32" s="98">
        <f t="shared" si="4"/>
        <v>165.77940890396118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2" t="s">
        <v>145</v>
      </c>
      <c r="AC32" s="106">
        <f t="shared" si="14"/>
        <v>165.77940890396118</v>
      </c>
      <c r="AD32" s="107"/>
    </row>
    <row r="33" spans="2:30" s="1" customFormat="1" ht="16.5" customHeight="1">
      <c r="B33" s="13"/>
      <c r="C33" s="79">
        <v>32</v>
      </c>
      <c r="D33" s="79">
        <v>291531</v>
      </c>
      <c r="E33" s="79">
        <v>1405</v>
      </c>
      <c r="F33" s="77" t="s">
        <v>167</v>
      </c>
      <c r="G33" s="77">
        <v>132</v>
      </c>
      <c r="H33" s="90">
        <v>83.80000305175781</v>
      </c>
      <c r="I33" s="91" t="s">
        <v>151</v>
      </c>
      <c r="J33" s="92">
        <f t="shared" si="0"/>
        <v>287.42563046722415</v>
      </c>
      <c r="K33" s="447">
        <v>42235.35555555556</v>
      </c>
      <c r="L33" s="447">
        <v>42235.64513888889</v>
      </c>
      <c r="M33" s="94">
        <f t="shared" si="1"/>
        <v>6.949999999953434</v>
      </c>
      <c r="N33" s="95">
        <f t="shared" si="2"/>
        <v>417</v>
      </c>
      <c r="O33" s="93" t="s">
        <v>144</v>
      </c>
      <c r="P33" s="445" t="s">
        <v>146</v>
      </c>
      <c r="Q33" s="97">
        <f t="shared" si="3"/>
        <v>50</v>
      </c>
      <c r="R33" s="98">
        <f t="shared" si="4"/>
        <v>998.804065873604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2" t="s">
        <v>145</v>
      </c>
      <c r="AC33" s="106">
        <f t="shared" si="14"/>
        <v>998.804065873604</v>
      </c>
      <c r="AD33" s="107"/>
    </row>
    <row r="34" spans="2:30" s="1" customFormat="1" ht="16.5" customHeight="1">
      <c r="B34" s="13"/>
      <c r="C34" s="79">
        <v>33</v>
      </c>
      <c r="D34" s="79">
        <v>291534</v>
      </c>
      <c r="E34" s="79">
        <v>1520</v>
      </c>
      <c r="F34" s="77" t="s">
        <v>166</v>
      </c>
      <c r="G34" s="77">
        <v>132</v>
      </c>
      <c r="H34" s="90">
        <v>88.19999694824219</v>
      </c>
      <c r="I34" s="91" t="s">
        <v>143</v>
      </c>
      <c r="J34" s="92">
        <f t="shared" si="0"/>
        <v>302.5171695327759</v>
      </c>
      <c r="K34" s="447">
        <v>42235.39722222222</v>
      </c>
      <c r="L34" s="447">
        <v>42235.717361111114</v>
      </c>
      <c r="M34" s="94">
        <f t="shared" si="1"/>
        <v>7.683333333407063</v>
      </c>
      <c r="N34" s="95">
        <f t="shared" si="2"/>
        <v>461</v>
      </c>
      <c r="O34" s="93" t="s">
        <v>144</v>
      </c>
      <c r="P34" s="445" t="s">
        <v>146</v>
      </c>
      <c r="Q34" s="97">
        <f t="shared" si="3"/>
        <v>10</v>
      </c>
      <c r="R34" s="98">
        <f t="shared" si="4"/>
        <v>232.33318620117188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2" t="s">
        <v>145</v>
      </c>
      <c r="AC34" s="106">
        <f t="shared" si="14"/>
        <v>232.33318620117188</v>
      </c>
      <c r="AD34" s="107"/>
    </row>
    <row r="35" spans="2:30" s="1" customFormat="1" ht="16.5" customHeight="1">
      <c r="B35" s="108"/>
      <c r="C35" s="79">
        <v>34</v>
      </c>
      <c r="D35" s="79">
        <v>291535</v>
      </c>
      <c r="E35" s="79">
        <v>1452</v>
      </c>
      <c r="F35" s="77" t="s">
        <v>168</v>
      </c>
      <c r="G35" s="77">
        <v>132</v>
      </c>
      <c r="H35" s="90">
        <v>51.5099983215332</v>
      </c>
      <c r="I35" s="91" t="s">
        <v>143</v>
      </c>
      <c r="J35" s="92">
        <f t="shared" si="0"/>
        <v>176.67414324302675</v>
      </c>
      <c r="K35" s="447">
        <v>42235.4</v>
      </c>
      <c r="L35" s="447">
        <v>42235.65347222222</v>
      </c>
      <c r="M35" s="94">
        <f t="shared" si="1"/>
        <v>6.083333333255723</v>
      </c>
      <c r="N35" s="95">
        <f t="shared" si="2"/>
        <v>365</v>
      </c>
      <c r="O35" s="93" t="s">
        <v>144</v>
      </c>
      <c r="P35" s="445" t="s">
        <v>146</v>
      </c>
      <c r="Q35" s="97">
        <f t="shared" si="3"/>
        <v>10</v>
      </c>
      <c r="R35" s="98">
        <f t="shared" si="4"/>
        <v>107.41787909176026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2" t="s">
        <v>145</v>
      </c>
      <c r="AC35" s="106">
        <f t="shared" si="14"/>
        <v>107.41787909176026</v>
      </c>
      <c r="AD35" s="107"/>
    </row>
    <row r="36" spans="2:30" s="1" customFormat="1" ht="16.5" customHeight="1">
      <c r="B36" s="108"/>
      <c r="C36" s="79">
        <v>35</v>
      </c>
      <c r="D36" s="79">
        <v>291541</v>
      </c>
      <c r="E36" s="79">
        <v>1441</v>
      </c>
      <c r="F36" s="77" t="s">
        <v>150</v>
      </c>
      <c r="G36" s="77">
        <v>66</v>
      </c>
      <c r="H36" s="90">
        <v>43.79999923706055</v>
      </c>
      <c r="I36" s="91" t="s">
        <v>151</v>
      </c>
      <c r="J36" s="92">
        <f t="shared" si="0"/>
        <v>150.22961738319398</v>
      </c>
      <c r="K36" s="447">
        <v>42235.458333333336</v>
      </c>
      <c r="L36" s="447">
        <v>42235.49236111111</v>
      </c>
      <c r="M36" s="94">
        <f t="shared" si="1"/>
        <v>0.8166666665347293</v>
      </c>
      <c r="N36" s="95">
        <f t="shared" si="2"/>
        <v>49</v>
      </c>
      <c r="O36" s="93" t="s">
        <v>149</v>
      </c>
      <c r="P36" s="445" t="s">
        <v>146</v>
      </c>
      <c r="Q36" s="97">
        <f t="shared" si="3"/>
        <v>50</v>
      </c>
      <c r="R36" s="98" t="str">
        <f t="shared" si="4"/>
        <v>--</v>
      </c>
      <c r="S36" s="99" t="str">
        <f t="shared" si="5"/>
        <v>--</v>
      </c>
      <c r="T36" s="100">
        <f t="shared" si="6"/>
        <v>7511.480869159699</v>
      </c>
      <c r="U36" s="100">
        <f t="shared" si="7"/>
        <v>6159.414312710953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2" t="s">
        <v>145</v>
      </c>
      <c r="AC36" s="106">
        <f t="shared" si="14"/>
        <v>13670.895181870652</v>
      </c>
      <c r="AD36" s="107"/>
    </row>
    <row r="37" spans="2:30" s="1" customFormat="1" ht="16.5" customHeight="1">
      <c r="B37" s="108"/>
      <c r="C37" s="79">
        <v>36</v>
      </c>
      <c r="D37" s="79">
        <v>291558</v>
      </c>
      <c r="E37" s="79">
        <v>1441</v>
      </c>
      <c r="F37" s="77" t="s">
        <v>150</v>
      </c>
      <c r="G37" s="77">
        <v>66</v>
      </c>
      <c r="H37" s="90">
        <v>43.79999923706055</v>
      </c>
      <c r="I37" s="91" t="s">
        <v>151</v>
      </c>
      <c r="J37" s="92">
        <f t="shared" si="0"/>
        <v>150.22961738319398</v>
      </c>
      <c r="K37" s="447">
        <v>42235.493055555555</v>
      </c>
      <c r="L37" s="447">
        <v>42235.68263888889</v>
      </c>
      <c r="M37" s="94">
        <f t="shared" si="1"/>
        <v>4.5499999999883585</v>
      </c>
      <c r="N37" s="95">
        <f t="shared" si="2"/>
        <v>273</v>
      </c>
      <c r="O37" s="93" t="s">
        <v>144</v>
      </c>
      <c r="P37" s="445" t="s">
        <v>146</v>
      </c>
      <c r="Q37" s="97">
        <f t="shared" si="3"/>
        <v>50</v>
      </c>
      <c r="R37" s="98">
        <f t="shared" si="4"/>
        <v>341.7723795467663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2" t="s">
        <v>145</v>
      </c>
      <c r="AC37" s="106">
        <f t="shared" si="14"/>
        <v>341.7723795467663</v>
      </c>
      <c r="AD37" s="107"/>
    </row>
    <row r="38" spans="2:30" s="1" customFormat="1" ht="16.5" customHeight="1">
      <c r="B38" s="108"/>
      <c r="C38" s="79">
        <v>37</v>
      </c>
      <c r="D38" s="79">
        <v>291566</v>
      </c>
      <c r="E38" s="79">
        <v>1520</v>
      </c>
      <c r="F38" s="77" t="s">
        <v>166</v>
      </c>
      <c r="G38" s="77">
        <v>132</v>
      </c>
      <c r="H38" s="90">
        <v>88.19999694824219</v>
      </c>
      <c r="I38" s="91" t="s">
        <v>143</v>
      </c>
      <c r="J38" s="92">
        <f t="shared" si="0"/>
        <v>302.5171695327759</v>
      </c>
      <c r="K38" s="447">
        <v>42236.34305555555</v>
      </c>
      <c r="L38" s="447">
        <v>42236.71805555555</v>
      </c>
      <c r="M38" s="94">
        <f t="shared" si="1"/>
        <v>9</v>
      </c>
      <c r="N38" s="95">
        <f t="shared" si="2"/>
        <v>540</v>
      </c>
      <c r="O38" s="93" t="s">
        <v>144</v>
      </c>
      <c r="P38" s="445" t="s">
        <v>146</v>
      </c>
      <c r="Q38" s="97">
        <f t="shared" si="3"/>
        <v>10</v>
      </c>
      <c r="R38" s="98">
        <f t="shared" si="4"/>
        <v>272.2654525794983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2" t="s">
        <v>145</v>
      </c>
      <c r="AC38" s="106">
        <f t="shared" si="14"/>
        <v>272.2654525794983</v>
      </c>
      <c r="AD38" s="107"/>
    </row>
    <row r="39" spans="2:30" s="1" customFormat="1" ht="16.5" customHeight="1">
      <c r="B39" s="108"/>
      <c r="C39" s="79">
        <v>38</v>
      </c>
      <c r="D39" s="79">
        <v>291567</v>
      </c>
      <c r="E39" s="79">
        <v>1533</v>
      </c>
      <c r="F39" s="77" t="s">
        <v>169</v>
      </c>
      <c r="G39" s="77">
        <v>132</v>
      </c>
      <c r="H39" s="90">
        <v>151</v>
      </c>
      <c r="I39" s="91" t="s">
        <v>143</v>
      </c>
      <c r="J39" s="92">
        <f t="shared" si="0"/>
        <v>517.9149</v>
      </c>
      <c r="K39" s="447">
        <v>42236.353472222225</v>
      </c>
      <c r="L39" s="447">
        <v>42236.61944444444</v>
      </c>
      <c r="M39" s="94">
        <f t="shared" si="1"/>
        <v>6.383333333185874</v>
      </c>
      <c r="N39" s="95">
        <f t="shared" si="2"/>
        <v>383</v>
      </c>
      <c r="O39" s="93" t="s">
        <v>144</v>
      </c>
      <c r="P39" s="445" t="s">
        <v>146</v>
      </c>
      <c r="Q39" s="97">
        <f t="shared" si="3"/>
        <v>10</v>
      </c>
      <c r="R39" s="98">
        <f t="shared" si="4"/>
        <v>330.4297062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2" t="s">
        <v>145</v>
      </c>
      <c r="AC39" s="106">
        <f t="shared" si="14"/>
        <v>330.4297062</v>
      </c>
      <c r="AD39" s="107"/>
    </row>
    <row r="40" spans="2:30" s="1" customFormat="1" ht="16.5" customHeight="1">
      <c r="B40" s="108"/>
      <c r="C40" s="79">
        <v>39</v>
      </c>
      <c r="D40" s="79">
        <v>291569</v>
      </c>
      <c r="E40" s="79">
        <v>1441</v>
      </c>
      <c r="F40" s="77" t="s">
        <v>150</v>
      </c>
      <c r="G40" s="77">
        <v>66</v>
      </c>
      <c r="H40" s="90">
        <v>43.79999923706055</v>
      </c>
      <c r="I40" s="91" t="s">
        <v>151</v>
      </c>
      <c r="J40" s="92">
        <f t="shared" si="0"/>
        <v>150.22961738319398</v>
      </c>
      <c r="K40" s="447">
        <v>42236.36041666667</v>
      </c>
      <c r="L40" s="447">
        <v>42236.59930555556</v>
      </c>
      <c r="M40" s="94">
        <f t="shared" si="1"/>
        <v>5.733333333337214</v>
      </c>
      <c r="N40" s="95">
        <f t="shared" si="2"/>
        <v>344</v>
      </c>
      <c r="O40" s="93" t="s">
        <v>144</v>
      </c>
      <c r="P40" s="445" t="s">
        <v>146</v>
      </c>
      <c r="Q40" s="97">
        <f t="shared" si="3"/>
        <v>50</v>
      </c>
      <c r="R40" s="98">
        <f t="shared" si="4"/>
        <v>430.4078538028508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2" t="s">
        <v>145</v>
      </c>
      <c r="AC40" s="106">
        <f t="shared" si="14"/>
        <v>430.4078538028508</v>
      </c>
      <c r="AD40" s="107"/>
    </row>
    <row r="41" spans="2:30" s="1" customFormat="1" ht="16.5" customHeight="1">
      <c r="B41" s="108"/>
      <c r="C41" s="79">
        <v>40</v>
      </c>
      <c r="D41" s="79">
        <v>291571</v>
      </c>
      <c r="E41" s="79">
        <v>1452</v>
      </c>
      <c r="F41" s="77" t="s">
        <v>168</v>
      </c>
      <c r="G41" s="77">
        <v>132</v>
      </c>
      <c r="H41" s="90">
        <v>51.5099983215332</v>
      </c>
      <c r="I41" s="91" t="s">
        <v>143</v>
      </c>
      <c r="J41" s="92">
        <f t="shared" si="0"/>
        <v>176.67414324302675</v>
      </c>
      <c r="K41" s="447">
        <v>42236.37291666667</v>
      </c>
      <c r="L41" s="447">
        <v>42236.652083333334</v>
      </c>
      <c r="M41" s="94">
        <f t="shared" si="1"/>
        <v>6.7000000000116415</v>
      </c>
      <c r="N41" s="95">
        <f t="shared" si="2"/>
        <v>402</v>
      </c>
      <c r="O41" s="93" t="s">
        <v>144</v>
      </c>
      <c r="P41" s="445" t="s">
        <v>146</v>
      </c>
      <c r="Q41" s="97">
        <f t="shared" si="3"/>
        <v>10</v>
      </c>
      <c r="R41" s="98">
        <f>IF(O41="P",ROUND(N41/60,2)*J41*Q41*0.01,"--")</f>
        <v>118.37167597282792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42" t="s">
        <v>145</v>
      </c>
      <c r="AC41" s="106">
        <f t="shared" si="14"/>
        <v>118.37167597282792</v>
      </c>
      <c r="AD41" s="107"/>
    </row>
    <row r="42" spans="2:30" s="1" customFormat="1" ht="16.5" customHeight="1">
      <c r="B42" s="108"/>
      <c r="C42" s="79">
        <v>41</v>
      </c>
      <c r="D42" s="77">
        <v>291573</v>
      </c>
      <c r="E42" s="77">
        <v>1429</v>
      </c>
      <c r="F42" s="77" t="s">
        <v>305</v>
      </c>
      <c r="G42" s="77">
        <v>132</v>
      </c>
      <c r="H42" s="90">
        <v>61.5</v>
      </c>
      <c r="I42" s="90" t="s">
        <v>151</v>
      </c>
      <c r="J42" s="454">
        <f t="shared" si="0"/>
        <v>210.93885000000003</v>
      </c>
      <c r="K42" s="449">
        <v>42236.38125</v>
      </c>
      <c r="L42" s="449">
        <v>42236.63958333333</v>
      </c>
      <c r="M42" s="455">
        <f t="shared" si="1"/>
        <v>6.199999999953434</v>
      </c>
      <c r="N42" s="456">
        <f t="shared" si="2"/>
        <v>372</v>
      </c>
      <c r="O42" s="457" t="s">
        <v>144</v>
      </c>
      <c r="P42" s="458" t="s">
        <v>146</v>
      </c>
      <c r="Q42" s="459">
        <f t="shared" si="3"/>
        <v>50</v>
      </c>
      <c r="R42" s="460">
        <f>IF(O42="P",ROUND(N42/60,2)*J42*Q42*0.01,"--")</f>
        <v>653.9104350000001</v>
      </c>
      <c r="S42" s="461" t="str">
        <f t="shared" si="5"/>
        <v>--</v>
      </c>
      <c r="T42" s="462" t="str">
        <f t="shared" si="6"/>
        <v>--</v>
      </c>
      <c r="U42" s="462" t="str">
        <f t="shared" si="7"/>
        <v>--</v>
      </c>
      <c r="V42" s="463" t="str">
        <f t="shared" si="8"/>
        <v>--</v>
      </c>
      <c r="W42" s="464" t="str">
        <f t="shared" si="9"/>
        <v>--</v>
      </c>
      <c r="X42" s="464" t="str">
        <f t="shared" si="10"/>
        <v>--</v>
      </c>
      <c r="Y42" s="465" t="str">
        <f t="shared" si="11"/>
        <v>--</v>
      </c>
      <c r="Z42" s="466" t="str">
        <f t="shared" si="12"/>
        <v>--</v>
      </c>
      <c r="AA42" s="467" t="str">
        <f t="shared" si="13"/>
        <v>--</v>
      </c>
      <c r="AB42" s="468" t="s">
        <v>145</v>
      </c>
      <c r="AC42" s="469">
        <f t="shared" si="14"/>
        <v>653.9104350000001</v>
      </c>
      <c r="AD42" s="107"/>
    </row>
    <row r="43" spans="2:30" s="1" customFormat="1" ht="16.5" customHeight="1" thickBot="1">
      <c r="B43" s="13"/>
      <c r="C43" s="109"/>
      <c r="D43" s="109"/>
      <c r="E43" s="109"/>
      <c r="F43" s="109"/>
      <c r="G43" s="452"/>
      <c r="H43" s="335"/>
      <c r="I43" s="335"/>
      <c r="J43" s="111"/>
      <c r="K43" s="408"/>
      <c r="L43" s="408"/>
      <c r="M43" s="110"/>
      <c r="N43" s="110"/>
      <c r="O43" s="335"/>
      <c r="P43" s="336"/>
      <c r="Q43" s="337"/>
      <c r="R43" s="338"/>
      <c r="S43" s="339"/>
      <c r="T43" s="340"/>
      <c r="U43" s="341"/>
      <c r="V43" s="341"/>
      <c r="W43" s="342"/>
      <c r="X43" s="342"/>
      <c r="Y43" s="342"/>
      <c r="Z43" s="343"/>
      <c r="AA43" s="344"/>
      <c r="AB43" s="345"/>
      <c r="AC43" s="453"/>
      <c r="AD43" s="107"/>
    </row>
    <row r="44" spans="2:30" s="1" customFormat="1" ht="16.5" customHeight="1" thickBot="1" thickTop="1">
      <c r="B44" s="13"/>
      <c r="C44" s="113" t="s">
        <v>67</v>
      </c>
      <c r="D44" s="471" t="s">
        <v>319</v>
      </c>
      <c r="E44" s="129"/>
      <c r="F44" s="114"/>
      <c r="G44" s="115"/>
      <c r="H44" s="116"/>
      <c r="I44" s="116"/>
      <c r="J44" s="117"/>
      <c r="K44" s="117"/>
      <c r="L44" s="117"/>
      <c r="M44" s="117"/>
      <c r="N44" s="117"/>
      <c r="O44" s="117"/>
      <c r="P44" s="118"/>
      <c r="Q44" s="118"/>
      <c r="R44" s="119">
        <f aca="true" t="shared" si="15" ref="R44:AA44">SUM(R19:R43)</f>
        <v>4742.349083435914</v>
      </c>
      <c r="S44" s="120">
        <f t="shared" si="15"/>
        <v>0</v>
      </c>
      <c r="T44" s="121">
        <f t="shared" si="15"/>
        <v>20521.091542991642</v>
      </c>
      <c r="U44" s="121">
        <f t="shared" si="15"/>
        <v>17027.909859206775</v>
      </c>
      <c r="V44" s="121">
        <f t="shared" si="15"/>
        <v>2108.5104192225954</v>
      </c>
      <c r="W44" s="122">
        <f t="shared" si="15"/>
        <v>0</v>
      </c>
      <c r="X44" s="122">
        <f t="shared" si="15"/>
        <v>0</v>
      </c>
      <c r="Y44" s="122">
        <f t="shared" si="15"/>
        <v>0</v>
      </c>
      <c r="Z44" s="123">
        <f t="shared" si="15"/>
        <v>0</v>
      </c>
      <c r="AA44" s="124">
        <f t="shared" si="15"/>
        <v>0</v>
      </c>
      <c r="AB44" s="125"/>
      <c r="AC44" s="418">
        <f>ROUND(SUM(AC19:AC43),2)</f>
        <v>364868.89</v>
      </c>
      <c r="AD44" s="126"/>
    </row>
    <row r="45" spans="2:30" s="127" customFormat="1" ht="9.75" thickTop="1">
      <c r="B45" s="128"/>
      <c r="C45" s="129"/>
      <c r="D45" s="129"/>
      <c r="E45" s="129"/>
      <c r="F45" s="130"/>
      <c r="G45" s="131"/>
      <c r="H45" s="132"/>
      <c r="I45" s="132"/>
      <c r="J45" s="133"/>
      <c r="K45" s="133"/>
      <c r="L45" s="133"/>
      <c r="M45" s="133"/>
      <c r="N45" s="133"/>
      <c r="O45" s="133"/>
      <c r="P45" s="134"/>
      <c r="Q45" s="134"/>
      <c r="R45" s="135"/>
      <c r="S45" s="135"/>
      <c r="T45" s="136"/>
      <c r="U45" s="136"/>
      <c r="V45" s="137"/>
      <c r="W45" s="137"/>
      <c r="X45" s="137"/>
      <c r="Y45" s="137"/>
      <c r="Z45" s="137"/>
      <c r="AA45" s="137"/>
      <c r="AB45" s="137"/>
      <c r="AC45" s="138"/>
      <c r="AD45" s="139"/>
    </row>
    <row r="46" spans="2:30" s="1" customFormat="1" ht="16.5" customHeight="1" thickBo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</row>
    <row r="47" spans="2:30" ht="13.5" thickTop="1">
      <c r="B47" s="143"/>
      <c r="AD47" s="143"/>
    </row>
    <row r="92" ht="12.75">
      <c r="B92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D91"/>
  <sheetViews>
    <sheetView zoomScale="80" zoomScaleNormal="80" zoomScalePageLayoutView="0" workbookViewId="0" topLeftCell="A1">
      <selection activeCell="O35" sqref="O35"/>
    </sheetView>
  </sheetViews>
  <sheetFormatPr defaultColWidth="11.421875" defaultRowHeight="12.75"/>
  <cols>
    <col min="1" max="1" width="19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7.8515625" style="5" hidden="1" customWidth="1"/>
    <col min="11" max="11" width="16.57421875" style="5" customWidth="1"/>
    <col min="12" max="12" width="16.421875" style="5" customWidth="1"/>
    <col min="13" max="15" width="9.7109375" style="5" customWidth="1"/>
    <col min="16" max="16" width="8.7109375" style="5" customWidth="1"/>
    <col min="17" max="17" width="8.421875" style="5" hidden="1" customWidth="1"/>
    <col min="18" max="19" width="11.57421875" style="5" hidden="1" customWidth="1"/>
    <col min="20" max="21" width="7.8515625" style="5" hidden="1" customWidth="1"/>
    <col min="22" max="25" width="5.7109375" style="5" hidden="1" customWidth="1"/>
    <col min="26" max="27" width="11.574218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+'TOT-0815'!B14</f>
        <v>Desde el 01 al 31 de agosto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358.939</v>
      </c>
      <c r="H14" s="37"/>
      <c r="I14" s="38"/>
      <c r="J14" s="34"/>
      <c r="K14" s="34"/>
      <c r="L14" s="39" t="s">
        <v>8</v>
      </c>
      <c r="M14" s="40">
        <f>150*'TOT-0815'!B13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342.99</v>
      </c>
      <c r="H15" s="42"/>
      <c r="I15" s="43"/>
      <c r="J15" s="7"/>
      <c r="K15" s="44"/>
      <c r="L15" s="39" t="s">
        <v>10</v>
      </c>
      <c r="M15" s="40">
        <f>50*'TOT-0815'!B13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342.99</v>
      </c>
      <c r="H16" s="42"/>
      <c r="I16" s="43"/>
      <c r="J16" s="7"/>
      <c r="K16" s="7"/>
      <c r="L16" s="39" t="s">
        <v>12</v>
      </c>
      <c r="M16" s="40">
        <f>10*'TOT-0815'!B13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14"/>
    </row>
    <row r="18" spans="2:30" s="45" customFormat="1" ht="34.5" customHeight="1" thickBot="1" thickTop="1">
      <c r="B18" s="46"/>
      <c r="C18" s="422" t="s">
        <v>13</v>
      </c>
      <c r="D18" s="422" t="s">
        <v>83</v>
      </c>
      <c r="E18" s="422" t="s">
        <v>84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'LI-08 (2)'!AC44</f>
        <v>364868.89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7"/>
      <c r="L20" s="448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42</v>
      </c>
      <c r="D21" s="79">
        <v>291574</v>
      </c>
      <c r="E21" s="79">
        <v>1543</v>
      </c>
      <c r="F21" s="77" t="s">
        <v>163</v>
      </c>
      <c r="G21" s="77">
        <v>132</v>
      </c>
      <c r="H21" s="90">
        <v>24.100000381469727</v>
      </c>
      <c r="I21" s="91" t="s">
        <v>143</v>
      </c>
      <c r="J21" s="92">
        <f aca="true" t="shared" si="0" ref="J21:J41">IF(G21=220,$G$14,IF(G21=132,$G$15,$G$16))*IF(H21&gt;25,H21,25)/100</f>
        <v>85.7475</v>
      </c>
      <c r="K21" s="447">
        <v>42236.38333333333</v>
      </c>
      <c r="L21" s="447">
        <v>42236.71875</v>
      </c>
      <c r="M21" s="94">
        <f aca="true" t="shared" si="1" ref="M21:M41">IF(F21="","",(L21-K21)*24)</f>
        <v>8.050000000046566</v>
      </c>
      <c r="N21" s="95">
        <f aca="true" t="shared" si="2" ref="N21:N41">IF(F21="","",ROUND((L21-K21)*24*60,0))</f>
        <v>483</v>
      </c>
      <c r="O21" s="96" t="s">
        <v>144</v>
      </c>
      <c r="P21" s="445" t="s">
        <v>146</v>
      </c>
      <c r="Q21" s="97">
        <f aca="true" t="shared" si="3" ref="Q21:Q41">IF(I21="A",$M$14,IF(I21="B",$M$15,$M$16))</f>
        <v>10</v>
      </c>
      <c r="R21" s="98">
        <f aca="true" t="shared" si="4" ref="R21:R40">IF(O21="P",ROUND(N21/60,2)*J21*Q21*0.01,"--")</f>
        <v>69.02673750000002</v>
      </c>
      <c r="S21" s="99" t="str">
        <f aca="true" t="shared" si="5" ref="S21:S41">IF(O21="RP",ROUND(N21/60,2)*J21*Q21*0.01*P21/100,"--")</f>
        <v>--</v>
      </c>
      <c r="T21" s="100" t="str">
        <f aca="true" t="shared" si="6" ref="T21:T41">IF(O21="F",J21*Q21,"--")</f>
        <v>--</v>
      </c>
      <c r="U21" s="100" t="str">
        <f aca="true" t="shared" si="7" ref="U21:U41">IF(AND(N21&gt;10,O21="F"),J21*Q21*IF(N21&gt;180,3,ROUND((N21)/60,2)),"--")</f>
        <v>--</v>
      </c>
      <c r="V21" s="101" t="str">
        <f aca="true" t="shared" si="8" ref="V21:V41">IF(AND(O21="F",N21&gt;180),(ROUND(N21/60,2)-3)*J21*Q21*0.1,"--")</f>
        <v>--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42" t="s">
        <v>145</v>
      </c>
      <c r="AC21" s="106">
        <f aca="true" t="shared" si="14" ref="AC21:AC41">IF(F21="","",SUM(R21:AA21)*IF(AB21="SI",1,2))</f>
        <v>69.02673750000002</v>
      </c>
      <c r="AD21" s="107"/>
    </row>
    <row r="22" spans="2:30" s="1" customFormat="1" ht="16.5" customHeight="1">
      <c r="B22" s="13"/>
      <c r="C22" s="79">
        <v>43</v>
      </c>
      <c r="D22" s="79">
        <v>291583</v>
      </c>
      <c r="E22" s="79">
        <v>1543</v>
      </c>
      <c r="F22" s="77" t="s">
        <v>163</v>
      </c>
      <c r="G22" s="77">
        <v>132</v>
      </c>
      <c r="H22" s="90">
        <v>24.100000381469727</v>
      </c>
      <c r="I22" s="91" t="s">
        <v>143</v>
      </c>
      <c r="J22" s="92">
        <f t="shared" si="0"/>
        <v>85.7475</v>
      </c>
      <c r="K22" s="447">
        <v>42237.376388888886</v>
      </c>
      <c r="L22" s="447">
        <v>42237.61736111111</v>
      </c>
      <c r="M22" s="94">
        <f t="shared" si="1"/>
        <v>5.783333333325572</v>
      </c>
      <c r="N22" s="95">
        <f t="shared" si="2"/>
        <v>347</v>
      </c>
      <c r="O22" s="96" t="s">
        <v>144</v>
      </c>
      <c r="P22" s="445" t="s">
        <v>146</v>
      </c>
      <c r="Q22" s="97">
        <f t="shared" si="3"/>
        <v>10</v>
      </c>
      <c r="R22" s="98">
        <f t="shared" si="4"/>
        <v>49.562055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2" t="s">
        <v>145</v>
      </c>
      <c r="AC22" s="106">
        <f t="shared" si="14"/>
        <v>49.562055</v>
      </c>
      <c r="AD22" s="107"/>
    </row>
    <row r="23" spans="2:30" s="1" customFormat="1" ht="16.5" customHeight="1">
      <c r="B23" s="13"/>
      <c r="C23" s="79">
        <v>44</v>
      </c>
      <c r="D23" s="79">
        <v>291584</v>
      </c>
      <c r="E23" s="79">
        <v>1452</v>
      </c>
      <c r="F23" s="77" t="s">
        <v>168</v>
      </c>
      <c r="G23" s="77">
        <v>132</v>
      </c>
      <c r="H23" s="90">
        <v>51.5099983215332</v>
      </c>
      <c r="I23" s="91" t="s">
        <v>143</v>
      </c>
      <c r="J23" s="92">
        <f t="shared" si="0"/>
        <v>176.67414324302675</v>
      </c>
      <c r="K23" s="447">
        <v>42237.385416666664</v>
      </c>
      <c r="L23" s="447">
        <v>42237.66180555556</v>
      </c>
      <c r="M23" s="94">
        <f t="shared" si="1"/>
        <v>6.633333333476912</v>
      </c>
      <c r="N23" s="95">
        <f t="shared" si="2"/>
        <v>398</v>
      </c>
      <c r="O23" s="96" t="s">
        <v>144</v>
      </c>
      <c r="P23" s="445" t="s">
        <v>146</v>
      </c>
      <c r="Q23" s="97">
        <f t="shared" si="3"/>
        <v>10</v>
      </c>
      <c r="R23" s="98">
        <f t="shared" si="4"/>
        <v>117.13495697012674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2" t="s">
        <v>145</v>
      </c>
      <c r="AC23" s="106">
        <f t="shared" si="14"/>
        <v>117.13495697012674</v>
      </c>
      <c r="AD23" s="107"/>
    </row>
    <row r="24" spans="2:30" s="1" customFormat="1" ht="16.5" customHeight="1">
      <c r="B24" s="13"/>
      <c r="C24" s="79">
        <v>45</v>
      </c>
      <c r="D24" s="79">
        <v>291593</v>
      </c>
      <c r="E24" s="79">
        <v>4716</v>
      </c>
      <c r="F24" s="77" t="s">
        <v>318</v>
      </c>
      <c r="G24" s="77">
        <v>132</v>
      </c>
      <c r="H24" s="90">
        <v>16.33</v>
      </c>
      <c r="I24" s="91" t="s">
        <v>154</v>
      </c>
      <c r="J24" s="92">
        <f t="shared" si="0"/>
        <v>85.7475</v>
      </c>
      <c r="K24" s="447">
        <v>42239.17986111111</v>
      </c>
      <c r="L24" s="447">
        <v>42239.74791666667</v>
      </c>
      <c r="M24" s="94">
        <f>IF(F24="","",(L24-K24)*24)</f>
        <v>13.633333333418705</v>
      </c>
      <c r="N24" s="95">
        <f>IF(F24="","",ROUND((L24-K24)*24*60,0))</f>
        <v>818</v>
      </c>
      <c r="O24" s="96" t="s">
        <v>144</v>
      </c>
      <c r="P24" s="445" t="s">
        <v>146</v>
      </c>
      <c r="Q24" s="97">
        <f>IF(I24="A",$M$14,IF(I24="B",$M$15,$M$16))</f>
        <v>150</v>
      </c>
      <c r="R24" s="98">
        <f>IF(O24="P",ROUND(N24/60,2)*J24*Q24*0.01,"--")</f>
        <v>1753.1076375000002</v>
      </c>
      <c r="S24" s="99" t="str">
        <f>IF(O24="RP",ROUND(N24/60,2)*J24*Q24*0.01*P24/100,"--")</f>
        <v>--</v>
      </c>
      <c r="T24" s="100" t="str">
        <f>IF(O24="F",J24*Q24,"--")</f>
        <v>--</v>
      </c>
      <c r="U24" s="100" t="str">
        <f>IF(AND(N24&gt;10,O24="F"),J24*Q24*IF(N24&gt;180,3,ROUND((N24)/60,2)),"--")</f>
        <v>--</v>
      </c>
      <c r="V24" s="101" t="str">
        <f>IF(AND(O24="F",N24&gt;180),(ROUND(N24/60,2)-3)*J24*Q24*0.1,"--")</f>
        <v>--</v>
      </c>
      <c r="W24" s="102" t="str">
        <f>IF(O24="R",J24*Q24*P24/100,"--")</f>
        <v>--</v>
      </c>
      <c r="X24" s="102" t="str">
        <f>IF(AND(N24&gt;10,O24="R"),Q24*J24*P24/100*IF(N24&gt;180,3,ROUND((N24)/60,2)),"--")</f>
        <v>--</v>
      </c>
      <c r="Y24" s="103" t="str">
        <f>IF(AND(O24="R",N24&gt;180),(ROUND(N24/60,2)-3)*J24*Q24*0.1*P24/100,"--")</f>
        <v>--</v>
      </c>
      <c r="Z24" s="104" t="str">
        <f>IF(O24="RF",ROUND(N24/60,2)*J24*Q24*0.1,"--")</f>
        <v>--</v>
      </c>
      <c r="AA24" s="105" t="str">
        <f>IF(O24="RR",ROUND(N24/60,2)*J24*Q24*0.1*P24/100,"--")</f>
        <v>--</v>
      </c>
      <c r="AB24" s="442" t="s">
        <v>145</v>
      </c>
      <c r="AC24" s="106">
        <f>IF(F24="","",SUM(R24:AA24)*IF(AB24="SI",1,2))</f>
        <v>1753.1076375000002</v>
      </c>
      <c r="AD24" s="107"/>
    </row>
    <row r="25" spans="2:30" s="1" customFormat="1" ht="16.5" customHeight="1">
      <c r="B25" s="13"/>
      <c r="C25" s="79">
        <v>46</v>
      </c>
      <c r="D25" s="79">
        <v>291603</v>
      </c>
      <c r="E25" s="79">
        <v>1449</v>
      </c>
      <c r="F25" s="77" t="s">
        <v>170</v>
      </c>
      <c r="G25" s="77">
        <v>132</v>
      </c>
      <c r="H25" s="90">
        <v>133.1999969482422</v>
      </c>
      <c r="I25" s="91" t="s">
        <v>154</v>
      </c>
      <c r="J25" s="92">
        <f t="shared" si="0"/>
        <v>456.8626695327759</v>
      </c>
      <c r="K25" s="447">
        <v>42239.36597222222</v>
      </c>
      <c r="L25" s="447">
        <v>42239.72222222222</v>
      </c>
      <c r="M25" s="94">
        <f t="shared" si="1"/>
        <v>8.54999999993015</v>
      </c>
      <c r="N25" s="95">
        <f t="shared" si="2"/>
        <v>513</v>
      </c>
      <c r="O25" s="96" t="s">
        <v>144</v>
      </c>
      <c r="P25" s="445" t="s">
        <v>146</v>
      </c>
      <c r="Q25" s="97">
        <f t="shared" si="3"/>
        <v>150</v>
      </c>
      <c r="R25" s="98">
        <f t="shared" si="4"/>
        <v>5859.263736757852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2" t="s">
        <v>145</v>
      </c>
      <c r="AC25" s="106">
        <f t="shared" si="14"/>
        <v>5859.263736757852</v>
      </c>
      <c r="AD25" s="107"/>
    </row>
    <row r="26" spans="2:30" s="1" customFormat="1" ht="16.5" customHeight="1">
      <c r="B26" s="13"/>
      <c r="C26" s="79">
        <v>47</v>
      </c>
      <c r="D26" s="79">
        <v>291704</v>
      </c>
      <c r="E26" s="79">
        <v>1535</v>
      </c>
      <c r="F26" s="77" t="s">
        <v>160</v>
      </c>
      <c r="G26" s="77">
        <v>132</v>
      </c>
      <c r="H26" s="90">
        <v>29.799999237060547</v>
      </c>
      <c r="I26" s="91" t="s">
        <v>143</v>
      </c>
      <c r="J26" s="92">
        <f t="shared" si="0"/>
        <v>102.21101738319398</v>
      </c>
      <c r="K26" s="447">
        <v>42240.46527777778</v>
      </c>
      <c r="L26" s="447">
        <v>42240.60902777778</v>
      </c>
      <c r="M26" s="94">
        <f t="shared" si="1"/>
        <v>3.449999999895226</v>
      </c>
      <c r="N26" s="95">
        <f t="shared" si="2"/>
        <v>207</v>
      </c>
      <c r="O26" s="96" t="s">
        <v>144</v>
      </c>
      <c r="P26" s="445" t="s">
        <v>146</v>
      </c>
      <c r="Q26" s="97">
        <f t="shared" si="3"/>
        <v>10</v>
      </c>
      <c r="R26" s="98">
        <f t="shared" si="4"/>
        <v>35.26280099720193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2" t="s">
        <v>145</v>
      </c>
      <c r="AC26" s="106">
        <f t="shared" si="14"/>
        <v>35.26280099720193</v>
      </c>
      <c r="AD26" s="107"/>
    </row>
    <row r="27" spans="2:30" s="1" customFormat="1" ht="16.5" customHeight="1">
      <c r="B27" s="13"/>
      <c r="C27" s="79">
        <v>48</v>
      </c>
      <c r="D27" s="79">
        <v>291705</v>
      </c>
      <c r="E27" s="79">
        <v>1444</v>
      </c>
      <c r="F27" s="77" t="s">
        <v>171</v>
      </c>
      <c r="G27" s="77">
        <v>132</v>
      </c>
      <c r="H27" s="90">
        <v>64.4000015258789</v>
      </c>
      <c r="I27" s="91" t="s">
        <v>143</v>
      </c>
      <c r="J27" s="92">
        <f t="shared" si="0"/>
        <v>220.88556523361206</v>
      </c>
      <c r="K27" s="447">
        <v>42241.29722222222</v>
      </c>
      <c r="L27" s="447">
        <v>42241.71805555555</v>
      </c>
      <c r="M27" s="94">
        <f t="shared" si="1"/>
        <v>10.09999999991851</v>
      </c>
      <c r="N27" s="95">
        <f t="shared" si="2"/>
        <v>606</v>
      </c>
      <c r="O27" s="93" t="s">
        <v>144</v>
      </c>
      <c r="P27" s="445" t="s">
        <v>146</v>
      </c>
      <c r="Q27" s="97">
        <f t="shared" si="3"/>
        <v>10</v>
      </c>
      <c r="R27" s="98">
        <f t="shared" si="4"/>
        <v>223.09442088594813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2" t="s">
        <v>145</v>
      </c>
      <c r="AC27" s="106">
        <f t="shared" si="14"/>
        <v>223.09442088594813</v>
      </c>
      <c r="AD27" s="107"/>
    </row>
    <row r="28" spans="2:30" s="1" customFormat="1" ht="16.5" customHeight="1">
      <c r="B28" s="13"/>
      <c r="C28" s="79">
        <v>49</v>
      </c>
      <c r="D28" s="79">
        <v>291706</v>
      </c>
      <c r="E28" s="79">
        <v>1536</v>
      </c>
      <c r="F28" s="77" t="s">
        <v>152</v>
      </c>
      <c r="G28" s="77">
        <v>66</v>
      </c>
      <c r="H28" s="90">
        <v>46.79999923706055</v>
      </c>
      <c r="I28" s="91" t="s">
        <v>143</v>
      </c>
      <c r="J28" s="92">
        <f t="shared" si="0"/>
        <v>160.51931738319396</v>
      </c>
      <c r="K28" s="447">
        <v>42241.35</v>
      </c>
      <c r="L28" s="447">
        <v>42241.59166666667</v>
      </c>
      <c r="M28" s="94">
        <f t="shared" si="1"/>
        <v>5.800000000046566</v>
      </c>
      <c r="N28" s="95">
        <f t="shared" si="2"/>
        <v>348</v>
      </c>
      <c r="O28" s="93" t="s">
        <v>144</v>
      </c>
      <c r="P28" s="445" t="s">
        <v>146</v>
      </c>
      <c r="Q28" s="97">
        <f t="shared" si="3"/>
        <v>10</v>
      </c>
      <c r="R28" s="98">
        <f t="shared" si="4"/>
        <v>93.1012040822525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2" t="s">
        <v>145</v>
      </c>
      <c r="AC28" s="106">
        <f t="shared" si="14"/>
        <v>93.1012040822525</v>
      </c>
      <c r="AD28" s="107"/>
    </row>
    <row r="29" spans="2:30" s="1" customFormat="1" ht="16.5" customHeight="1">
      <c r="B29" s="13"/>
      <c r="C29" s="79">
        <v>50</v>
      </c>
      <c r="D29" s="79">
        <v>291710</v>
      </c>
      <c r="E29" s="79">
        <v>1424</v>
      </c>
      <c r="F29" s="77" t="s">
        <v>172</v>
      </c>
      <c r="G29" s="77">
        <v>132</v>
      </c>
      <c r="H29" s="90">
        <v>22.100000381469727</v>
      </c>
      <c r="I29" s="91" t="s">
        <v>143</v>
      </c>
      <c r="J29" s="92">
        <f t="shared" si="0"/>
        <v>85.7475</v>
      </c>
      <c r="K29" s="447">
        <v>42241.36875</v>
      </c>
      <c r="L29" s="447">
        <v>42241.395833333336</v>
      </c>
      <c r="M29" s="94">
        <f t="shared" si="1"/>
        <v>0.6500000000232831</v>
      </c>
      <c r="N29" s="95">
        <f t="shared" si="2"/>
        <v>39</v>
      </c>
      <c r="O29" s="93" t="s">
        <v>149</v>
      </c>
      <c r="P29" s="445" t="s">
        <v>146</v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857.475</v>
      </c>
      <c r="U29" s="100">
        <f t="shared" si="7"/>
        <v>557.35875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2" t="s">
        <v>145</v>
      </c>
      <c r="AC29" s="106">
        <f t="shared" si="14"/>
        <v>1414.83375</v>
      </c>
      <c r="AD29" s="107"/>
    </row>
    <row r="30" spans="2:30" s="1" customFormat="1" ht="16.5" customHeight="1">
      <c r="B30" s="13"/>
      <c r="C30" s="79">
        <v>51</v>
      </c>
      <c r="D30" s="79">
        <v>291712</v>
      </c>
      <c r="E30" s="79">
        <v>4702</v>
      </c>
      <c r="F30" s="77" t="s">
        <v>173</v>
      </c>
      <c r="G30" s="77">
        <v>132</v>
      </c>
      <c r="H30" s="90">
        <v>48.599998474121094</v>
      </c>
      <c r="I30" s="91" t="s">
        <v>143</v>
      </c>
      <c r="J30" s="92">
        <f t="shared" si="0"/>
        <v>166.69313476638797</v>
      </c>
      <c r="K30" s="447">
        <v>42241.46944444445</v>
      </c>
      <c r="L30" s="447">
        <v>42241.525</v>
      </c>
      <c r="M30" s="94">
        <f t="shared" si="1"/>
        <v>1.3333333333139308</v>
      </c>
      <c r="N30" s="95">
        <f t="shared" si="2"/>
        <v>80</v>
      </c>
      <c r="O30" s="93" t="s">
        <v>144</v>
      </c>
      <c r="P30" s="445" t="s">
        <v>146</v>
      </c>
      <c r="Q30" s="97">
        <f t="shared" si="3"/>
        <v>10</v>
      </c>
      <c r="R30" s="98">
        <f t="shared" si="4"/>
        <v>22.170186923929602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2" t="s">
        <v>145</v>
      </c>
      <c r="AC30" s="106">
        <f t="shared" si="14"/>
        <v>22.170186923929602</v>
      </c>
      <c r="AD30" s="107"/>
    </row>
    <row r="31" spans="2:30" s="1" customFormat="1" ht="16.5" customHeight="1">
      <c r="B31" s="13"/>
      <c r="C31" s="79">
        <v>52</v>
      </c>
      <c r="D31" s="79">
        <v>291716</v>
      </c>
      <c r="E31" s="79">
        <v>3535</v>
      </c>
      <c r="F31" s="77" t="s">
        <v>174</v>
      </c>
      <c r="G31" s="77">
        <v>132</v>
      </c>
      <c r="H31" s="90">
        <v>24</v>
      </c>
      <c r="I31" s="91" t="s">
        <v>143</v>
      </c>
      <c r="J31" s="92">
        <f t="shared" si="0"/>
        <v>85.7475</v>
      </c>
      <c r="K31" s="447">
        <v>42242.32777777778</v>
      </c>
      <c r="L31" s="447">
        <v>42242.69930555556</v>
      </c>
      <c r="M31" s="94">
        <f t="shared" si="1"/>
        <v>8.916666666744277</v>
      </c>
      <c r="N31" s="95">
        <f t="shared" si="2"/>
        <v>535</v>
      </c>
      <c r="O31" s="93" t="s">
        <v>144</v>
      </c>
      <c r="P31" s="445" t="s">
        <v>146</v>
      </c>
      <c r="Q31" s="97">
        <f t="shared" si="3"/>
        <v>10</v>
      </c>
      <c r="R31" s="98">
        <f t="shared" si="4"/>
        <v>76.48676999999999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2" t="s">
        <v>145</v>
      </c>
      <c r="AC31" s="106">
        <f t="shared" si="14"/>
        <v>76.48676999999999</v>
      </c>
      <c r="AD31" s="107"/>
    </row>
    <row r="32" spans="2:30" s="1" customFormat="1" ht="16.5" customHeight="1">
      <c r="B32" s="13"/>
      <c r="C32" s="79">
        <v>53</v>
      </c>
      <c r="D32" s="79">
        <v>291718</v>
      </c>
      <c r="E32" s="79">
        <v>4096</v>
      </c>
      <c r="F32" s="77" t="s">
        <v>156</v>
      </c>
      <c r="G32" s="77">
        <v>132</v>
      </c>
      <c r="H32" s="90">
        <v>58.400001525878906</v>
      </c>
      <c r="I32" s="91" t="s">
        <v>143</v>
      </c>
      <c r="J32" s="92">
        <f t="shared" si="0"/>
        <v>200.3061652336121</v>
      </c>
      <c r="K32" s="447">
        <v>42242.38611111111</v>
      </c>
      <c r="L32" s="447">
        <v>42242.71597222222</v>
      </c>
      <c r="M32" s="94">
        <f t="shared" si="1"/>
        <v>7.916666666627862</v>
      </c>
      <c r="N32" s="95">
        <f t="shared" si="2"/>
        <v>475</v>
      </c>
      <c r="O32" s="93" t="s">
        <v>144</v>
      </c>
      <c r="P32" s="445" t="s">
        <v>146</v>
      </c>
      <c r="Q32" s="97">
        <f t="shared" si="3"/>
        <v>10</v>
      </c>
      <c r="R32" s="98">
        <f t="shared" si="4"/>
        <v>158.64248286502078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2" t="s">
        <v>145</v>
      </c>
      <c r="AC32" s="106">
        <f t="shared" si="14"/>
        <v>158.64248286502078</v>
      </c>
      <c r="AD32" s="107"/>
    </row>
    <row r="33" spans="2:30" s="1" customFormat="1" ht="16.5" customHeight="1">
      <c r="B33" s="13"/>
      <c r="C33" s="79">
        <v>54</v>
      </c>
      <c r="D33" s="79">
        <v>291722</v>
      </c>
      <c r="E33" s="79">
        <v>1427</v>
      </c>
      <c r="F33" s="77" t="s">
        <v>175</v>
      </c>
      <c r="G33" s="77">
        <v>132</v>
      </c>
      <c r="H33" s="90">
        <v>10.899999618530273</v>
      </c>
      <c r="I33" s="91" t="s">
        <v>151</v>
      </c>
      <c r="J33" s="92">
        <f t="shared" si="0"/>
        <v>85.7475</v>
      </c>
      <c r="K33" s="447">
        <v>42242.40694444445</v>
      </c>
      <c r="L33" s="447">
        <v>42242.64722222222</v>
      </c>
      <c r="M33" s="94">
        <f t="shared" si="1"/>
        <v>5.7666666666045785</v>
      </c>
      <c r="N33" s="95">
        <f t="shared" si="2"/>
        <v>346</v>
      </c>
      <c r="O33" s="93" t="s">
        <v>144</v>
      </c>
      <c r="P33" s="445" t="s">
        <v>146</v>
      </c>
      <c r="Q33" s="97">
        <f t="shared" si="3"/>
        <v>50</v>
      </c>
      <c r="R33" s="98">
        <f t="shared" si="4"/>
        <v>247.38153749999998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2" t="s">
        <v>145</v>
      </c>
      <c r="AC33" s="106">
        <f t="shared" si="14"/>
        <v>247.38153749999998</v>
      </c>
      <c r="AD33" s="107"/>
    </row>
    <row r="34" spans="2:30" s="1" customFormat="1" ht="16.5" customHeight="1">
      <c r="B34" s="13"/>
      <c r="C34" s="79">
        <v>55</v>
      </c>
      <c r="D34" s="79">
        <v>291725</v>
      </c>
      <c r="E34" s="79">
        <v>1535</v>
      </c>
      <c r="F34" s="77" t="s">
        <v>160</v>
      </c>
      <c r="G34" s="77">
        <v>132</v>
      </c>
      <c r="H34" s="90">
        <v>29.799999237060547</v>
      </c>
      <c r="I34" s="91" t="s">
        <v>143</v>
      </c>
      <c r="J34" s="92">
        <f t="shared" si="0"/>
        <v>102.21101738319398</v>
      </c>
      <c r="K34" s="447">
        <v>42242.425</v>
      </c>
      <c r="L34" s="447">
        <v>42242.60138888889</v>
      </c>
      <c r="M34" s="94">
        <f t="shared" si="1"/>
        <v>4.233333333337214</v>
      </c>
      <c r="N34" s="95">
        <f t="shared" si="2"/>
        <v>254</v>
      </c>
      <c r="O34" s="93" t="s">
        <v>144</v>
      </c>
      <c r="P34" s="445" t="s">
        <v>146</v>
      </c>
      <c r="Q34" s="97">
        <f t="shared" si="3"/>
        <v>10</v>
      </c>
      <c r="R34" s="98">
        <f t="shared" si="4"/>
        <v>43.235260353091064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2" t="s">
        <v>145</v>
      </c>
      <c r="AC34" s="106">
        <f t="shared" si="14"/>
        <v>43.235260353091064</v>
      </c>
      <c r="AD34" s="107"/>
    </row>
    <row r="35" spans="2:30" s="1" customFormat="1" ht="16.5" customHeight="1">
      <c r="B35" s="108"/>
      <c r="C35" s="79">
        <v>56</v>
      </c>
      <c r="D35" s="79">
        <v>291727</v>
      </c>
      <c r="E35" s="79">
        <v>4077</v>
      </c>
      <c r="F35" s="77" t="s">
        <v>158</v>
      </c>
      <c r="G35" s="77">
        <v>132</v>
      </c>
      <c r="H35" s="90">
        <v>19.600000381469727</v>
      </c>
      <c r="I35" s="91" t="s">
        <v>143</v>
      </c>
      <c r="J35" s="92">
        <f t="shared" si="0"/>
        <v>85.7475</v>
      </c>
      <c r="K35" s="447">
        <v>42242.433333333334</v>
      </c>
      <c r="L35" s="447">
        <v>42242.538194444445</v>
      </c>
      <c r="M35" s="94">
        <f t="shared" si="1"/>
        <v>2.516666666662786</v>
      </c>
      <c r="N35" s="95">
        <f t="shared" si="2"/>
        <v>151</v>
      </c>
      <c r="O35" s="93" t="s">
        <v>144</v>
      </c>
      <c r="P35" s="445" t="s">
        <v>146</v>
      </c>
      <c r="Q35" s="97">
        <f t="shared" si="3"/>
        <v>10</v>
      </c>
      <c r="R35" s="98">
        <f t="shared" si="4"/>
        <v>21.60837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2" t="s">
        <v>145</v>
      </c>
      <c r="AC35" s="106">
        <v>0</v>
      </c>
      <c r="AD35" s="107"/>
    </row>
    <row r="36" spans="2:30" s="1" customFormat="1" ht="16.5" customHeight="1">
      <c r="B36" s="108"/>
      <c r="C36" s="79">
        <v>57</v>
      </c>
      <c r="D36" s="79">
        <v>291732</v>
      </c>
      <c r="E36" s="79">
        <v>4096</v>
      </c>
      <c r="F36" s="77" t="s">
        <v>156</v>
      </c>
      <c r="G36" s="77">
        <v>132</v>
      </c>
      <c r="H36" s="90">
        <v>58.400001525878906</v>
      </c>
      <c r="I36" s="91" t="s">
        <v>143</v>
      </c>
      <c r="J36" s="92">
        <f t="shared" si="0"/>
        <v>200.3061652336121</v>
      </c>
      <c r="K36" s="447">
        <v>42243.356944444444</v>
      </c>
      <c r="L36" s="447">
        <v>42243.720138888886</v>
      </c>
      <c r="M36" s="94">
        <f t="shared" si="1"/>
        <v>8.71666666661622</v>
      </c>
      <c r="N36" s="95">
        <f t="shared" si="2"/>
        <v>523</v>
      </c>
      <c r="O36" s="93" t="s">
        <v>144</v>
      </c>
      <c r="P36" s="445" t="s">
        <v>146</v>
      </c>
      <c r="Q36" s="97">
        <f t="shared" si="3"/>
        <v>10</v>
      </c>
      <c r="R36" s="98">
        <f t="shared" si="4"/>
        <v>174.66697608370976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2" t="s">
        <v>145</v>
      </c>
      <c r="AC36" s="106">
        <f t="shared" si="14"/>
        <v>174.66697608370976</v>
      </c>
      <c r="AD36" s="107"/>
    </row>
    <row r="37" spans="2:30" s="1" customFormat="1" ht="16.5" customHeight="1">
      <c r="B37" s="108"/>
      <c r="C37" s="79">
        <v>58</v>
      </c>
      <c r="D37" s="79">
        <v>291733</v>
      </c>
      <c r="E37" s="79">
        <v>1535</v>
      </c>
      <c r="F37" s="77" t="s">
        <v>160</v>
      </c>
      <c r="G37" s="77">
        <v>132</v>
      </c>
      <c r="H37" s="90">
        <v>29.799999237060547</v>
      </c>
      <c r="I37" s="91" t="s">
        <v>143</v>
      </c>
      <c r="J37" s="92">
        <f t="shared" si="0"/>
        <v>102.21101738319398</v>
      </c>
      <c r="K37" s="447">
        <v>42243.36041666667</v>
      </c>
      <c r="L37" s="447">
        <v>42243.60208333333</v>
      </c>
      <c r="M37" s="94">
        <f t="shared" si="1"/>
        <v>5.799999999871943</v>
      </c>
      <c r="N37" s="95">
        <f t="shared" si="2"/>
        <v>348</v>
      </c>
      <c r="O37" s="93" t="s">
        <v>144</v>
      </c>
      <c r="P37" s="445" t="s">
        <v>146</v>
      </c>
      <c r="Q37" s="97">
        <f t="shared" si="3"/>
        <v>10</v>
      </c>
      <c r="R37" s="98">
        <f t="shared" si="4"/>
        <v>59.282390082252505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2" t="s">
        <v>145</v>
      </c>
      <c r="AC37" s="106">
        <f t="shared" si="14"/>
        <v>59.282390082252505</v>
      </c>
      <c r="AD37" s="107"/>
    </row>
    <row r="38" spans="2:30" s="1" customFormat="1" ht="16.5" customHeight="1">
      <c r="B38" s="108"/>
      <c r="C38" s="79">
        <v>59</v>
      </c>
      <c r="D38" s="79">
        <v>291742</v>
      </c>
      <c r="E38" s="79">
        <v>1533</v>
      </c>
      <c r="F38" s="77" t="s">
        <v>169</v>
      </c>
      <c r="G38" s="77">
        <v>132</v>
      </c>
      <c r="H38" s="90">
        <v>151</v>
      </c>
      <c r="I38" s="91" t="s">
        <v>143</v>
      </c>
      <c r="J38" s="92">
        <f t="shared" si="0"/>
        <v>517.9149</v>
      </c>
      <c r="K38" s="447">
        <v>42244.350694444445</v>
      </c>
      <c r="L38" s="447">
        <v>42244.72083333333</v>
      </c>
      <c r="M38" s="94">
        <f t="shared" si="1"/>
        <v>8.88333333330229</v>
      </c>
      <c r="N38" s="95">
        <f t="shared" si="2"/>
        <v>533</v>
      </c>
      <c r="O38" s="93" t="s">
        <v>144</v>
      </c>
      <c r="P38" s="445" t="s">
        <v>146</v>
      </c>
      <c r="Q38" s="97">
        <f t="shared" si="3"/>
        <v>10</v>
      </c>
      <c r="R38" s="98">
        <f t="shared" si="4"/>
        <v>459.9084312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2" t="s">
        <v>145</v>
      </c>
      <c r="AC38" s="106">
        <f t="shared" si="14"/>
        <v>459.9084312</v>
      </c>
      <c r="AD38" s="107"/>
    </row>
    <row r="39" spans="2:30" s="1" customFormat="1" ht="16.5" customHeight="1">
      <c r="B39" s="108"/>
      <c r="C39" s="79">
        <v>60</v>
      </c>
      <c r="D39" s="79">
        <v>291743</v>
      </c>
      <c r="E39" s="79">
        <v>4096</v>
      </c>
      <c r="F39" s="77" t="s">
        <v>156</v>
      </c>
      <c r="G39" s="77">
        <v>132</v>
      </c>
      <c r="H39" s="90">
        <v>58.400001525878906</v>
      </c>
      <c r="I39" s="91" t="s">
        <v>143</v>
      </c>
      <c r="J39" s="92">
        <f t="shared" si="0"/>
        <v>200.3061652336121</v>
      </c>
      <c r="K39" s="447">
        <v>42244.354166666664</v>
      </c>
      <c r="L39" s="447">
        <v>42244.65694444445</v>
      </c>
      <c r="M39" s="94">
        <f t="shared" si="1"/>
        <v>7.2666666667792015</v>
      </c>
      <c r="N39" s="95">
        <f t="shared" si="2"/>
        <v>436</v>
      </c>
      <c r="O39" s="93" t="s">
        <v>144</v>
      </c>
      <c r="P39" s="445" t="s">
        <v>146</v>
      </c>
      <c r="Q39" s="97">
        <f t="shared" si="3"/>
        <v>10</v>
      </c>
      <c r="R39" s="98">
        <f t="shared" si="4"/>
        <v>145.622582124836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2" t="s">
        <v>145</v>
      </c>
      <c r="AC39" s="106">
        <f t="shared" si="14"/>
        <v>145.622582124836</v>
      </c>
      <c r="AD39" s="107"/>
    </row>
    <row r="40" spans="2:30" s="1" customFormat="1" ht="16.5" customHeight="1">
      <c r="B40" s="108"/>
      <c r="C40" s="79">
        <v>61</v>
      </c>
      <c r="D40" s="79">
        <v>291754</v>
      </c>
      <c r="E40" s="79">
        <v>3829</v>
      </c>
      <c r="F40" s="77" t="s">
        <v>176</v>
      </c>
      <c r="G40" s="77">
        <v>132</v>
      </c>
      <c r="H40" s="90">
        <v>139.39999389648438</v>
      </c>
      <c r="I40" s="91" t="s">
        <v>143</v>
      </c>
      <c r="J40" s="92">
        <f t="shared" si="0"/>
        <v>478.1280390655518</v>
      </c>
      <c r="K40" s="447">
        <v>42245.373611111114</v>
      </c>
      <c r="L40" s="447">
        <v>42245.73263888889</v>
      </c>
      <c r="M40" s="94">
        <f t="shared" si="1"/>
        <v>8.616666666639503</v>
      </c>
      <c r="N40" s="95">
        <f t="shared" si="2"/>
        <v>517</v>
      </c>
      <c r="O40" s="93" t="s">
        <v>144</v>
      </c>
      <c r="P40" s="445" t="s">
        <v>146</v>
      </c>
      <c r="Q40" s="97">
        <f t="shared" si="3"/>
        <v>10</v>
      </c>
      <c r="R40" s="98">
        <f t="shared" si="4"/>
        <v>412.14636967450565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2" t="s">
        <v>145</v>
      </c>
      <c r="AC40" s="106">
        <f t="shared" si="14"/>
        <v>412.14636967450565</v>
      </c>
      <c r="AD40" s="107"/>
    </row>
    <row r="41" spans="2:30" s="1" customFormat="1" ht="16.5" customHeight="1">
      <c r="B41" s="108"/>
      <c r="C41" s="79">
        <v>62</v>
      </c>
      <c r="D41" s="79">
        <v>291760</v>
      </c>
      <c r="E41" s="79">
        <v>1402</v>
      </c>
      <c r="F41" s="77" t="s">
        <v>153</v>
      </c>
      <c r="G41" s="77">
        <v>132</v>
      </c>
      <c r="H41" s="90">
        <v>105.4000015258789</v>
      </c>
      <c r="I41" s="91" t="s">
        <v>154</v>
      </c>
      <c r="J41" s="92">
        <f t="shared" si="0"/>
        <v>361.51146523361206</v>
      </c>
      <c r="K41" s="447">
        <v>42246.354166666664</v>
      </c>
      <c r="L41" s="447">
        <v>42246.69583333333</v>
      </c>
      <c r="M41" s="94">
        <f t="shared" si="1"/>
        <v>8.200000000011642</v>
      </c>
      <c r="N41" s="95">
        <f t="shared" si="2"/>
        <v>492</v>
      </c>
      <c r="O41" s="93" t="s">
        <v>144</v>
      </c>
      <c r="P41" s="445" t="s">
        <v>146</v>
      </c>
      <c r="Q41" s="97">
        <f t="shared" si="3"/>
        <v>150</v>
      </c>
      <c r="R41" s="98">
        <f>IF(O41="P",ROUND(N41/60,2)*J41*Q41*0.01,"--")</f>
        <v>4446.591022373428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42" t="s">
        <v>145</v>
      </c>
      <c r="AC41" s="106">
        <f t="shared" si="14"/>
        <v>4446.591022373428</v>
      </c>
      <c r="AD41" s="107"/>
    </row>
    <row r="42" spans="2:30" s="1" customFormat="1" ht="16.5" customHeight="1" thickBot="1">
      <c r="B42" s="13"/>
      <c r="C42" s="109"/>
      <c r="D42" s="109"/>
      <c r="E42" s="109"/>
      <c r="F42" s="333"/>
      <c r="G42" s="334"/>
      <c r="H42" s="335"/>
      <c r="I42" s="335"/>
      <c r="J42" s="111"/>
      <c r="K42" s="408"/>
      <c r="L42" s="408"/>
      <c r="M42" s="110"/>
      <c r="N42" s="110"/>
      <c r="O42" s="335"/>
      <c r="P42" s="336"/>
      <c r="Q42" s="337"/>
      <c r="R42" s="338"/>
      <c r="S42" s="339"/>
      <c r="T42" s="340"/>
      <c r="U42" s="341"/>
      <c r="V42" s="341"/>
      <c r="W42" s="342"/>
      <c r="X42" s="342"/>
      <c r="Y42" s="342"/>
      <c r="Z42" s="343"/>
      <c r="AA42" s="344"/>
      <c r="AB42" s="345"/>
      <c r="AC42" s="112"/>
      <c r="AD42" s="107"/>
    </row>
    <row r="43" spans="2:30" s="1" customFormat="1" ht="16.5" customHeight="1" thickBot="1" thickTop="1">
      <c r="B43" s="13"/>
      <c r="C43" s="113" t="s">
        <v>67</v>
      </c>
      <c r="D43" s="471" t="s">
        <v>319</v>
      </c>
      <c r="E43" s="129"/>
      <c r="F43" s="114"/>
      <c r="G43" s="115"/>
      <c r="H43" s="116"/>
      <c r="I43" s="116"/>
      <c r="J43" s="117"/>
      <c r="K43" s="117"/>
      <c r="L43" s="117"/>
      <c r="M43" s="117"/>
      <c r="N43" s="117"/>
      <c r="O43" s="117"/>
      <c r="P43" s="118"/>
      <c r="Q43" s="118"/>
      <c r="R43" s="119">
        <f aca="true" t="shared" si="15" ref="R43:AA43">SUM(R19:R42)</f>
        <v>14467.295928874155</v>
      </c>
      <c r="S43" s="120">
        <f t="shared" si="15"/>
        <v>0</v>
      </c>
      <c r="T43" s="121">
        <f t="shared" si="15"/>
        <v>857.475</v>
      </c>
      <c r="U43" s="121">
        <f t="shared" si="15"/>
        <v>557.35875</v>
      </c>
      <c r="V43" s="121">
        <f t="shared" si="15"/>
        <v>0</v>
      </c>
      <c r="W43" s="122">
        <f t="shared" si="15"/>
        <v>0</v>
      </c>
      <c r="X43" s="122">
        <f t="shared" si="15"/>
        <v>0</v>
      </c>
      <c r="Y43" s="122">
        <f t="shared" si="15"/>
        <v>0</v>
      </c>
      <c r="Z43" s="123">
        <f t="shared" si="15"/>
        <v>0</v>
      </c>
      <c r="AA43" s="124">
        <f t="shared" si="15"/>
        <v>0</v>
      </c>
      <c r="AB43" s="125"/>
      <c r="AC43" s="418">
        <f>ROUND(SUM(AC19:AC42),2)</f>
        <v>380729.41</v>
      </c>
      <c r="AD43" s="126"/>
    </row>
    <row r="44" spans="2:30" s="127" customFormat="1" ht="9.75" thickTop="1">
      <c r="B44" s="128"/>
      <c r="C44" s="129"/>
      <c r="D44" s="129"/>
      <c r="E44" s="129"/>
      <c r="F44" s="130"/>
      <c r="G44" s="131"/>
      <c r="H44" s="132"/>
      <c r="I44" s="132"/>
      <c r="J44" s="133"/>
      <c r="K44" s="133"/>
      <c r="L44" s="133"/>
      <c r="M44" s="133"/>
      <c r="N44" s="133"/>
      <c r="O44" s="133"/>
      <c r="P44" s="134"/>
      <c r="Q44" s="134"/>
      <c r="R44" s="135"/>
      <c r="S44" s="135"/>
      <c r="T44" s="136"/>
      <c r="U44" s="136"/>
      <c r="V44" s="137"/>
      <c r="W44" s="137"/>
      <c r="X44" s="137"/>
      <c r="Y44" s="137"/>
      <c r="Z44" s="137"/>
      <c r="AA44" s="137"/>
      <c r="AB44" s="137"/>
      <c r="AC44" s="138"/>
      <c r="AD44" s="139"/>
    </row>
    <row r="45" spans="2:30" s="1" customFormat="1" ht="16.5" customHeight="1" thickBo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2"/>
    </row>
    <row r="46" spans="2:30" ht="13.5" thickTop="1">
      <c r="B46" s="143"/>
      <c r="AD46" s="143"/>
    </row>
    <row r="91" ht="12.75">
      <c r="B91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D90"/>
  <sheetViews>
    <sheetView zoomScale="80" zoomScaleNormal="80" zoomScalePageLayoutView="0" workbookViewId="0" topLeftCell="A1">
      <selection activeCell="G14" sqref="G14:G16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1" width="16.421875" style="5" customWidth="1"/>
    <col min="12" max="12" width="16.574218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'TOT-0815'!B2</f>
        <v>ANEXO III al Memorándum D.T.E.E. N°  316 / 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+'TOT-0815'!B14</f>
        <v>Desde el 01 al 31 de agosto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358.939</v>
      </c>
      <c r="H14" s="37"/>
      <c r="I14" s="38"/>
      <c r="J14" s="34"/>
      <c r="K14" s="34"/>
      <c r="L14" s="39" t="s">
        <v>8</v>
      </c>
      <c r="M14" s="40">
        <f>150*'TOT-0815'!B13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342.99</v>
      </c>
      <c r="H15" s="42"/>
      <c r="I15" s="43"/>
      <c r="J15" s="7"/>
      <c r="K15" s="44"/>
      <c r="L15" s="39" t="s">
        <v>10</v>
      </c>
      <c r="M15" s="40">
        <f>50*'TOT-0815'!B13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342.99</v>
      </c>
      <c r="H16" s="42"/>
      <c r="I16" s="43"/>
      <c r="J16" s="7"/>
      <c r="K16" s="7"/>
      <c r="L16" s="39" t="s">
        <v>12</v>
      </c>
      <c r="M16" s="40">
        <f>10*'TOT-0815'!B13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14"/>
    </row>
    <row r="18" spans="2:30" s="45" customFormat="1" ht="34.5" customHeight="1" thickBot="1" thickTop="1">
      <c r="B18" s="46"/>
      <c r="C18" s="422" t="s">
        <v>13</v>
      </c>
      <c r="D18" s="422" t="s">
        <v>83</v>
      </c>
      <c r="E18" s="422" t="s">
        <v>84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'LI-08 (3)'!AC43</f>
        <v>380729.41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7"/>
      <c r="L20" s="448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63</v>
      </c>
      <c r="D21" s="79">
        <v>291761</v>
      </c>
      <c r="E21" s="79">
        <v>3829</v>
      </c>
      <c r="F21" s="77" t="s">
        <v>176</v>
      </c>
      <c r="G21" s="77">
        <v>132</v>
      </c>
      <c r="H21" s="90">
        <v>139.39999389648438</v>
      </c>
      <c r="I21" s="91" t="s">
        <v>143</v>
      </c>
      <c r="J21" s="92">
        <f aca="true" t="shared" si="0" ref="J21:J40">IF(G21=220,$G$14,IF(G21=132,$G$15,$G$16))*IF(H21&gt;25,H21,25)/100</f>
        <v>478.1280390655518</v>
      </c>
      <c r="K21" s="447">
        <v>42246.35625</v>
      </c>
      <c r="L21" s="447">
        <v>42246.714583333334</v>
      </c>
      <c r="M21" s="94">
        <f aca="true" t="shared" si="1" ref="M21:M40">IF(F21="","",(L21-K21)*24)</f>
        <v>8.600000000093132</v>
      </c>
      <c r="N21" s="95">
        <f aca="true" t="shared" si="2" ref="N21:N40">IF(F21="","",ROUND((L21-K21)*24*60,0))</f>
        <v>516</v>
      </c>
      <c r="O21" s="96" t="s">
        <v>144</v>
      </c>
      <c r="P21" s="445" t="s">
        <v>146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411.1901135963745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2" t="s">
        <v>145</v>
      </c>
      <c r="AC21" s="106">
        <f aca="true" t="shared" si="14" ref="AC21:AC40">IF(F21="","",SUM(R21:AA21)*IF(AB21="SI",1,2))</f>
        <v>411.1901135963745</v>
      </c>
      <c r="AD21" s="107"/>
    </row>
    <row r="22" spans="2:30" s="1" customFormat="1" ht="16.5" customHeight="1">
      <c r="B22" s="13"/>
      <c r="C22" s="79">
        <v>64</v>
      </c>
      <c r="D22" s="79">
        <v>291763</v>
      </c>
      <c r="E22" s="79">
        <v>1445</v>
      </c>
      <c r="F22" s="77" t="s">
        <v>177</v>
      </c>
      <c r="G22" s="77">
        <v>132</v>
      </c>
      <c r="H22" s="90">
        <v>35</v>
      </c>
      <c r="I22" s="91" t="s">
        <v>143</v>
      </c>
      <c r="J22" s="92">
        <f t="shared" si="0"/>
        <v>120.0465</v>
      </c>
      <c r="K22" s="447">
        <v>42247.34097222222</v>
      </c>
      <c r="L22" s="447">
        <v>42247.72083333333</v>
      </c>
      <c r="M22" s="94">
        <f t="shared" si="1"/>
        <v>9.11666666669771</v>
      </c>
      <c r="N22" s="95">
        <f t="shared" si="2"/>
        <v>547</v>
      </c>
      <c r="O22" s="96" t="s">
        <v>144</v>
      </c>
      <c r="P22" s="445" t="s">
        <v>146</v>
      </c>
      <c r="Q22" s="97">
        <f t="shared" si="3"/>
        <v>10</v>
      </c>
      <c r="R22" s="98">
        <f t="shared" si="4"/>
        <v>109.48240799999999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2" t="s">
        <v>145</v>
      </c>
      <c r="AC22" s="106">
        <f t="shared" si="14"/>
        <v>109.48240799999999</v>
      </c>
      <c r="AD22" s="107"/>
    </row>
    <row r="23" spans="2:30" s="1" customFormat="1" ht="16.5" customHeight="1">
      <c r="B23" s="13"/>
      <c r="C23" s="79">
        <v>65</v>
      </c>
      <c r="D23" s="79">
        <v>291764</v>
      </c>
      <c r="E23" s="79">
        <v>1409</v>
      </c>
      <c r="F23" s="77" t="s">
        <v>178</v>
      </c>
      <c r="G23" s="77">
        <v>132</v>
      </c>
      <c r="H23" s="90">
        <v>69.0999984741211</v>
      </c>
      <c r="I23" s="91" t="s">
        <v>143</v>
      </c>
      <c r="J23" s="92">
        <f t="shared" si="0"/>
        <v>237.00608476638794</v>
      </c>
      <c r="K23" s="447">
        <v>42247.365277777775</v>
      </c>
      <c r="L23" s="447">
        <v>42247.63958333333</v>
      </c>
      <c r="M23" s="94">
        <f t="shared" si="1"/>
        <v>6.583333333313931</v>
      </c>
      <c r="N23" s="95">
        <f t="shared" si="2"/>
        <v>395</v>
      </c>
      <c r="O23" s="96" t="s">
        <v>144</v>
      </c>
      <c r="P23" s="445" t="s">
        <v>146</v>
      </c>
      <c r="Q23" s="97">
        <f t="shared" si="3"/>
        <v>10</v>
      </c>
      <c r="R23" s="98">
        <f t="shared" si="4"/>
        <v>155.9500037762833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2" t="s">
        <v>145</v>
      </c>
      <c r="AC23" s="106">
        <f t="shared" si="14"/>
        <v>155.9500037762833</v>
      </c>
      <c r="AD23" s="107"/>
    </row>
    <row r="24" spans="2:30" s="1" customFormat="1" ht="16.5" customHeight="1">
      <c r="B24" s="13"/>
      <c r="C24" s="79">
        <v>66</v>
      </c>
      <c r="D24" s="79">
        <v>291767</v>
      </c>
      <c r="E24" s="79">
        <v>4696</v>
      </c>
      <c r="F24" s="77" t="s">
        <v>179</v>
      </c>
      <c r="G24" s="77">
        <v>132</v>
      </c>
      <c r="H24" s="90" t="s">
        <v>180</v>
      </c>
      <c r="I24" s="91" t="s">
        <v>143</v>
      </c>
      <c r="J24" s="92">
        <f t="shared" si="0"/>
        <v>1.303362</v>
      </c>
      <c r="K24" s="447">
        <v>42247.39444444444</v>
      </c>
      <c r="L24" s="447">
        <v>42247.603472222225</v>
      </c>
      <c r="M24" s="94">
        <f t="shared" si="1"/>
        <v>5.0166666667792015</v>
      </c>
      <c r="N24" s="95">
        <f t="shared" si="2"/>
        <v>301</v>
      </c>
      <c r="O24" s="96" t="s">
        <v>144</v>
      </c>
      <c r="P24" s="445" t="s">
        <v>146</v>
      </c>
      <c r="Q24" s="97">
        <f t="shared" si="3"/>
        <v>10</v>
      </c>
      <c r="R24" s="98">
        <f t="shared" si="4"/>
        <v>0.6542877239999999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2" t="s">
        <v>145</v>
      </c>
      <c r="AC24" s="106">
        <f t="shared" si="14"/>
        <v>0.6542877239999999</v>
      </c>
      <c r="AD24" s="107"/>
    </row>
    <row r="25" spans="2:30" s="1" customFormat="1" ht="16.5" customHeight="1">
      <c r="B25" s="13"/>
      <c r="C25" s="79">
        <v>67</v>
      </c>
      <c r="D25" s="79">
        <v>291768</v>
      </c>
      <c r="E25" s="79">
        <v>5043</v>
      </c>
      <c r="F25" s="77" t="s">
        <v>181</v>
      </c>
      <c r="G25" s="77">
        <v>132</v>
      </c>
      <c r="H25" s="90">
        <v>6.75</v>
      </c>
      <c r="I25" s="91" t="s">
        <v>143</v>
      </c>
      <c r="J25" s="92">
        <f t="shared" si="0"/>
        <v>85.7475</v>
      </c>
      <c r="K25" s="447">
        <v>42247.39791666667</v>
      </c>
      <c r="L25" s="447">
        <v>42247.657638888886</v>
      </c>
      <c r="M25" s="94">
        <f t="shared" si="1"/>
        <v>6.2333333332207985</v>
      </c>
      <c r="N25" s="95">
        <f t="shared" si="2"/>
        <v>374</v>
      </c>
      <c r="O25" s="96" t="s">
        <v>144</v>
      </c>
      <c r="P25" s="445" t="s">
        <v>146</v>
      </c>
      <c r="Q25" s="97">
        <f t="shared" si="3"/>
        <v>10</v>
      </c>
      <c r="R25" s="98">
        <f t="shared" si="4"/>
        <v>53.42069250000001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2" t="s">
        <v>145</v>
      </c>
      <c r="AC25" s="106">
        <f t="shared" si="14"/>
        <v>53.42069250000001</v>
      </c>
      <c r="AD25" s="107"/>
    </row>
    <row r="26" spans="2:30" s="1" customFormat="1" ht="16.5" customHeight="1">
      <c r="B26" s="13"/>
      <c r="C26" s="79"/>
      <c r="D26" s="79"/>
      <c r="E26" s="79"/>
      <c r="F26" s="77"/>
      <c r="G26" s="77"/>
      <c r="H26" s="90"/>
      <c r="I26" s="91"/>
      <c r="J26" s="92">
        <f t="shared" si="0"/>
        <v>85.7475</v>
      </c>
      <c r="K26" s="447"/>
      <c r="L26" s="447"/>
      <c r="M26" s="94">
        <f t="shared" si="1"/>
      </c>
      <c r="N26" s="95">
        <f t="shared" si="2"/>
      </c>
      <c r="O26" s="93"/>
      <c r="P26" s="441">
        <f aca="true" t="shared" si="15" ref="P26:P40">IF(F26="","","--")</f>
      </c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2">
        <f aca="true" t="shared" si="16" ref="AB26:AB40">IF(F26="","","SI")</f>
      </c>
      <c r="AC26" s="106">
        <f t="shared" si="14"/>
      </c>
      <c r="AD26" s="107"/>
    </row>
    <row r="27" spans="2:30" s="1" customFormat="1" ht="16.5" customHeight="1">
      <c r="B27" s="13"/>
      <c r="C27" s="79"/>
      <c r="D27" s="79"/>
      <c r="E27" s="79"/>
      <c r="F27" s="77"/>
      <c r="G27" s="77"/>
      <c r="H27" s="90"/>
      <c r="I27" s="91"/>
      <c r="J27" s="92">
        <f t="shared" si="0"/>
        <v>85.7475</v>
      </c>
      <c r="K27" s="447"/>
      <c r="L27" s="447"/>
      <c r="M27" s="94">
        <f t="shared" si="1"/>
      </c>
      <c r="N27" s="95">
        <f t="shared" si="2"/>
      </c>
      <c r="O27" s="93"/>
      <c r="P27" s="441">
        <f t="shared" si="15"/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2">
        <f t="shared" si="16"/>
      </c>
      <c r="AC27" s="106">
        <f t="shared" si="14"/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85.7475</v>
      </c>
      <c r="K28" s="447"/>
      <c r="L28" s="447"/>
      <c r="M28" s="94">
        <f t="shared" si="1"/>
      </c>
      <c r="N28" s="95">
        <f t="shared" si="2"/>
      </c>
      <c r="O28" s="93"/>
      <c r="P28" s="441">
        <f t="shared" si="15"/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2">
        <f t="shared" si="16"/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85.7475</v>
      </c>
      <c r="K29" s="447"/>
      <c r="L29" s="447"/>
      <c r="M29" s="94">
        <f t="shared" si="1"/>
      </c>
      <c r="N29" s="95">
        <f t="shared" si="2"/>
      </c>
      <c r="O29" s="93"/>
      <c r="P29" s="441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2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85.7475</v>
      </c>
      <c r="K30" s="447"/>
      <c r="L30" s="447"/>
      <c r="M30" s="94">
        <f t="shared" si="1"/>
      </c>
      <c r="N30" s="95">
        <f t="shared" si="2"/>
      </c>
      <c r="O30" s="93"/>
      <c r="P30" s="441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2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85.7475</v>
      </c>
      <c r="K31" s="447"/>
      <c r="L31" s="447"/>
      <c r="M31" s="94">
        <f t="shared" si="1"/>
      </c>
      <c r="N31" s="95">
        <f t="shared" si="2"/>
      </c>
      <c r="O31" s="93"/>
      <c r="P31" s="441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2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85.7475</v>
      </c>
      <c r="K32" s="447"/>
      <c r="L32" s="447"/>
      <c r="M32" s="94">
        <f t="shared" si="1"/>
      </c>
      <c r="N32" s="95">
        <f t="shared" si="2"/>
      </c>
      <c r="O32" s="93"/>
      <c r="P32" s="441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2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85.7475</v>
      </c>
      <c r="K33" s="447"/>
      <c r="L33" s="447"/>
      <c r="M33" s="94">
        <f t="shared" si="1"/>
      </c>
      <c r="N33" s="95">
        <f t="shared" si="2"/>
      </c>
      <c r="O33" s="93"/>
      <c r="P33" s="441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2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85.7475</v>
      </c>
      <c r="K34" s="447"/>
      <c r="L34" s="447"/>
      <c r="M34" s="94">
        <f t="shared" si="1"/>
      </c>
      <c r="N34" s="95">
        <f t="shared" si="2"/>
      </c>
      <c r="O34" s="93"/>
      <c r="P34" s="441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2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85.7475</v>
      </c>
      <c r="K35" s="447"/>
      <c r="L35" s="447"/>
      <c r="M35" s="94">
        <f t="shared" si="1"/>
      </c>
      <c r="N35" s="95">
        <f t="shared" si="2"/>
      </c>
      <c r="O35" s="93"/>
      <c r="P35" s="441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2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85.7475</v>
      </c>
      <c r="K36" s="447"/>
      <c r="L36" s="447"/>
      <c r="M36" s="94">
        <f t="shared" si="1"/>
      </c>
      <c r="N36" s="95">
        <f t="shared" si="2"/>
      </c>
      <c r="O36" s="93"/>
      <c r="P36" s="441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2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85.7475</v>
      </c>
      <c r="K37" s="447"/>
      <c r="L37" s="447"/>
      <c r="M37" s="94">
        <f t="shared" si="1"/>
      </c>
      <c r="N37" s="95">
        <f t="shared" si="2"/>
      </c>
      <c r="O37" s="93"/>
      <c r="P37" s="441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2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85.7475</v>
      </c>
      <c r="K38" s="447"/>
      <c r="L38" s="447"/>
      <c r="M38" s="94">
        <f t="shared" si="1"/>
      </c>
      <c r="N38" s="95">
        <f t="shared" si="2"/>
      </c>
      <c r="O38" s="93"/>
      <c r="P38" s="441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2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85.7475</v>
      </c>
      <c r="K39" s="447"/>
      <c r="L39" s="447"/>
      <c r="M39" s="94">
        <f t="shared" si="1"/>
      </c>
      <c r="N39" s="95">
        <f t="shared" si="2"/>
      </c>
      <c r="O39" s="93"/>
      <c r="P39" s="441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2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85.7475</v>
      </c>
      <c r="K40" s="447"/>
      <c r="L40" s="447"/>
      <c r="M40" s="94">
        <f t="shared" si="1"/>
      </c>
      <c r="N40" s="95">
        <f t="shared" si="2"/>
      </c>
      <c r="O40" s="93"/>
      <c r="P40" s="441">
        <f t="shared" si="15"/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2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67</v>
      </c>
      <c r="D42" s="471" t="s">
        <v>320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7" ref="R42:AA42">SUM(R19:R41)</f>
        <v>730.6975055966578</v>
      </c>
      <c r="S42" s="120">
        <f t="shared" si="17"/>
        <v>0</v>
      </c>
      <c r="T42" s="121">
        <f t="shared" si="17"/>
        <v>0</v>
      </c>
      <c r="U42" s="121">
        <f t="shared" si="17"/>
        <v>0</v>
      </c>
      <c r="V42" s="121">
        <f t="shared" si="17"/>
        <v>0</v>
      </c>
      <c r="W42" s="122">
        <f t="shared" si="17"/>
        <v>0</v>
      </c>
      <c r="X42" s="122">
        <f t="shared" si="17"/>
        <v>0</v>
      </c>
      <c r="Y42" s="122">
        <f t="shared" si="17"/>
        <v>0</v>
      </c>
      <c r="Z42" s="123">
        <f t="shared" si="17"/>
        <v>0</v>
      </c>
      <c r="AA42" s="124">
        <f t="shared" si="17"/>
        <v>0</v>
      </c>
      <c r="AB42" s="125"/>
      <c r="AC42" s="418">
        <f>ROUND(SUM(AC19:AC41),2)</f>
        <v>381460.11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D46"/>
  <sheetViews>
    <sheetView zoomScale="80" zoomScaleNormal="80" zoomScalePageLayoutView="0" workbookViewId="0" topLeftCell="A1">
      <selection activeCell="D44" sqref="D44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421875" style="5" customWidth="1"/>
    <col min="12" max="12" width="16.57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'TOT-0815'!B2</f>
        <v>ANEXO III al Memorándum D.T.E.E. N°  316 / 2016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'TOT-0815'!B14</f>
        <v>Desde el 01 al 31 de agosto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1.197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60*'TOT-0815'!B13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38">
        <v>3</v>
      </c>
      <c r="D18" s="438">
        <v>4</v>
      </c>
      <c r="E18" s="438">
        <v>5</v>
      </c>
      <c r="F18" s="438">
        <v>6</v>
      </c>
      <c r="G18" s="438">
        <v>7</v>
      </c>
      <c r="H18" s="438">
        <v>8</v>
      </c>
      <c r="I18" s="438">
        <v>9</v>
      </c>
      <c r="J18" s="438">
        <v>10</v>
      </c>
      <c r="K18" s="438">
        <v>11</v>
      </c>
      <c r="L18" s="438">
        <v>12</v>
      </c>
      <c r="M18" s="438">
        <v>13</v>
      </c>
      <c r="N18" s="438">
        <v>14</v>
      </c>
      <c r="O18" s="438">
        <v>15</v>
      </c>
      <c r="P18" s="438">
        <v>16</v>
      </c>
      <c r="Q18" s="438">
        <v>17</v>
      </c>
      <c r="R18" s="438">
        <v>18</v>
      </c>
      <c r="S18" s="438">
        <v>19</v>
      </c>
      <c r="T18" s="438">
        <v>20</v>
      </c>
      <c r="U18" s="438">
        <v>21</v>
      </c>
      <c r="V18" s="438">
        <v>22</v>
      </c>
      <c r="W18" s="438">
        <v>23</v>
      </c>
      <c r="X18" s="438">
        <v>24</v>
      </c>
      <c r="Y18" s="438">
        <v>25</v>
      </c>
      <c r="Z18" s="438">
        <v>26</v>
      </c>
      <c r="AA18" s="438">
        <v>27</v>
      </c>
      <c r="AB18" s="438">
        <v>28</v>
      </c>
      <c r="AC18" s="438">
        <v>29</v>
      </c>
      <c r="AD18" s="159"/>
    </row>
    <row r="19" spans="2:30" s="179" customFormat="1" ht="34.5" customHeight="1" thickBot="1" thickTop="1">
      <c r="B19" s="180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47"/>
      <c r="L21" s="448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68</v>
      </c>
      <c r="D22" s="209">
        <v>290933</v>
      </c>
      <c r="E22" s="209">
        <v>2496</v>
      </c>
      <c r="F22" s="77" t="s">
        <v>182</v>
      </c>
      <c r="G22" s="79" t="s">
        <v>190</v>
      </c>
      <c r="H22" s="222">
        <v>40</v>
      </c>
      <c r="I22" s="90" t="s">
        <v>184</v>
      </c>
      <c r="J22" s="224">
        <f aca="true" t="shared" si="0" ref="J22:J41">H22*$I$16</f>
        <v>47.88</v>
      </c>
      <c r="K22" s="447">
        <v>42219.384722222225</v>
      </c>
      <c r="L22" s="447">
        <v>42219.74097222222</v>
      </c>
      <c r="M22" s="225">
        <f aca="true" t="shared" si="1" ref="M22:M41">IF(F22="","",(L22-K22)*24)</f>
        <v>8.54999999993015</v>
      </c>
      <c r="N22" s="226">
        <f aca="true" t="shared" si="2" ref="N22:N41">IF(F22="","",ROUND((L22-K22)*24*60,0))</f>
        <v>513</v>
      </c>
      <c r="O22" s="227" t="s">
        <v>144</v>
      </c>
      <c r="P22" s="439" t="str">
        <f aca="true" t="shared" si="3" ref="P22:P41">IF(F22="","",IF(OR(O22="P",O22="RP"),"--","NO"))</f>
        <v>--</v>
      </c>
      <c r="Q22" s="439" t="s">
        <v>146</v>
      </c>
      <c r="R22" s="439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9">
        <f aca="true" t="shared" si="6" ref="T22:T41">IF(O22="P",J22*S22*ROUND(N22/60,2),"--")</f>
        <v>245.62440000000007</v>
      </c>
      <c r="U22" s="230" t="str">
        <f aca="true" t="shared" si="7" ref="U22:U41">IF(O22="RP",J22*S22*ROUND(N22/60,2)*Q22/100,"--")</f>
        <v>--</v>
      </c>
      <c r="V22" s="231" t="str">
        <f aca="true" t="shared" si="8" ref="V22:V41">IF(AND(O22="F",P22="NO"),J22*S22,"--")</f>
        <v>--</v>
      </c>
      <c r="W22" s="232" t="str">
        <f aca="true" t="shared" si="9" ref="W22:W41">IF(O22="F",J22*S22*ROUND(N22/60,2),"--")</f>
        <v>--</v>
      </c>
      <c r="X22" s="233" t="str">
        <f aca="true" t="shared" si="10" ref="X22:X41">IF(AND(O22="R",P22="NO"),J22*S22*Q22/100,"--")</f>
        <v>--</v>
      </c>
      <c r="Y22" s="234" t="str">
        <f aca="true" t="shared" si="11" ref="Y22:Y41">IF(O22="R",J22*S22*ROUND(N22/60,2)*Q22/100,"--")</f>
        <v>--</v>
      </c>
      <c r="Z22" s="235" t="str">
        <f aca="true" t="shared" si="12" ref="Z22:Z41">IF(O22="RF",J22*S22*ROUND(N22/60,2),"--")</f>
        <v>--</v>
      </c>
      <c r="AA22" s="236" t="str">
        <f aca="true" t="shared" si="13" ref="AA22:AA41">IF(O22="RR",J22*S22*ROUND(N22/60,2)*Q22/100,"--")</f>
        <v>--</v>
      </c>
      <c r="AB22" s="439" t="s">
        <v>145</v>
      </c>
      <c r="AC22" s="237">
        <f aca="true" t="shared" si="14" ref="AC22:AC41">IF(F22="","",SUM(T22:AA22)*IF(AB22="SI",1,2)*IF(AND(Q22&lt;&gt;"0,000",O22="RF"),Q22/100,1))</f>
        <v>245.62440000000007</v>
      </c>
      <c r="AD22" s="238"/>
    </row>
    <row r="23" spans="2:30" s="1" customFormat="1" ht="16.5" customHeight="1">
      <c r="B23" s="158"/>
      <c r="C23" s="209">
        <v>69</v>
      </c>
      <c r="D23" s="209">
        <v>290934</v>
      </c>
      <c r="E23" s="209">
        <v>3086</v>
      </c>
      <c r="F23" s="77" t="s">
        <v>185</v>
      </c>
      <c r="G23" s="79" t="s">
        <v>186</v>
      </c>
      <c r="H23" s="222">
        <v>10</v>
      </c>
      <c r="I23" s="90" t="s">
        <v>184</v>
      </c>
      <c r="J23" s="224">
        <f t="shared" si="0"/>
        <v>11.97</v>
      </c>
      <c r="K23" s="447">
        <v>42219.385416666664</v>
      </c>
      <c r="L23" s="447">
        <v>42219.731944444444</v>
      </c>
      <c r="M23" s="225">
        <f t="shared" si="1"/>
        <v>8.316666666709352</v>
      </c>
      <c r="N23" s="226">
        <f t="shared" si="2"/>
        <v>499</v>
      </c>
      <c r="O23" s="227" t="s">
        <v>144</v>
      </c>
      <c r="P23" s="439" t="str">
        <f t="shared" si="3"/>
        <v>--</v>
      </c>
      <c r="Q23" s="439" t="s">
        <v>146</v>
      </c>
      <c r="R23" s="439" t="str">
        <f t="shared" si="4"/>
        <v>NO</v>
      </c>
      <c r="S23" s="105">
        <f t="shared" si="5"/>
        <v>0.6000000000000001</v>
      </c>
      <c r="T23" s="229">
        <f t="shared" si="6"/>
        <v>59.75424000000001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39" t="s">
        <v>145</v>
      </c>
      <c r="AC23" s="237">
        <f t="shared" si="14"/>
        <v>59.75424000000001</v>
      </c>
      <c r="AD23" s="159"/>
    </row>
    <row r="24" spans="2:30" s="1" customFormat="1" ht="16.5" customHeight="1">
      <c r="B24" s="158"/>
      <c r="C24" s="209">
        <v>70</v>
      </c>
      <c r="D24" s="209">
        <v>290940</v>
      </c>
      <c r="E24" s="209">
        <v>5242</v>
      </c>
      <c r="F24" s="77" t="s">
        <v>306</v>
      </c>
      <c r="G24" s="79" t="s">
        <v>201</v>
      </c>
      <c r="H24" s="451">
        <v>30</v>
      </c>
      <c r="I24" s="90" t="s">
        <v>184</v>
      </c>
      <c r="J24" s="224">
        <f t="shared" si="0"/>
        <v>35.910000000000004</v>
      </c>
      <c r="K24" s="447">
        <v>42220.37986111111</v>
      </c>
      <c r="L24" s="447">
        <v>42220.52291666667</v>
      </c>
      <c r="M24" s="225">
        <f t="shared" si="1"/>
        <v>3.4333333333488554</v>
      </c>
      <c r="N24" s="226">
        <f t="shared" si="2"/>
        <v>206</v>
      </c>
      <c r="O24" s="227" t="s">
        <v>144</v>
      </c>
      <c r="P24" s="439" t="str">
        <f t="shared" si="3"/>
        <v>--</v>
      </c>
      <c r="Q24" s="439" t="s">
        <v>146</v>
      </c>
      <c r="R24" s="439" t="str">
        <f t="shared" si="4"/>
        <v>NO</v>
      </c>
      <c r="S24" s="105">
        <f t="shared" si="5"/>
        <v>0.6000000000000001</v>
      </c>
      <c r="T24" s="229">
        <f t="shared" si="6"/>
        <v>73.90278000000002</v>
      </c>
      <c r="U24" s="230" t="str">
        <f t="shared" si="7"/>
        <v>--</v>
      </c>
      <c r="V24" s="231" t="str">
        <f t="shared" si="8"/>
        <v>--</v>
      </c>
      <c r="W24" s="232" t="str">
        <f t="shared" si="9"/>
        <v>--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39" t="s">
        <v>145</v>
      </c>
      <c r="AC24" s="237">
        <f t="shared" si="14"/>
        <v>73.90278000000002</v>
      </c>
      <c r="AD24" s="159"/>
    </row>
    <row r="25" spans="2:30" s="1" customFormat="1" ht="16.5" customHeight="1">
      <c r="B25" s="158"/>
      <c r="C25" s="209">
        <v>71</v>
      </c>
      <c r="D25" s="209">
        <v>290942</v>
      </c>
      <c r="E25" s="209">
        <v>2496</v>
      </c>
      <c r="F25" s="77" t="s">
        <v>182</v>
      </c>
      <c r="G25" s="79" t="s">
        <v>190</v>
      </c>
      <c r="H25" s="222">
        <v>40</v>
      </c>
      <c r="I25" s="90" t="s">
        <v>184</v>
      </c>
      <c r="J25" s="224">
        <f t="shared" si="0"/>
        <v>47.88</v>
      </c>
      <c r="K25" s="447">
        <v>42220.39861111111</v>
      </c>
      <c r="L25" s="447">
        <v>42220.7125</v>
      </c>
      <c r="M25" s="225">
        <f t="shared" si="1"/>
        <v>7.533333333441988</v>
      </c>
      <c r="N25" s="226">
        <f t="shared" si="2"/>
        <v>452</v>
      </c>
      <c r="O25" s="227" t="s">
        <v>144</v>
      </c>
      <c r="P25" s="439" t="str">
        <f t="shared" si="3"/>
        <v>--</v>
      </c>
      <c r="Q25" s="439" t="s">
        <v>146</v>
      </c>
      <c r="R25" s="439" t="str">
        <f t="shared" si="4"/>
        <v>NO</v>
      </c>
      <c r="S25" s="105">
        <f t="shared" si="5"/>
        <v>0.6000000000000001</v>
      </c>
      <c r="T25" s="229">
        <f t="shared" si="6"/>
        <v>216.32184000000004</v>
      </c>
      <c r="U25" s="230" t="str">
        <f t="shared" si="7"/>
        <v>--</v>
      </c>
      <c r="V25" s="231" t="str">
        <f t="shared" si="8"/>
        <v>--</v>
      </c>
      <c r="W25" s="232" t="str">
        <f t="shared" si="9"/>
        <v>--</v>
      </c>
      <c r="X25" s="233" t="str">
        <f t="shared" si="10"/>
        <v>--</v>
      </c>
      <c r="Y25" s="234" t="str">
        <f t="shared" si="11"/>
        <v>--</v>
      </c>
      <c r="Z25" s="235" t="str">
        <f t="shared" si="12"/>
        <v>--</v>
      </c>
      <c r="AA25" s="236" t="str">
        <f t="shared" si="13"/>
        <v>--</v>
      </c>
      <c r="AB25" s="439" t="s">
        <v>145</v>
      </c>
      <c r="AC25" s="237">
        <f t="shared" si="14"/>
        <v>216.32184000000004</v>
      </c>
      <c r="AD25" s="159"/>
    </row>
    <row r="26" spans="2:30" s="1" customFormat="1" ht="16.5" customHeight="1">
      <c r="B26" s="158"/>
      <c r="C26" s="209">
        <v>72</v>
      </c>
      <c r="D26" s="209">
        <v>290943</v>
      </c>
      <c r="E26" s="209">
        <v>2483</v>
      </c>
      <c r="F26" s="77" t="s">
        <v>187</v>
      </c>
      <c r="G26" s="79" t="s">
        <v>188</v>
      </c>
      <c r="H26" s="222">
        <v>10</v>
      </c>
      <c r="I26" s="90" t="s">
        <v>184</v>
      </c>
      <c r="J26" s="224">
        <f t="shared" si="0"/>
        <v>11.97</v>
      </c>
      <c r="K26" s="447">
        <v>42220.399305555555</v>
      </c>
      <c r="L26" s="447">
        <v>42220.79652777778</v>
      </c>
      <c r="M26" s="225">
        <f t="shared" si="1"/>
        <v>9.533333333325572</v>
      </c>
      <c r="N26" s="226">
        <f t="shared" si="2"/>
        <v>572</v>
      </c>
      <c r="O26" s="227" t="s">
        <v>144</v>
      </c>
      <c r="P26" s="439" t="str">
        <f t="shared" si="3"/>
        <v>--</v>
      </c>
      <c r="Q26" s="439" t="s">
        <v>146</v>
      </c>
      <c r="R26" s="439" t="str">
        <f t="shared" si="4"/>
        <v>NO</v>
      </c>
      <c r="S26" s="105">
        <f t="shared" si="5"/>
        <v>0.6000000000000001</v>
      </c>
      <c r="T26" s="229">
        <f t="shared" si="6"/>
        <v>68.44446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39" t="s">
        <v>145</v>
      </c>
      <c r="AC26" s="237">
        <f t="shared" si="14"/>
        <v>68.44446</v>
      </c>
      <c r="AD26" s="159"/>
    </row>
    <row r="27" spans="2:30" s="1" customFormat="1" ht="16.5" customHeight="1">
      <c r="B27" s="158"/>
      <c r="C27" s="209">
        <v>73</v>
      </c>
      <c r="D27" s="209">
        <v>290944</v>
      </c>
      <c r="E27" s="209">
        <v>2440</v>
      </c>
      <c r="F27" s="77" t="s">
        <v>189</v>
      </c>
      <c r="G27" s="79" t="s">
        <v>190</v>
      </c>
      <c r="H27" s="222">
        <v>30</v>
      </c>
      <c r="I27" s="90" t="s">
        <v>184</v>
      </c>
      <c r="J27" s="224">
        <f t="shared" si="0"/>
        <v>35.910000000000004</v>
      </c>
      <c r="K27" s="447">
        <v>42220.42152777778</v>
      </c>
      <c r="L27" s="447">
        <v>42220.72222222222</v>
      </c>
      <c r="M27" s="225">
        <f t="shared" si="1"/>
        <v>7.21666666661622</v>
      </c>
      <c r="N27" s="226">
        <f t="shared" si="2"/>
        <v>433</v>
      </c>
      <c r="O27" s="227" t="s">
        <v>144</v>
      </c>
      <c r="P27" s="439" t="str">
        <f t="shared" si="3"/>
        <v>--</v>
      </c>
      <c r="Q27" s="439" t="s">
        <v>146</v>
      </c>
      <c r="R27" s="439" t="str">
        <f t="shared" si="4"/>
        <v>NO</v>
      </c>
      <c r="S27" s="105">
        <f t="shared" si="5"/>
        <v>0.6000000000000001</v>
      </c>
      <c r="T27" s="229">
        <f t="shared" si="6"/>
        <v>155.56212000000005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39" t="s">
        <v>145</v>
      </c>
      <c r="AC27" s="237">
        <f t="shared" si="14"/>
        <v>155.56212000000005</v>
      </c>
      <c r="AD27" s="159"/>
    </row>
    <row r="28" spans="2:30" s="1" customFormat="1" ht="16.5" customHeight="1">
      <c r="B28" s="158"/>
      <c r="C28" s="209">
        <v>74</v>
      </c>
      <c r="D28" s="209">
        <v>290946</v>
      </c>
      <c r="E28" s="209">
        <v>2440</v>
      </c>
      <c r="F28" s="77" t="s">
        <v>189</v>
      </c>
      <c r="G28" s="79" t="s">
        <v>190</v>
      </c>
      <c r="H28" s="222">
        <v>30</v>
      </c>
      <c r="I28" s="90" t="s">
        <v>184</v>
      </c>
      <c r="J28" s="224">
        <f t="shared" si="0"/>
        <v>35.910000000000004</v>
      </c>
      <c r="K28" s="447">
        <v>42221.33611111111</v>
      </c>
      <c r="L28" s="447">
        <v>42221.72986111111</v>
      </c>
      <c r="M28" s="225">
        <f t="shared" si="1"/>
        <v>9.45000000006985</v>
      </c>
      <c r="N28" s="226">
        <f t="shared" si="2"/>
        <v>567</v>
      </c>
      <c r="O28" s="227" t="s">
        <v>144</v>
      </c>
      <c r="P28" s="439" t="str">
        <f t="shared" si="3"/>
        <v>--</v>
      </c>
      <c r="Q28" s="439" t="s">
        <v>146</v>
      </c>
      <c r="R28" s="439" t="str">
        <f t="shared" si="4"/>
        <v>NO</v>
      </c>
      <c r="S28" s="105">
        <f t="shared" si="5"/>
        <v>0.6000000000000001</v>
      </c>
      <c r="T28" s="229">
        <f t="shared" si="6"/>
        <v>203.60970000000003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 t="str">
        <f t="shared" si="10"/>
        <v>--</v>
      </c>
      <c r="Y28" s="234" t="str">
        <f t="shared" si="11"/>
        <v>--</v>
      </c>
      <c r="Z28" s="235" t="str">
        <f t="shared" si="12"/>
        <v>--</v>
      </c>
      <c r="AA28" s="236" t="str">
        <f t="shared" si="13"/>
        <v>--</v>
      </c>
      <c r="AB28" s="439" t="s">
        <v>145</v>
      </c>
      <c r="AC28" s="237">
        <f t="shared" si="14"/>
        <v>203.60970000000003</v>
      </c>
      <c r="AD28" s="159"/>
    </row>
    <row r="29" spans="2:30" s="1" customFormat="1" ht="16.5" customHeight="1">
      <c r="B29" s="158"/>
      <c r="C29" s="209">
        <v>75</v>
      </c>
      <c r="D29" s="209">
        <v>290947</v>
      </c>
      <c r="E29" s="209">
        <v>2442</v>
      </c>
      <c r="F29" s="77" t="s">
        <v>189</v>
      </c>
      <c r="G29" s="79" t="s">
        <v>191</v>
      </c>
      <c r="H29" s="222">
        <v>44</v>
      </c>
      <c r="I29" s="90" t="s">
        <v>184</v>
      </c>
      <c r="J29" s="224">
        <f t="shared" si="0"/>
        <v>52.668000000000006</v>
      </c>
      <c r="K29" s="447">
        <v>42221.350694444445</v>
      </c>
      <c r="L29" s="447">
        <v>42221.8125</v>
      </c>
      <c r="M29" s="225">
        <f t="shared" si="1"/>
        <v>11.08333333331393</v>
      </c>
      <c r="N29" s="226">
        <f t="shared" si="2"/>
        <v>665</v>
      </c>
      <c r="O29" s="227" t="s">
        <v>144</v>
      </c>
      <c r="P29" s="439" t="str">
        <f t="shared" si="3"/>
        <v>--</v>
      </c>
      <c r="Q29" s="439" t="s">
        <v>146</v>
      </c>
      <c r="R29" s="439" t="str">
        <f t="shared" si="4"/>
        <v>NO</v>
      </c>
      <c r="S29" s="105">
        <f t="shared" si="5"/>
        <v>0.6000000000000001</v>
      </c>
      <c r="T29" s="229">
        <f t="shared" si="6"/>
        <v>350.1368640000001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39" t="s">
        <v>145</v>
      </c>
      <c r="AC29" s="237">
        <f t="shared" si="14"/>
        <v>350.1368640000001</v>
      </c>
      <c r="AD29" s="159"/>
    </row>
    <row r="30" spans="2:30" s="1" customFormat="1" ht="16.5" customHeight="1">
      <c r="B30" s="158"/>
      <c r="C30" s="209">
        <v>76</v>
      </c>
      <c r="D30" s="209">
        <v>290955</v>
      </c>
      <c r="E30" s="209">
        <v>2496</v>
      </c>
      <c r="F30" s="77" t="s">
        <v>182</v>
      </c>
      <c r="G30" s="79" t="s">
        <v>190</v>
      </c>
      <c r="H30" s="222">
        <v>40</v>
      </c>
      <c r="I30" s="90" t="s">
        <v>184</v>
      </c>
      <c r="J30" s="224">
        <f t="shared" si="0"/>
        <v>47.88</v>
      </c>
      <c r="K30" s="447">
        <v>42221.43125</v>
      </c>
      <c r="L30" s="447">
        <v>42221.71666666667</v>
      </c>
      <c r="M30" s="225">
        <f t="shared" si="1"/>
        <v>6.849999999976717</v>
      </c>
      <c r="N30" s="226">
        <f t="shared" si="2"/>
        <v>411</v>
      </c>
      <c r="O30" s="227" t="s">
        <v>144</v>
      </c>
      <c r="P30" s="439" t="str">
        <f t="shared" si="3"/>
        <v>--</v>
      </c>
      <c r="Q30" s="439" t="s">
        <v>146</v>
      </c>
      <c r="R30" s="439" t="str">
        <f t="shared" si="4"/>
        <v>NO</v>
      </c>
      <c r="S30" s="105">
        <f t="shared" si="5"/>
        <v>0.6000000000000001</v>
      </c>
      <c r="T30" s="229">
        <f t="shared" si="6"/>
        <v>196.78680000000003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39" t="s">
        <v>145</v>
      </c>
      <c r="AC30" s="237">
        <f t="shared" si="14"/>
        <v>196.78680000000003</v>
      </c>
      <c r="AD30" s="159"/>
    </row>
    <row r="31" spans="2:30" s="1" customFormat="1" ht="16.5" customHeight="1">
      <c r="B31" s="158"/>
      <c r="C31" s="209">
        <v>77</v>
      </c>
      <c r="D31" s="209">
        <v>290959</v>
      </c>
      <c r="E31" s="209">
        <v>2440</v>
      </c>
      <c r="F31" s="77" t="s">
        <v>189</v>
      </c>
      <c r="G31" s="79" t="s">
        <v>190</v>
      </c>
      <c r="H31" s="222">
        <v>30</v>
      </c>
      <c r="I31" s="90" t="s">
        <v>184</v>
      </c>
      <c r="J31" s="224">
        <f t="shared" si="0"/>
        <v>35.910000000000004</v>
      </c>
      <c r="K31" s="447">
        <v>42221.736805555556</v>
      </c>
      <c r="L31" s="447">
        <v>42221.78611111111</v>
      </c>
      <c r="M31" s="225">
        <f t="shared" si="1"/>
        <v>1.1833333333488554</v>
      </c>
      <c r="N31" s="226">
        <f t="shared" si="2"/>
        <v>71</v>
      </c>
      <c r="O31" s="227" t="s">
        <v>149</v>
      </c>
      <c r="P31" s="439" t="str">
        <f t="shared" si="3"/>
        <v>NO</v>
      </c>
      <c r="Q31" s="439" t="s">
        <v>146</v>
      </c>
      <c r="R31" s="439" t="s">
        <v>145</v>
      </c>
      <c r="S31" s="105">
        <f t="shared" si="5"/>
        <v>60</v>
      </c>
      <c r="T31" s="229" t="str">
        <f t="shared" si="6"/>
        <v>--</v>
      </c>
      <c r="U31" s="230" t="str">
        <f t="shared" si="7"/>
        <v>--</v>
      </c>
      <c r="V31" s="231">
        <f t="shared" si="8"/>
        <v>2154.6000000000004</v>
      </c>
      <c r="W31" s="232">
        <f t="shared" si="9"/>
        <v>2542.4280000000003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39" t="s">
        <v>145</v>
      </c>
      <c r="AC31" s="237">
        <f t="shared" si="14"/>
        <v>4697.028</v>
      </c>
      <c r="AD31" s="159"/>
    </row>
    <row r="32" spans="2:30" s="1" customFormat="1" ht="16.5" customHeight="1">
      <c r="B32" s="158"/>
      <c r="C32" s="209">
        <v>78</v>
      </c>
      <c r="D32" s="209">
        <v>290963</v>
      </c>
      <c r="E32" s="209">
        <v>2441</v>
      </c>
      <c r="F32" s="77" t="s">
        <v>189</v>
      </c>
      <c r="G32" s="79" t="s">
        <v>183</v>
      </c>
      <c r="H32" s="222">
        <v>15</v>
      </c>
      <c r="I32" s="90" t="s">
        <v>184</v>
      </c>
      <c r="J32" s="224">
        <f t="shared" si="0"/>
        <v>17.955000000000002</v>
      </c>
      <c r="K32" s="447">
        <v>42221.736805555556</v>
      </c>
      <c r="L32" s="447">
        <v>42221.774305555555</v>
      </c>
      <c r="M32" s="225">
        <f t="shared" si="1"/>
        <v>0.8999999999650754</v>
      </c>
      <c r="N32" s="226">
        <f t="shared" si="2"/>
        <v>54</v>
      </c>
      <c r="O32" s="227" t="s">
        <v>149</v>
      </c>
      <c r="P32" s="439" t="str">
        <f t="shared" si="3"/>
        <v>NO</v>
      </c>
      <c r="Q32" s="439" t="s">
        <v>146</v>
      </c>
      <c r="R32" s="439" t="str">
        <f t="shared" si="4"/>
        <v>NO</v>
      </c>
      <c r="S32" s="105">
        <f t="shared" si="5"/>
        <v>6</v>
      </c>
      <c r="T32" s="229" t="str">
        <f t="shared" si="6"/>
        <v>--</v>
      </c>
      <c r="U32" s="230" t="str">
        <f t="shared" si="7"/>
        <v>--</v>
      </c>
      <c r="V32" s="231">
        <f t="shared" si="8"/>
        <v>107.73000000000002</v>
      </c>
      <c r="W32" s="232">
        <f t="shared" si="9"/>
        <v>96.95700000000002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39" t="s">
        <v>145</v>
      </c>
      <c r="AC32" s="237">
        <f t="shared" si="14"/>
        <v>204.68700000000004</v>
      </c>
      <c r="AD32" s="159"/>
    </row>
    <row r="33" spans="2:30" s="1" customFormat="1" ht="16.5" customHeight="1">
      <c r="B33" s="158"/>
      <c r="C33" s="209">
        <v>79</v>
      </c>
      <c r="D33" s="209">
        <v>290968</v>
      </c>
      <c r="E33" s="209">
        <v>2608</v>
      </c>
      <c r="F33" s="77" t="s">
        <v>192</v>
      </c>
      <c r="G33" s="79" t="s">
        <v>183</v>
      </c>
      <c r="H33" s="222">
        <v>30</v>
      </c>
      <c r="I33" s="90" t="s">
        <v>184</v>
      </c>
      <c r="J33" s="224">
        <f t="shared" si="0"/>
        <v>35.910000000000004</v>
      </c>
      <c r="K33" s="447">
        <v>42222.138194444444</v>
      </c>
      <c r="L33" s="447">
        <v>42222.20763888889</v>
      </c>
      <c r="M33" s="225">
        <f t="shared" si="1"/>
        <v>1.6666666666860692</v>
      </c>
      <c r="N33" s="226">
        <f t="shared" si="2"/>
        <v>100</v>
      </c>
      <c r="O33" s="227" t="s">
        <v>193</v>
      </c>
      <c r="P33" s="439" t="str">
        <f t="shared" si="3"/>
        <v>NO</v>
      </c>
      <c r="Q33" s="440">
        <v>40</v>
      </c>
      <c r="R33" s="439" t="s">
        <v>145</v>
      </c>
      <c r="S33" s="105">
        <f t="shared" si="5"/>
        <v>60</v>
      </c>
      <c r="T33" s="229" t="str">
        <f t="shared" si="6"/>
        <v>--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>
        <f t="shared" si="10"/>
        <v>861.8400000000001</v>
      </c>
      <c r="Y33" s="234">
        <f t="shared" si="11"/>
        <v>1439.2728</v>
      </c>
      <c r="Z33" s="235" t="str">
        <f t="shared" si="12"/>
        <v>--</v>
      </c>
      <c r="AA33" s="236" t="str">
        <f t="shared" si="13"/>
        <v>--</v>
      </c>
      <c r="AB33" s="439" t="s">
        <v>145</v>
      </c>
      <c r="AC33" s="237">
        <f t="shared" si="14"/>
        <v>2301.1128</v>
      </c>
      <c r="AD33" s="159"/>
    </row>
    <row r="34" spans="2:30" s="1" customFormat="1" ht="16.5" customHeight="1">
      <c r="B34" s="158"/>
      <c r="C34" s="209" t="s">
        <v>324</v>
      </c>
      <c r="D34" s="209">
        <v>290968</v>
      </c>
      <c r="E34" s="209">
        <v>2608</v>
      </c>
      <c r="F34" s="77" t="s">
        <v>192</v>
      </c>
      <c r="G34" s="79" t="s">
        <v>183</v>
      </c>
      <c r="H34" s="222">
        <v>30</v>
      </c>
      <c r="I34" s="90" t="s">
        <v>184</v>
      </c>
      <c r="J34" s="224">
        <f t="shared" si="0"/>
        <v>35.910000000000004</v>
      </c>
      <c r="K34" s="447">
        <v>42222.20763888889</v>
      </c>
      <c r="L34" s="447">
        <v>42222.313888888886</v>
      </c>
      <c r="M34" s="225">
        <f>IF(F34="","",(L34-K34)*24)</f>
        <v>2.549999999930151</v>
      </c>
      <c r="N34" s="226">
        <f>IF(F34="","",ROUND((L34-K34)*24*60,0))</f>
        <v>153</v>
      </c>
      <c r="O34" s="227" t="s">
        <v>325</v>
      </c>
      <c r="P34" s="439" t="str">
        <f>IF(F34="","",IF(OR(O34="P",O34="RP"),"--","NO"))</f>
        <v>NO</v>
      </c>
      <c r="Q34" s="440">
        <v>40</v>
      </c>
      <c r="R34" s="439" t="str">
        <f t="shared" si="4"/>
        <v>NO</v>
      </c>
      <c r="S34" s="105">
        <f>$I$17*IF(OR(O34="P",O34="RP"),0.1,1)*IF(R34="SI",1,0.1)</f>
        <v>6</v>
      </c>
      <c r="T34" s="229" t="str">
        <f>IF(O34="P",J34*S34*ROUND(N34/60,2),"--")</f>
        <v>--</v>
      </c>
      <c r="U34" s="230" t="str">
        <f>IF(O34="RP",J34*S34*ROUND(N34/60,2)*Q34/100,"--")</f>
        <v>--</v>
      </c>
      <c r="V34" s="231" t="str">
        <f>IF(AND(O34="F",P34="NO"),J34*S34,"--")</f>
        <v>--</v>
      </c>
      <c r="W34" s="232" t="str">
        <f>IF(O34="F",J34*S34*ROUND(N34/60,2),"--")</f>
        <v>--</v>
      </c>
      <c r="X34" s="233" t="str">
        <f>IF(AND(O34="R",P34="NO"),J34*S34*Q34/100,"--")</f>
        <v>--</v>
      </c>
      <c r="Y34" s="234" t="str">
        <f>IF(O34="R",J34*S34*ROUND(N34/60,2)*Q34/100,"--")</f>
        <v>--</v>
      </c>
      <c r="Z34" s="235" t="str">
        <f>IF(O34="RF",J34*S34*ROUND(N34/60,2),"--")</f>
        <v>--</v>
      </c>
      <c r="AA34" s="236">
        <f>IF(O34="RR",J34*S34*ROUND(N34/60,2)*Q34/100,"--")</f>
        <v>219.76919999999998</v>
      </c>
      <c r="AB34" s="439" t="s">
        <v>145</v>
      </c>
      <c r="AC34" s="237">
        <f>IF(F34="","",SUM(T34:AA34)*IF(AB34="SI",1,2)*IF(AND(Q34&lt;&gt;"0,000",O34="RF"),Q34/100,1))</f>
        <v>219.76919999999998</v>
      </c>
      <c r="AD34" s="159"/>
    </row>
    <row r="35" spans="2:30" s="1" customFormat="1" ht="16.5" customHeight="1">
      <c r="B35" s="158"/>
      <c r="C35" s="209">
        <v>80</v>
      </c>
      <c r="D35" s="209">
        <v>290970</v>
      </c>
      <c r="E35" s="209">
        <v>2440</v>
      </c>
      <c r="F35" s="77" t="s">
        <v>189</v>
      </c>
      <c r="G35" s="79" t="s">
        <v>190</v>
      </c>
      <c r="H35" s="222">
        <v>30</v>
      </c>
      <c r="I35" s="90" t="s">
        <v>184</v>
      </c>
      <c r="J35" s="224">
        <f t="shared" si="0"/>
        <v>35.910000000000004</v>
      </c>
      <c r="K35" s="447">
        <v>42222.34930555556</v>
      </c>
      <c r="L35" s="447">
        <v>42222.756944444445</v>
      </c>
      <c r="M35" s="225">
        <f t="shared" si="1"/>
        <v>9.783333333267365</v>
      </c>
      <c r="N35" s="226">
        <f t="shared" si="2"/>
        <v>587</v>
      </c>
      <c r="O35" s="227" t="s">
        <v>144</v>
      </c>
      <c r="P35" s="439" t="str">
        <f t="shared" si="3"/>
        <v>--</v>
      </c>
      <c r="Q35" s="439" t="s">
        <v>146</v>
      </c>
      <c r="R35" s="439" t="str">
        <f t="shared" si="4"/>
        <v>NO</v>
      </c>
      <c r="S35" s="105">
        <f t="shared" si="5"/>
        <v>0.6000000000000001</v>
      </c>
      <c r="T35" s="229">
        <f t="shared" si="6"/>
        <v>210.71988000000005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39" t="s">
        <v>145</v>
      </c>
      <c r="AC35" s="237">
        <f t="shared" si="14"/>
        <v>210.71988000000005</v>
      </c>
      <c r="AD35" s="159"/>
    </row>
    <row r="36" spans="2:30" s="1" customFormat="1" ht="16.5" customHeight="1">
      <c r="B36" s="158"/>
      <c r="C36" s="209">
        <v>81</v>
      </c>
      <c r="D36" s="209">
        <v>290976</v>
      </c>
      <c r="E36" s="209">
        <v>2441</v>
      </c>
      <c r="F36" s="77" t="s">
        <v>189</v>
      </c>
      <c r="G36" s="79" t="s">
        <v>183</v>
      </c>
      <c r="H36" s="222">
        <v>15</v>
      </c>
      <c r="I36" s="90" t="s">
        <v>184</v>
      </c>
      <c r="J36" s="224">
        <f t="shared" si="0"/>
        <v>17.955000000000002</v>
      </c>
      <c r="K36" s="447">
        <v>42222.73819444444</v>
      </c>
      <c r="L36" s="447">
        <v>42222.75486111111</v>
      </c>
      <c r="M36" s="225">
        <f t="shared" si="1"/>
        <v>0.4000000000814907</v>
      </c>
      <c r="N36" s="226">
        <f t="shared" si="2"/>
        <v>24</v>
      </c>
      <c r="O36" s="227" t="s">
        <v>193</v>
      </c>
      <c r="P36" s="439" t="str">
        <f t="shared" si="3"/>
        <v>NO</v>
      </c>
      <c r="Q36" s="440">
        <v>40</v>
      </c>
      <c r="R36" s="439" t="str">
        <f t="shared" si="4"/>
        <v>NO</v>
      </c>
      <c r="S36" s="105">
        <f t="shared" si="5"/>
        <v>6</v>
      </c>
      <c r="T36" s="229" t="str">
        <f t="shared" si="6"/>
        <v>--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>
        <f t="shared" si="10"/>
        <v>43.092000000000006</v>
      </c>
      <c r="Y36" s="234">
        <f t="shared" si="11"/>
        <v>17.236800000000006</v>
      </c>
      <c r="Z36" s="235" t="str">
        <f t="shared" si="12"/>
        <v>--</v>
      </c>
      <c r="AA36" s="236" t="str">
        <f t="shared" si="13"/>
        <v>--</v>
      </c>
      <c r="AB36" s="439" t="s">
        <v>145</v>
      </c>
      <c r="AC36" s="237">
        <f t="shared" si="14"/>
        <v>60.328800000000015</v>
      </c>
      <c r="AD36" s="159"/>
    </row>
    <row r="37" spans="2:30" s="1" customFormat="1" ht="16.5" customHeight="1">
      <c r="B37" s="158"/>
      <c r="C37" s="209">
        <v>82</v>
      </c>
      <c r="D37" s="209">
        <v>290978</v>
      </c>
      <c r="E37" s="209">
        <v>2440</v>
      </c>
      <c r="F37" s="77" t="s">
        <v>189</v>
      </c>
      <c r="G37" s="79" t="s">
        <v>190</v>
      </c>
      <c r="H37" s="222">
        <v>30</v>
      </c>
      <c r="I37" s="90" t="s">
        <v>184</v>
      </c>
      <c r="J37" s="224">
        <f t="shared" si="0"/>
        <v>35.910000000000004</v>
      </c>
      <c r="K37" s="447">
        <v>42223.34722222222</v>
      </c>
      <c r="L37" s="447">
        <v>42223.67847222222</v>
      </c>
      <c r="M37" s="225">
        <f t="shared" si="1"/>
        <v>7.950000000069849</v>
      </c>
      <c r="N37" s="226">
        <f t="shared" si="2"/>
        <v>477</v>
      </c>
      <c r="O37" s="227" t="s">
        <v>144</v>
      </c>
      <c r="P37" s="439" t="str">
        <f t="shared" si="3"/>
        <v>--</v>
      </c>
      <c r="Q37" s="439" t="s">
        <v>146</v>
      </c>
      <c r="R37" s="439" t="str">
        <f t="shared" si="4"/>
        <v>NO</v>
      </c>
      <c r="S37" s="105">
        <f t="shared" si="5"/>
        <v>0.6000000000000001</v>
      </c>
      <c r="T37" s="229">
        <f t="shared" si="6"/>
        <v>171.29070000000004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39" t="s">
        <v>145</v>
      </c>
      <c r="AC37" s="237">
        <f t="shared" si="14"/>
        <v>171.29070000000004</v>
      </c>
      <c r="AD37" s="159"/>
    </row>
    <row r="38" spans="2:30" s="1" customFormat="1" ht="16.5" customHeight="1">
      <c r="B38" s="158"/>
      <c r="C38" s="209"/>
      <c r="D38" s="209"/>
      <c r="E38" s="209"/>
      <c r="F38" s="77"/>
      <c r="G38" s="79"/>
      <c r="H38" s="222"/>
      <c r="I38" s="90"/>
      <c r="J38" s="224"/>
      <c r="K38" s="447"/>
      <c r="L38" s="447"/>
      <c r="M38" s="225"/>
      <c r="N38" s="226"/>
      <c r="O38" s="227"/>
      <c r="P38" s="439"/>
      <c r="Q38" s="440"/>
      <c r="R38" s="439"/>
      <c r="S38" s="105"/>
      <c r="T38" s="229"/>
      <c r="U38" s="230"/>
      <c r="V38" s="231"/>
      <c r="W38" s="232"/>
      <c r="X38" s="233"/>
      <c r="Y38" s="234"/>
      <c r="Z38" s="235"/>
      <c r="AA38" s="236"/>
      <c r="AB38" s="439"/>
      <c r="AC38" s="237"/>
      <c r="AD38" s="159"/>
    </row>
    <row r="39" spans="2:30" s="1" customFormat="1" ht="16.5" customHeight="1">
      <c r="B39" s="158"/>
      <c r="C39" s="209"/>
      <c r="D39" s="209"/>
      <c r="E39" s="209"/>
      <c r="F39" s="77"/>
      <c r="G39" s="79"/>
      <c r="H39" s="222"/>
      <c r="I39" s="90"/>
      <c r="J39" s="224"/>
      <c r="K39" s="447"/>
      <c r="L39" s="447"/>
      <c r="M39" s="225"/>
      <c r="N39" s="226"/>
      <c r="O39" s="227"/>
      <c r="P39" s="439"/>
      <c r="Q39" s="440"/>
      <c r="R39" s="439"/>
      <c r="S39" s="105"/>
      <c r="T39" s="229"/>
      <c r="U39" s="230"/>
      <c r="V39" s="231"/>
      <c r="W39" s="232"/>
      <c r="X39" s="233"/>
      <c r="Y39" s="234"/>
      <c r="Z39" s="235"/>
      <c r="AA39" s="236"/>
      <c r="AB39" s="439"/>
      <c r="AC39" s="237"/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90"/>
      <c r="J40" s="224"/>
      <c r="K40" s="447"/>
      <c r="L40" s="447"/>
      <c r="M40" s="225"/>
      <c r="N40" s="226"/>
      <c r="O40" s="227"/>
      <c r="P40" s="439"/>
      <c r="Q40" s="440"/>
      <c r="R40" s="439"/>
      <c r="S40" s="105"/>
      <c r="T40" s="229"/>
      <c r="U40" s="230"/>
      <c r="V40" s="231"/>
      <c r="W40" s="232"/>
      <c r="X40" s="233"/>
      <c r="Y40" s="234"/>
      <c r="Z40" s="235"/>
      <c r="AA40" s="236"/>
      <c r="AB40" s="439"/>
      <c r="AC40" s="237"/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47"/>
      <c r="L41" s="447"/>
      <c r="M41" s="225">
        <f t="shared" si="1"/>
      </c>
      <c r="N41" s="226">
        <f t="shared" si="2"/>
      </c>
      <c r="O41" s="227"/>
      <c r="P41" s="439">
        <f t="shared" si="3"/>
      </c>
      <c r="Q41" s="440">
        <f>IF(F41="","","--")</f>
      </c>
      <c r="R41" s="439">
        <f t="shared" si="4"/>
      </c>
      <c r="S41" s="105">
        <f t="shared" si="5"/>
        <v>6</v>
      </c>
      <c r="T41" s="229" t="str">
        <f t="shared" si="6"/>
        <v>--</v>
      </c>
      <c r="U41" s="230" t="str">
        <f t="shared" si="7"/>
        <v>--</v>
      </c>
      <c r="V41" s="231" t="str">
        <f t="shared" si="8"/>
        <v>--</v>
      </c>
      <c r="W41" s="232" t="str">
        <f t="shared" si="9"/>
        <v>--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39">
        <f>IF(F41="","","SI")</f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67</v>
      </c>
      <c r="D43" s="471" t="s">
        <v>329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1952.1537840000005</v>
      </c>
      <c r="U43" s="243">
        <f>SUM(U20:U42)</f>
        <v>0</v>
      </c>
      <c r="V43" s="244">
        <f>SUM(V20:V42)</f>
        <v>2262.3300000000004</v>
      </c>
      <c r="W43" s="245">
        <f>SUM(W22:W42)</f>
        <v>2639.385</v>
      </c>
      <c r="X43" s="246">
        <f>SUM(X20:X42)</f>
        <v>904.9320000000001</v>
      </c>
      <c r="Y43" s="246">
        <f>SUM(Y22:Y42)</f>
        <v>1456.5095999999999</v>
      </c>
      <c r="Z43" s="247">
        <f>SUM(Z20:Z42)</f>
        <v>0</v>
      </c>
      <c r="AA43" s="248">
        <f>SUM(AA22:AA42)</f>
        <v>219.76919999999998</v>
      </c>
      <c r="AB43" s="249"/>
      <c r="AC43" s="419">
        <f>ROUND(SUM(AC20:AC42),2)</f>
        <v>9435.08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D46"/>
  <sheetViews>
    <sheetView zoomScale="80" zoomScaleNormal="80" zoomScalePageLayoutView="0" workbookViewId="0" topLeftCell="A1">
      <selection activeCell="D43" sqref="D43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57421875" style="5" customWidth="1"/>
    <col min="12" max="12" width="16.851562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'TOT-0815'!B2</f>
        <v>ANEXO III al Memorándum D.T.E.E. N°  316 / 2016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'TOT-0815'!B14</f>
        <v>Desde el 01 al 31 de agosto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1.197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60*'TOT-0815'!B13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38">
        <v>3</v>
      </c>
      <c r="D18" s="438">
        <v>4</v>
      </c>
      <c r="E18" s="438">
        <v>5</v>
      </c>
      <c r="F18" s="438">
        <v>6</v>
      </c>
      <c r="G18" s="438">
        <v>7</v>
      </c>
      <c r="H18" s="438">
        <v>8</v>
      </c>
      <c r="I18" s="438">
        <v>9</v>
      </c>
      <c r="J18" s="438">
        <v>10</v>
      </c>
      <c r="K18" s="438">
        <v>11</v>
      </c>
      <c r="L18" s="438">
        <v>12</v>
      </c>
      <c r="M18" s="438">
        <v>13</v>
      </c>
      <c r="N18" s="438">
        <v>14</v>
      </c>
      <c r="O18" s="438">
        <v>15</v>
      </c>
      <c r="P18" s="438">
        <v>16</v>
      </c>
      <c r="Q18" s="438">
        <v>17</v>
      </c>
      <c r="R18" s="438">
        <v>18</v>
      </c>
      <c r="S18" s="438">
        <v>19</v>
      </c>
      <c r="T18" s="438">
        <v>20</v>
      </c>
      <c r="U18" s="438">
        <v>21</v>
      </c>
      <c r="V18" s="438">
        <v>22</v>
      </c>
      <c r="W18" s="438">
        <v>23</v>
      </c>
      <c r="X18" s="438">
        <v>24</v>
      </c>
      <c r="Y18" s="438">
        <v>25</v>
      </c>
      <c r="Z18" s="438">
        <v>26</v>
      </c>
      <c r="AA18" s="438">
        <v>27</v>
      </c>
      <c r="AB18" s="438">
        <v>28</v>
      </c>
      <c r="AC18" s="438">
        <v>29</v>
      </c>
      <c r="AD18" s="159"/>
    </row>
    <row r="19" spans="2:30" s="179" customFormat="1" ht="34.5" customHeight="1" thickBot="1" thickTop="1">
      <c r="B19" s="180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'T-08 (1)'!AC43</f>
        <v>9435.08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47"/>
      <c r="L21" s="448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86</v>
      </c>
      <c r="D22" s="209">
        <v>291254</v>
      </c>
      <c r="E22" s="209">
        <v>2441</v>
      </c>
      <c r="F22" s="77" t="s">
        <v>189</v>
      </c>
      <c r="G22" s="79" t="s">
        <v>183</v>
      </c>
      <c r="H22" s="222">
        <v>15</v>
      </c>
      <c r="I22" s="90" t="s">
        <v>184</v>
      </c>
      <c r="J22" s="224">
        <f aca="true" t="shared" si="0" ref="J22:J41">H22*$I$16</f>
        <v>17.955000000000002</v>
      </c>
      <c r="K22" s="447">
        <v>42227.34722222222</v>
      </c>
      <c r="L22" s="447">
        <v>42227.72083333333</v>
      </c>
      <c r="M22" s="225">
        <f aca="true" t="shared" si="1" ref="M22:M41">IF(F22="","",(L22-K22)*24)</f>
        <v>8.966666666732635</v>
      </c>
      <c r="N22" s="226">
        <f aca="true" t="shared" si="2" ref="N22:N41">IF(F22="","",ROUND((L22-K22)*24*60,0))</f>
        <v>538</v>
      </c>
      <c r="O22" s="227" t="s">
        <v>144</v>
      </c>
      <c r="P22" s="439" t="str">
        <f>IF(F22="","",IF(OR(O22="P",O22="RP"),"--","NO"))</f>
        <v>--</v>
      </c>
      <c r="Q22" s="439" t="s">
        <v>146</v>
      </c>
      <c r="R22" s="439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96.63381000000004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39" t="s">
        <v>145</v>
      </c>
      <c r="AC22" s="237">
        <f>IF(F22="","",SUM(T22:AA22)*IF(AB22="SI",1,2)*IF(AND(Q22&lt;&gt;"0,000",O22="RF"),Q22/100,1))</f>
        <v>96.63381000000004</v>
      </c>
      <c r="AD22" s="238"/>
    </row>
    <row r="23" spans="2:30" s="1" customFormat="1" ht="16.5" customHeight="1">
      <c r="B23" s="158"/>
      <c r="C23" s="209">
        <v>87</v>
      </c>
      <c r="D23" s="209">
        <v>291256</v>
      </c>
      <c r="E23" s="209">
        <v>3509</v>
      </c>
      <c r="F23" s="77" t="s">
        <v>196</v>
      </c>
      <c r="G23" s="79" t="s">
        <v>183</v>
      </c>
      <c r="H23" s="222">
        <v>30</v>
      </c>
      <c r="I23" s="90" t="s">
        <v>184</v>
      </c>
      <c r="J23" s="224">
        <f t="shared" si="0"/>
        <v>35.910000000000004</v>
      </c>
      <c r="K23" s="447">
        <v>42227.35555555556</v>
      </c>
      <c r="L23" s="447">
        <v>42227.674305555556</v>
      </c>
      <c r="M23" s="225">
        <f t="shared" si="1"/>
        <v>7.649999999965075</v>
      </c>
      <c r="N23" s="226">
        <f t="shared" si="2"/>
        <v>459</v>
      </c>
      <c r="O23" s="227" t="s">
        <v>144</v>
      </c>
      <c r="P23" s="439" t="str">
        <f aca="true" t="shared" si="13" ref="P23:P41">IF(F23="","",IF(OR(O23="P",O23="RP"),"--","NO"))</f>
        <v>--</v>
      </c>
      <c r="Q23" s="439" t="s">
        <v>146</v>
      </c>
      <c r="R23" s="439" t="str">
        <f t="shared" si="3"/>
        <v>NO</v>
      </c>
      <c r="S23" s="105">
        <f t="shared" si="4"/>
        <v>0.6000000000000001</v>
      </c>
      <c r="T23" s="229">
        <f t="shared" si="5"/>
        <v>164.82690000000005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39" t="s">
        <v>145</v>
      </c>
      <c r="AC23" s="237">
        <f aca="true" t="shared" si="14" ref="AC23:AC41">IF(F23="","",SUM(T23:AA23)*IF(AB23="SI",1,2)*IF(AND(Q23&lt;&gt;"0,000",O23="RF"),Q23/100,1))</f>
        <v>164.82690000000005</v>
      </c>
      <c r="AD23" s="238"/>
    </row>
    <row r="24" spans="2:30" s="1" customFormat="1" ht="16.5" customHeight="1">
      <c r="B24" s="158"/>
      <c r="C24" s="209">
        <v>88</v>
      </c>
      <c r="D24" s="209">
        <v>291259</v>
      </c>
      <c r="E24" s="209">
        <v>2374</v>
      </c>
      <c r="F24" s="77" t="s">
        <v>197</v>
      </c>
      <c r="G24" s="79" t="s">
        <v>190</v>
      </c>
      <c r="H24" s="222">
        <v>15</v>
      </c>
      <c r="I24" s="90" t="s">
        <v>184</v>
      </c>
      <c r="J24" s="224">
        <f t="shared" si="0"/>
        <v>17.955000000000002</v>
      </c>
      <c r="K24" s="447">
        <v>42227.433333333334</v>
      </c>
      <c r="L24" s="447">
        <v>42227.60763888889</v>
      </c>
      <c r="M24" s="225">
        <f t="shared" si="1"/>
        <v>4.183333333348855</v>
      </c>
      <c r="N24" s="226">
        <f t="shared" si="2"/>
        <v>251</v>
      </c>
      <c r="O24" s="227" t="s">
        <v>144</v>
      </c>
      <c r="P24" s="439" t="str">
        <f t="shared" si="13"/>
        <v>--</v>
      </c>
      <c r="Q24" s="439" t="s">
        <v>146</v>
      </c>
      <c r="R24" s="439" t="str">
        <f t="shared" si="3"/>
        <v>NO</v>
      </c>
      <c r="S24" s="105">
        <f t="shared" si="4"/>
        <v>0.6000000000000001</v>
      </c>
      <c r="T24" s="229">
        <f t="shared" si="5"/>
        <v>45.03114000000001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39" t="s">
        <v>145</v>
      </c>
      <c r="AC24" s="237">
        <f t="shared" si="14"/>
        <v>45.03114000000001</v>
      </c>
      <c r="AD24" s="159"/>
    </row>
    <row r="25" spans="2:30" s="1" customFormat="1" ht="16.5" customHeight="1">
      <c r="B25" s="158"/>
      <c r="C25" s="209">
        <v>89</v>
      </c>
      <c r="D25" s="209">
        <v>291261</v>
      </c>
      <c r="E25" s="209">
        <v>3716</v>
      </c>
      <c r="F25" s="77" t="s">
        <v>195</v>
      </c>
      <c r="G25" s="79" t="s">
        <v>190</v>
      </c>
      <c r="H25" s="222">
        <v>30</v>
      </c>
      <c r="I25" s="90" t="s">
        <v>184</v>
      </c>
      <c r="J25" s="224">
        <f t="shared" si="0"/>
        <v>35.910000000000004</v>
      </c>
      <c r="K25" s="447">
        <v>42227.47638888889</v>
      </c>
      <c r="L25" s="447">
        <v>42227.64861111111</v>
      </c>
      <c r="M25" s="225">
        <f t="shared" si="1"/>
        <v>4.133333333185874</v>
      </c>
      <c r="N25" s="226">
        <f t="shared" si="2"/>
        <v>248</v>
      </c>
      <c r="O25" s="227" t="s">
        <v>144</v>
      </c>
      <c r="P25" s="439" t="str">
        <f t="shared" si="13"/>
        <v>--</v>
      </c>
      <c r="Q25" s="439" t="s">
        <v>146</v>
      </c>
      <c r="R25" s="439" t="str">
        <f t="shared" si="3"/>
        <v>NO</v>
      </c>
      <c r="S25" s="105">
        <f t="shared" si="4"/>
        <v>0.6000000000000001</v>
      </c>
      <c r="T25" s="229">
        <f t="shared" si="5"/>
        <v>88.98498000000002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39" t="s">
        <v>145</v>
      </c>
      <c r="AC25" s="237">
        <f t="shared" si="14"/>
        <v>88.98498000000002</v>
      </c>
      <c r="AD25" s="159"/>
    </row>
    <row r="26" spans="2:30" s="1" customFormat="1" ht="16.5" customHeight="1">
      <c r="B26" s="158"/>
      <c r="C26" s="209">
        <v>90</v>
      </c>
      <c r="D26" s="209">
        <v>291264</v>
      </c>
      <c r="E26" s="209">
        <v>2441</v>
      </c>
      <c r="F26" s="77" t="s">
        <v>189</v>
      </c>
      <c r="G26" s="79" t="s">
        <v>183</v>
      </c>
      <c r="H26" s="222">
        <v>15</v>
      </c>
      <c r="I26" s="90" t="s">
        <v>184</v>
      </c>
      <c r="J26" s="224">
        <f t="shared" si="0"/>
        <v>17.955000000000002</v>
      </c>
      <c r="K26" s="447">
        <v>42228.36041666667</v>
      </c>
      <c r="L26" s="447">
        <v>42228.73402777778</v>
      </c>
      <c r="M26" s="225">
        <f t="shared" si="1"/>
        <v>8.966666666558012</v>
      </c>
      <c r="N26" s="226">
        <f t="shared" si="2"/>
        <v>538</v>
      </c>
      <c r="O26" s="227" t="s">
        <v>144</v>
      </c>
      <c r="P26" s="439" t="str">
        <f t="shared" si="13"/>
        <v>--</v>
      </c>
      <c r="Q26" s="439" t="s">
        <v>146</v>
      </c>
      <c r="R26" s="439" t="str">
        <f t="shared" si="3"/>
        <v>NO</v>
      </c>
      <c r="S26" s="105">
        <f t="shared" si="4"/>
        <v>0.6000000000000001</v>
      </c>
      <c r="T26" s="229">
        <f t="shared" si="5"/>
        <v>96.63381000000004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39" t="s">
        <v>145</v>
      </c>
      <c r="AC26" s="237">
        <f t="shared" si="14"/>
        <v>96.63381000000004</v>
      </c>
      <c r="AD26" s="159"/>
    </row>
    <row r="27" spans="2:30" s="1" customFormat="1" ht="16.5" customHeight="1">
      <c r="B27" s="158"/>
      <c r="C27" s="209">
        <v>91</v>
      </c>
      <c r="D27" s="209">
        <v>291265</v>
      </c>
      <c r="E27" s="209">
        <v>3509</v>
      </c>
      <c r="F27" s="77" t="s">
        <v>196</v>
      </c>
      <c r="G27" s="79" t="s">
        <v>183</v>
      </c>
      <c r="H27" s="222">
        <v>30</v>
      </c>
      <c r="I27" s="90" t="s">
        <v>184</v>
      </c>
      <c r="J27" s="224">
        <f t="shared" si="0"/>
        <v>35.910000000000004</v>
      </c>
      <c r="K27" s="447">
        <v>42228.37222222222</v>
      </c>
      <c r="L27" s="447">
        <v>42228.669444444444</v>
      </c>
      <c r="M27" s="225">
        <f t="shared" si="1"/>
        <v>7.133333333360497</v>
      </c>
      <c r="N27" s="226">
        <f t="shared" si="2"/>
        <v>428</v>
      </c>
      <c r="O27" s="227" t="s">
        <v>144</v>
      </c>
      <c r="P27" s="439" t="str">
        <f t="shared" si="13"/>
        <v>--</v>
      </c>
      <c r="Q27" s="439" t="s">
        <v>146</v>
      </c>
      <c r="R27" s="439" t="str">
        <f t="shared" si="3"/>
        <v>NO</v>
      </c>
      <c r="S27" s="105">
        <f t="shared" si="4"/>
        <v>0.6000000000000001</v>
      </c>
      <c r="T27" s="229">
        <f t="shared" si="5"/>
        <v>153.62298000000004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39" t="s">
        <v>145</v>
      </c>
      <c r="AC27" s="237">
        <f t="shared" si="14"/>
        <v>153.62298000000004</v>
      </c>
      <c r="AD27" s="159"/>
    </row>
    <row r="28" spans="2:30" s="1" customFormat="1" ht="16.5" customHeight="1">
      <c r="B28" s="158"/>
      <c r="C28" s="209">
        <v>92</v>
      </c>
      <c r="D28" s="209">
        <v>291266</v>
      </c>
      <c r="E28" s="209">
        <v>4310</v>
      </c>
      <c r="F28" s="77" t="s">
        <v>196</v>
      </c>
      <c r="G28" s="79" t="s">
        <v>198</v>
      </c>
      <c r="H28" s="222">
        <v>30</v>
      </c>
      <c r="I28" s="90" t="s">
        <v>184</v>
      </c>
      <c r="J28" s="224">
        <f t="shared" si="0"/>
        <v>35.910000000000004</v>
      </c>
      <c r="K28" s="447">
        <v>42228.37222222222</v>
      </c>
      <c r="L28" s="447">
        <v>42228.66805555556</v>
      </c>
      <c r="M28" s="225">
        <f t="shared" si="1"/>
        <v>7.100000000093132</v>
      </c>
      <c r="N28" s="226">
        <f t="shared" si="2"/>
        <v>426</v>
      </c>
      <c r="O28" s="227" t="s">
        <v>144</v>
      </c>
      <c r="P28" s="439" t="str">
        <f t="shared" si="13"/>
        <v>--</v>
      </c>
      <c r="Q28" s="439" t="s">
        <v>146</v>
      </c>
      <c r="R28" s="439" t="str">
        <f t="shared" si="3"/>
        <v>NO</v>
      </c>
      <c r="S28" s="105">
        <f t="shared" si="4"/>
        <v>0.6000000000000001</v>
      </c>
      <c r="T28" s="229">
        <f t="shared" si="5"/>
        <v>152.97660000000005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39" t="s">
        <v>145</v>
      </c>
      <c r="AC28" s="237">
        <f t="shared" si="14"/>
        <v>152.97660000000005</v>
      </c>
      <c r="AD28" s="159"/>
    </row>
    <row r="29" spans="2:30" s="1" customFormat="1" ht="16.5" customHeight="1">
      <c r="B29" s="158"/>
      <c r="C29" s="209">
        <v>93</v>
      </c>
      <c r="D29" s="209">
        <v>291269</v>
      </c>
      <c r="E29" s="209">
        <v>2186</v>
      </c>
      <c r="F29" s="77" t="s">
        <v>199</v>
      </c>
      <c r="G29" s="79" t="s">
        <v>190</v>
      </c>
      <c r="H29" s="222">
        <v>5</v>
      </c>
      <c r="I29" s="470" t="s">
        <v>307</v>
      </c>
      <c r="J29" s="224">
        <f t="shared" si="0"/>
        <v>5.985</v>
      </c>
      <c r="K29" s="447">
        <v>42228.39375</v>
      </c>
      <c r="L29" s="447">
        <v>42228.55972222222</v>
      </c>
      <c r="M29" s="225">
        <f t="shared" si="1"/>
        <v>3.9833333332207985</v>
      </c>
      <c r="N29" s="226">
        <f t="shared" si="2"/>
        <v>239</v>
      </c>
      <c r="O29" s="227" t="s">
        <v>144</v>
      </c>
      <c r="P29" s="439" t="str">
        <f t="shared" si="13"/>
        <v>--</v>
      </c>
      <c r="Q29" s="439" t="s">
        <v>146</v>
      </c>
      <c r="R29" s="439" t="str">
        <f t="shared" si="3"/>
        <v>NO</v>
      </c>
      <c r="S29" s="105">
        <f t="shared" si="4"/>
        <v>0.6000000000000001</v>
      </c>
      <c r="T29" s="229">
        <f t="shared" si="5"/>
        <v>14.292180000000002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39" t="s">
        <v>145</v>
      </c>
      <c r="AC29" s="237">
        <f t="shared" si="14"/>
        <v>14.292180000000002</v>
      </c>
      <c r="AD29" s="159"/>
    </row>
    <row r="30" spans="2:30" s="1" customFormat="1" ht="16.5" customHeight="1">
      <c r="B30" s="158"/>
      <c r="C30" s="209">
        <v>94</v>
      </c>
      <c r="D30" s="209">
        <v>291273</v>
      </c>
      <c r="E30" s="209">
        <v>3716</v>
      </c>
      <c r="F30" s="77" t="s">
        <v>195</v>
      </c>
      <c r="G30" s="79" t="s">
        <v>190</v>
      </c>
      <c r="H30" s="222">
        <v>30</v>
      </c>
      <c r="I30" s="90" t="s">
        <v>184</v>
      </c>
      <c r="J30" s="224">
        <f t="shared" si="0"/>
        <v>35.910000000000004</v>
      </c>
      <c r="K30" s="447">
        <v>42228.427777777775</v>
      </c>
      <c r="L30" s="447">
        <v>42228.65555555555</v>
      </c>
      <c r="M30" s="225">
        <f t="shared" si="1"/>
        <v>5.466666666674428</v>
      </c>
      <c r="N30" s="226">
        <f t="shared" si="2"/>
        <v>328</v>
      </c>
      <c r="O30" s="227" t="s">
        <v>144</v>
      </c>
      <c r="P30" s="439" t="str">
        <f t="shared" si="13"/>
        <v>--</v>
      </c>
      <c r="Q30" s="439" t="s">
        <v>146</v>
      </c>
      <c r="R30" s="439" t="str">
        <f t="shared" si="3"/>
        <v>NO</v>
      </c>
      <c r="S30" s="105">
        <f t="shared" si="4"/>
        <v>0.6000000000000001</v>
      </c>
      <c r="T30" s="229">
        <f t="shared" si="5"/>
        <v>117.85662000000004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39" t="s">
        <v>145</v>
      </c>
      <c r="AC30" s="237">
        <f t="shared" si="14"/>
        <v>117.85662000000004</v>
      </c>
      <c r="AD30" s="159"/>
    </row>
    <row r="31" spans="2:30" s="1" customFormat="1" ht="16.5" customHeight="1">
      <c r="B31" s="158"/>
      <c r="C31" s="209">
        <v>95</v>
      </c>
      <c r="D31" s="209">
        <v>291274</v>
      </c>
      <c r="E31" s="209">
        <v>2374</v>
      </c>
      <c r="F31" s="77" t="s">
        <v>197</v>
      </c>
      <c r="G31" s="79" t="s">
        <v>190</v>
      </c>
      <c r="H31" s="222">
        <v>15</v>
      </c>
      <c r="I31" s="90" t="s">
        <v>184</v>
      </c>
      <c r="J31" s="224">
        <f t="shared" si="0"/>
        <v>17.955000000000002</v>
      </c>
      <c r="K31" s="447">
        <v>42228.43819444445</v>
      </c>
      <c r="L31" s="447">
        <v>42228.69513888889</v>
      </c>
      <c r="M31" s="225">
        <f t="shared" si="1"/>
        <v>6.166666666686069</v>
      </c>
      <c r="N31" s="226">
        <f t="shared" si="2"/>
        <v>370</v>
      </c>
      <c r="O31" s="227" t="s">
        <v>144</v>
      </c>
      <c r="P31" s="439" t="str">
        <f t="shared" si="13"/>
        <v>--</v>
      </c>
      <c r="Q31" s="439" t="s">
        <v>146</v>
      </c>
      <c r="R31" s="439" t="str">
        <f t="shared" si="3"/>
        <v>NO</v>
      </c>
      <c r="S31" s="105">
        <f t="shared" si="4"/>
        <v>0.6000000000000001</v>
      </c>
      <c r="T31" s="229">
        <f t="shared" si="5"/>
        <v>66.46941000000002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39" t="s">
        <v>145</v>
      </c>
      <c r="AC31" s="237">
        <f t="shared" si="14"/>
        <v>66.46941000000002</v>
      </c>
      <c r="AD31" s="159"/>
    </row>
    <row r="32" spans="2:30" s="1" customFormat="1" ht="16.5" customHeight="1">
      <c r="B32" s="158"/>
      <c r="C32" s="209">
        <v>96</v>
      </c>
      <c r="D32" s="209">
        <v>291275</v>
      </c>
      <c r="E32" s="209">
        <v>5014</v>
      </c>
      <c r="F32" s="77" t="s">
        <v>200</v>
      </c>
      <c r="G32" s="79" t="s">
        <v>201</v>
      </c>
      <c r="H32" s="222">
        <v>40</v>
      </c>
      <c r="I32" s="470" t="s">
        <v>184</v>
      </c>
      <c r="J32" s="224">
        <f t="shared" si="0"/>
        <v>47.88</v>
      </c>
      <c r="K32" s="447">
        <v>42228.43819444445</v>
      </c>
      <c r="L32" s="447">
        <v>42228.60833333333</v>
      </c>
      <c r="M32" s="225">
        <f t="shared" si="1"/>
        <v>4.0833333331975155</v>
      </c>
      <c r="N32" s="226">
        <f t="shared" si="2"/>
        <v>245</v>
      </c>
      <c r="O32" s="227" t="s">
        <v>144</v>
      </c>
      <c r="P32" s="439" t="str">
        <f t="shared" si="13"/>
        <v>--</v>
      </c>
      <c r="Q32" s="439" t="s">
        <v>146</v>
      </c>
      <c r="R32" s="439" t="str">
        <f t="shared" si="3"/>
        <v>NO</v>
      </c>
      <c r="S32" s="105">
        <f t="shared" si="4"/>
        <v>0.6000000000000001</v>
      </c>
      <c r="T32" s="229">
        <f t="shared" si="5"/>
        <v>117.21024000000003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39" t="s">
        <v>145</v>
      </c>
      <c r="AC32" s="237">
        <f t="shared" si="14"/>
        <v>117.21024000000003</v>
      </c>
      <c r="AD32" s="159"/>
    </row>
    <row r="33" spans="2:30" s="1" customFormat="1" ht="16.5" customHeight="1">
      <c r="B33" s="158"/>
      <c r="C33" s="209">
        <v>97</v>
      </c>
      <c r="D33" s="209">
        <v>291278</v>
      </c>
      <c r="E33" s="209">
        <v>2441</v>
      </c>
      <c r="F33" s="77" t="s">
        <v>189</v>
      </c>
      <c r="G33" s="79" t="s">
        <v>183</v>
      </c>
      <c r="H33" s="222">
        <v>15</v>
      </c>
      <c r="I33" s="90" t="s">
        <v>184</v>
      </c>
      <c r="J33" s="224">
        <f t="shared" si="0"/>
        <v>17.955000000000002</v>
      </c>
      <c r="K33" s="447">
        <v>42229.35555555556</v>
      </c>
      <c r="L33" s="447">
        <v>42229.73263888889</v>
      </c>
      <c r="M33" s="225">
        <f t="shared" si="1"/>
        <v>9.049999999988358</v>
      </c>
      <c r="N33" s="226">
        <f t="shared" si="2"/>
        <v>543</v>
      </c>
      <c r="O33" s="227" t="s">
        <v>144</v>
      </c>
      <c r="P33" s="439" t="str">
        <f t="shared" si="13"/>
        <v>--</v>
      </c>
      <c r="Q33" s="439" t="s">
        <v>146</v>
      </c>
      <c r="R33" s="439" t="str">
        <f t="shared" si="3"/>
        <v>NO</v>
      </c>
      <c r="S33" s="105">
        <f t="shared" si="4"/>
        <v>0.6000000000000001</v>
      </c>
      <c r="T33" s="229">
        <f t="shared" si="5"/>
        <v>97.49565000000004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39" t="s">
        <v>145</v>
      </c>
      <c r="AC33" s="237">
        <f t="shared" si="14"/>
        <v>97.49565000000004</v>
      </c>
      <c r="AD33" s="159"/>
    </row>
    <row r="34" spans="2:30" s="1" customFormat="1" ht="16.5" customHeight="1">
      <c r="B34" s="158"/>
      <c r="C34" s="209">
        <v>98</v>
      </c>
      <c r="D34" s="209">
        <v>291291</v>
      </c>
      <c r="E34" s="209">
        <v>5240</v>
      </c>
      <c r="F34" s="77" t="s">
        <v>197</v>
      </c>
      <c r="G34" s="79" t="s">
        <v>201</v>
      </c>
      <c r="H34" s="451">
        <v>40</v>
      </c>
      <c r="I34" s="90" t="s">
        <v>184</v>
      </c>
      <c r="J34" s="224">
        <f t="shared" si="0"/>
        <v>47.88</v>
      </c>
      <c r="K34" s="447">
        <v>42229.42291666667</v>
      </c>
      <c r="L34" s="447">
        <v>42229.59930555556</v>
      </c>
      <c r="M34" s="225">
        <f t="shared" si="1"/>
        <v>4.233333333337214</v>
      </c>
      <c r="N34" s="226">
        <f t="shared" si="2"/>
        <v>254</v>
      </c>
      <c r="O34" s="227" t="s">
        <v>144</v>
      </c>
      <c r="P34" s="439" t="str">
        <f t="shared" si="13"/>
        <v>--</v>
      </c>
      <c r="Q34" s="439" t="s">
        <v>146</v>
      </c>
      <c r="R34" s="439" t="str">
        <f t="shared" si="3"/>
        <v>NO</v>
      </c>
      <c r="S34" s="105">
        <f t="shared" si="4"/>
        <v>0.6000000000000001</v>
      </c>
      <c r="T34" s="229">
        <f t="shared" si="5"/>
        <v>121.51944000000003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39" t="s">
        <v>145</v>
      </c>
      <c r="AC34" s="237">
        <f t="shared" si="14"/>
        <v>121.51944000000003</v>
      </c>
      <c r="AD34" s="159"/>
    </row>
    <row r="35" spans="2:30" s="1" customFormat="1" ht="16.5" customHeight="1">
      <c r="B35" s="158"/>
      <c r="C35" s="209">
        <v>99</v>
      </c>
      <c r="D35" s="209">
        <v>291292</v>
      </c>
      <c r="E35" s="209">
        <v>2441</v>
      </c>
      <c r="F35" s="77" t="s">
        <v>189</v>
      </c>
      <c r="G35" s="79" t="s">
        <v>183</v>
      </c>
      <c r="H35" s="222">
        <v>15</v>
      </c>
      <c r="I35" s="90" t="s">
        <v>184</v>
      </c>
      <c r="J35" s="224">
        <f t="shared" si="0"/>
        <v>17.955000000000002</v>
      </c>
      <c r="K35" s="447">
        <v>42230.34166666667</v>
      </c>
      <c r="L35" s="447">
        <v>42230.63263888889</v>
      </c>
      <c r="M35" s="225">
        <f t="shared" si="1"/>
        <v>6.9833333333954215</v>
      </c>
      <c r="N35" s="226">
        <f t="shared" si="2"/>
        <v>419</v>
      </c>
      <c r="O35" s="227" t="s">
        <v>144</v>
      </c>
      <c r="P35" s="439" t="str">
        <f t="shared" si="13"/>
        <v>--</v>
      </c>
      <c r="Q35" s="439" t="s">
        <v>146</v>
      </c>
      <c r="R35" s="439" t="str">
        <f t="shared" si="3"/>
        <v>NO</v>
      </c>
      <c r="S35" s="105">
        <f t="shared" si="4"/>
        <v>0.6000000000000001</v>
      </c>
      <c r="T35" s="229">
        <f t="shared" si="5"/>
        <v>75.19554000000002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39" t="s">
        <v>145</v>
      </c>
      <c r="AC35" s="237">
        <f t="shared" si="14"/>
        <v>75.19554000000002</v>
      </c>
      <c r="AD35" s="159"/>
    </row>
    <row r="36" spans="2:30" s="1" customFormat="1" ht="16.5" customHeight="1">
      <c r="B36" s="158"/>
      <c r="C36" s="209">
        <v>100</v>
      </c>
      <c r="D36" s="209">
        <v>291295</v>
      </c>
      <c r="E36" s="209">
        <v>2115</v>
      </c>
      <c r="F36" s="77" t="s">
        <v>202</v>
      </c>
      <c r="G36" s="79" t="s">
        <v>183</v>
      </c>
      <c r="H36" s="222">
        <v>15</v>
      </c>
      <c r="I36" s="90" t="s">
        <v>184</v>
      </c>
      <c r="J36" s="224">
        <f t="shared" si="0"/>
        <v>17.955000000000002</v>
      </c>
      <c r="K36" s="447">
        <v>42230.5125</v>
      </c>
      <c r="L36" s="447">
        <v>42230.64791666667</v>
      </c>
      <c r="M36" s="225">
        <f t="shared" si="1"/>
        <v>3.2500000001164153</v>
      </c>
      <c r="N36" s="226">
        <f t="shared" si="2"/>
        <v>195</v>
      </c>
      <c r="O36" s="227" t="s">
        <v>144</v>
      </c>
      <c r="P36" s="439" t="str">
        <f t="shared" si="13"/>
        <v>--</v>
      </c>
      <c r="Q36" s="439" t="s">
        <v>146</v>
      </c>
      <c r="R36" s="439" t="str">
        <f t="shared" si="3"/>
        <v>NO</v>
      </c>
      <c r="S36" s="105">
        <f t="shared" si="4"/>
        <v>0.6000000000000001</v>
      </c>
      <c r="T36" s="229">
        <f t="shared" si="5"/>
        <v>35.01225000000001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39" t="s">
        <v>145</v>
      </c>
      <c r="AC36" s="237">
        <f t="shared" si="14"/>
        <v>35.01225000000001</v>
      </c>
      <c r="AD36" s="159"/>
    </row>
    <row r="37" spans="2:30" s="1" customFormat="1" ht="16.5" customHeight="1">
      <c r="B37" s="158"/>
      <c r="C37" s="209">
        <v>101</v>
      </c>
      <c r="D37" s="209">
        <v>291297</v>
      </c>
      <c r="E37" s="209">
        <v>5424</v>
      </c>
      <c r="F37" s="77" t="s">
        <v>308</v>
      </c>
      <c r="G37" s="79" t="s">
        <v>201</v>
      </c>
      <c r="H37" s="451">
        <v>40</v>
      </c>
      <c r="I37" s="90" t="s">
        <v>184</v>
      </c>
      <c r="J37" s="224">
        <f t="shared" si="0"/>
        <v>47.88</v>
      </c>
      <c r="K37" s="447">
        <v>42232.35972222222</v>
      </c>
      <c r="L37" s="447">
        <v>42232.50347222222</v>
      </c>
      <c r="M37" s="225">
        <f t="shared" si="1"/>
        <v>3.449999999895226</v>
      </c>
      <c r="N37" s="226">
        <f t="shared" si="2"/>
        <v>207</v>
      </c>
      <c r="O37" s="227" t="s">
        <v>144</v>
      </c>
      <c r="P37" s="439" t="str">
        <f t="shared" si="13"/>
        <v>--</v>
      </c>
      <c r="Q37" s="439" t="s">
        <v>146</v>
      </c>
      <c r="R37" s="439" t="str">
        <f t="shared" si="3"/>
        <v>NO</v>
      </c>
      <c r="S37" s="105">
        <f t="shared" si="4"/>
        <v>0.6000000000000001</v>
      </c>
      <c r="T37" s="229">
        <f t="shared" si="5"/>
        <v>99.11160000000002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39" t="s">
        <v>145</v>
      </c>
      <c r="AC37" s="237">
        <f t="shared" si="14"/>
        <v>99.11160000000002</v>
      </c>
      <c r="AD37" s="159"/>
    </row>
    <row r="38" spans="2:30" s="1" customFormat="1" ht="16.5" customHeight="1">
      <c r="B38" s="158"/>
      <c r="C38" s="209">
        <v>102</v>
      </c>
      <c r="D38" s="209">
        <v>291298</v>
      </c>
      <c r="E38" s="209">
        <v>2146</v>
      </c>
      <c r="F38" s="77" t="s">
        <v>203</v>
      </c>
      <c r="G38" s="79" t="s">
        <v>190</v>
      </c>
      <c r="H38" s="222">
        <v>10</v>
      </c>
      <c r="I38" s="90" t="s">
        <v>204</v>
      </c>
      <c r="J38" s="224">
        <f t="shared" si="0"/>
        <v>11.97</v>
      </c>
      <c r="K38" s="447">
        <v>42233.34027777778</v>
      </c>
      <c r="L38" s="447">
        <v>42233.736805555556</v>
      </c>
      <c r="M38" s="225">
        <f t="shared" si="1"/>
        <v>9.516666666604578</v>
      </c>
      <c r="N38" s="226">
        <f t="shared" si="2"/>
        <v>571</v>
      </c>
      <c r="O38" s="227" t="s">
        <v>144</v>
      </c>
      <c r="P38" s="439" t="str">
        <f t="shared" si="13"/>
        <v>--</v>
      </c>
      <c r="Q38" s="439" t="s">
        <v>146</v>
      </c>
      <c r="R38" s="439" t="str">
        <f t="shared" si="3"/>
        <v>NO</v>
      </c>
      <c r="S38" s="105">
        <f t="shared" si="4"/>
        <v>0.6000000000000001</v>
      </c>
      <c r="T38" s="229">
        <f t="shared" si="5"/>
        <v>68.37264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39" t="s">
        <v>145</v>
      </c>
      <c r="AC38" s="237">
        <f t="shared" si="14"/>
        <v>68.37264</v>
      </c>
      <c r="AD38" s="159"/>
    </row>
    <row r="39" spans="2:30" s="1" customFormat="1" ht="16.5" customHeight="1">
      <c r="B39" s="158"/>
      <c r="C39" s="209">
        <v>103</v>
      </c>
      <c r="D39" s="209">
        <v>291299</v>
      </c>
      <c r="E39" s="209">
        <v>4521</v>
      </c>
      <c r="F39" s="77" t="s">
        <v>205</v>
      </c>
      <c r="G39" s="79" t="s">
        <v>201</v>
      </c>
      <c r="H39" s="222">
        <v>30</v>
      </c>
      <c r="I39" s="470" t="s">
        <v>184</v>
      </c>
      <c r="J39" s="224">
        <f t="shared" si="0"/>
        <v>35.910000000000004</v>
      </c>
      <c r="K39" s="447">
        <v>42233.35555555556</v>
      </c>
      <c r="L39" s="447">
        <v>42233.68194444444</v>
      </c>
      <c r="M39" s="225">
        <f t="shared" si="1"/>
        <v>7.8333333331975155</v>
      </c>
      <c r="N39" s="226">
        <f t="shared" si="2"/>
        <v>470</v>
      </c>
      <c r="O39" s="227" t="s">
        <v>144</v>
      </c>
      <c r="P39" s="439" t="str">
        <f t="shared" si="13"/>
        <v>--</v>
      </c>
      <c r="Q39" s="439" t="s">
        <v>146</v>
      </c>
      <c r="R39" s="439" t="str">
        <f t="shared" si="3"/>
        <v>NO</v>
      </c>
      <c r="S39" s="105">
        <f t="shared" si="4"/>
        <v>0.6000000000000001</v>
      </c>
      <c r="T39" s="229">
        <f t="shared" si="5"/>
        <v>168.70518000000004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39" t="s">
        <v>145</v>
      </c>
      <c r="AC39" s="237">
        <f t="shared" si="14"/>
        <v>168.70518000000004</v>
      </c>
      <c r="AD39" s="159"/>
    </row>
    <row r="40" spans="2:30" s="1" customFormat="1" ht="16.5" customHeight="1">
      <c r="B40" s="158"/>
      <c r="C40" s="209">
        <v>104</v>
      </c>
      <c r="D40" s="209">
        <v>291301</v>
      </c>
      <c r="E40" s="209">
        <v>5302</v>
      </c>
      <c r="F40" s="77" t="s">
        <v>309</v>
      </c>
      <c r="G40" s="79" t="s">
        <v>310</v>
      </c>
      <c r="H40" s="451">
        <v>30</v>
      </c>
      <c r="I40" s="90" t="s">
        <v>184</v>
      </c>
      <c r="J40" s="224">
        <f t="shared" si="0"/>
        <v>35.910000000000004</v>
      </c>
      <c r="K40" s="447">
        <v>42233.364583333336</v>
      </c>
      <c r="L40" s="447">
        <v>42233.7</v>
      </c>
      <c r="M40" s="225">
        <f t="shared" si="1"/>
        <v>8.049999999871943</v>
      </c>
      <c r="N40" s="226">
        <f t="shared" si="2"/>
        <v>483</v>
      </c>
      <c r="O40" s="227" t="s">
        <v>144</v>
      </c>
      <c r="P40" s="439" t="str">
        <f t="shared" si="13"/>
        <v>--</v>
      </c>
      <c r="Q40" s="439" t="s">
        <v>146</v>
      </c>
      <c r="R40" s="439" t="str">
        <f t="shared" si="3"/>
        <v>NO</v>
      </c>
      <c r="S40" s="105">
        <f t="shared" si="4"/>
        <v>0.6000000000000001</v>
      </c>
      <c r="T40" s="229">
        <f t="shared" si="5"/>
        <v>173.44530000000006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39" t="s">
        <v>145</v>
      </c>
      <c r="AC40" s="237">
        <f t="shared" si="14"/>
        <v>173.44530000000006</v>
      </c>
      <c r="AD40" s="159"/>
    </row>
    <row r="41" spans="2:30" s="1" customFormat="1" ht="16.5" customHeight="1">
      <c r="B41" s="158"/>
      <c r="C41" s="209">
        <v>105</v>
      </c>
      <c r="D41" s="209">
        <v>291520</v>
      </c>
      <c r="E41" s="209">
        <v>3509</v>
      </c>
      <c r="F41" s="77" t="s">
        <v>196</v>
      </c>
      <c r="G41" s="79" t="s">
        <v>183</v>
      </c>
      <c r="H41" s="222">
        <v>30</v>
      </c>
      <c r="I41" s="90" t="s">
        <v>184</v>
      </c>
      <c r="J41" s="224">
        <f t="shared" si="0"/>
        <v>35.910000000000004</v>
      </c>
      <c r="K41" s="447">
        <v>42234.375</v>
      </c>
      <c r="L41" s="447">
        <v>42234.675</v>
      </c>
      <c r="M41" s="225">
        <f t="shared" si="1"/>
        <v>7.200000000069849</v>
      </c>
      <c r="N41" s="226">
        <f t="shared" si="2"/>
        <v>432</v>
      </c>
      <c r="O41" s="227" t="s">
        <v>144</v>
      </c>
      <c r="P41" s="439" t="str">
        <f t="shared" si="13"/>
        <v>--</v>
      </c>
      <c r="Q41" s="439" t="s">
        <v>146</v>
      </c>
      <c r="R41" s="439" t="str">
        <f t="shared" si="3"/>
        <v>NO</v>
      </c>
      <c r="S41" s="105">
        <f t="shared" si="4"/>
        <v>0.6000000000000001</v>
      </c>
      <c r="T41" s="229">
        <f t="shared" si="5"/>
        <v>155.13120000000006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39" t="s">
        <v>145</v>
      </c>
      <c r="AC41" s="237">
        <f t="shared" si="14"/>
        <v>155.13120000000006</v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67</v>
      </c>
      <c r="D43" s="471" t="s">
        <v>321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2108.5274700000004</v>
      </c>
      <c r="U43" s="243">
        <f>SUM(U20:U42)</f>
        <v>0</v>
      </c>
      <c r="V43" s="244">
        <f>SUM(V20:V42)</f>
        <v>0</v>
      </c>
      <c r="W43" s="245">
        <f>SUM(W22:W42)</f>
        <v>0</v>
      </c>
      <c r="X43" s="246">
        <f>SUM(X20:X42)</f>
        <v>0</v>
      </c>
      <c r="Y43" s="246">
        <f>SUM(Y22:Y42)</f>
        <v>0</v>
      </c>
      <c r="Z43" s="247">
        <f>SUM(Z20:Z42)</f>
        <v>0</v>
      </c>
      <c r="AA43" s="248">
        <f>SUM(AA22:AA42)</f>
        <v>0</v>
      </c>
      <c r="AB43" s="249"/>
      <c r="AC43" s="419">
        <f>ROUND(SUM(AC20:AC42),2)</f>
        <v>11543.61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D48"/>
  <sheetViews>
    <sheetView zoomScale="80" zoomScaleNormal="80" zoomScalePageLayoutView="0" workbookViewId="0" topLeftCell="A1">
      <selection activeCell="K25" sqref="K25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421875" style="5" customWidth="1"/>
    <col min="12" max="12" width="16.574218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'TOT-0815'!B2</f>
        <v>ANEXO III al Memorándum D.T.E.E. N°  316 / 2016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'TOT-0815'!B14</f>
        <v>Desde el 01 al 31 de agosto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1.197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60*'TOT-0815'!B13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38">
        <v>3</v>
      </c>
      <c r="D18" s="438">
        <v>4</v>
      </c>
      <c r="E18" s="438">
        <v>5</v>
      </c>
      <c r="F18" s="438">
        <v>6</v>
      </c>
      <c r="G18" s="438">
        <v>7</v>
      </c>
      <c r="H18" s="438">
        <v>8</v>
      </c>
      <c r="I18" s="438">
        <v>9</v>
      </c>
      <c r="J18" s="438">
        <v>10</v>
      </c>
      <c r="K18" s="438">
        <v>11</v>
      </c>
      <c r="L18" s="438">
        <v>12</v>
      </c>
      <c r="M18" s="438">
        <v>13</v>
      </c>
      <c r="N18" s="438">
        <v>14</v>
      </c>
      <c r="O18" s="438">
        <v>15</v>
      </c>
      <c r="P18" s="438">
        <v>16</v>
      </c>
      <c r="Q18" s="438">
        <v>17</v>
      </c>
      <c r="R18" s="438">
        <v>18</v>
      </c>
      <c r="S18" s="438">
        <v>19</v>
      </c>
      <c r="T18" s="438">
        <v>20</v>
      </c>
      <c r="U18" s="438">
        <v>21</v>
      </c>
      <c r="V18" s="438">
        <v>22</v>
      </c>
      <c r="W18" s="438">
        <v>23</v>
      </c>
      <c r="X18" s="438">
        <v>24</v>
      </c>
      <c r="Y18" s="438">
        <v>25</v>
      </c>
      <c r="Z18" s="438">
        <v>26</v>
      </c>
      <c r="AA18" s="438">
        <v>27</v>
      </c>
      <c r="AB18" s="438">
        <v>28</v>
      </c>
      <c r="AC18" s="438">
        <v>29</v>
      </c>
      <c r="AD18" s="159"/>
    </row>
    <row r="19" spans="2:30" s="179" customFormat="1" ht="34.5" customHeight="1" thickBot="1" thickTop="1">
      <c r="B19" s="180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'T-08 (2)'!AC43</f>
        <v>11543.61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47"/>
      <c r="L21" s="448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/>
      <c r="D22" s="209"/>
      <c r="E22" s="209"/>
      <c r="F22" s="77"/>
      <c r="G22" s="79"/>
      <c r="H22" s="222"/>
      <c r="I22" s="90"/>
      <c r="J22" s="224"/>
      <c r="K22" s="447"/>
      <c r="L22" s="447"/>
      <c r="M22" s="225"/>
      <c r="N22" s="226"/>
      <c r="O22" s="227"/>
      <c r="P22" s="439"/>
      <c r="Q22" s="439"/>
      <c r="R22" s="439"/>
      <c r="S22" s="105"/>
      <c r="T22" s="229"/>
      <c r="U22" s="230"/>
      <c r="V22" s="231"/>
      <c r="W22" s="232"/>
      <c r="X22" s="233"/>
      <c r="Y22" s="234"/>
      <c r="Z22" s="235"/>
      <c r="AA22" s="236"/>
      <c r="AB22" s="439"/>
      <c r="AC22" s="237"/>
      <c r="AD22" s="238"/>
    </row>
    <row r="23" spans="2:30" s="1" customFormat="1" ht="16.5" customHeight="1">
      <c r="B23" s="158"/>
      <c r="C23" s="209">
        <v>107</v>
      </c>
      <c r="D23" s="209">
        <v>291559</v>
      </c>
      <c r="E23" s="209">
        <v>2115</v>
      </c>
      <c r="F23" s="77" t="s">
        <v>202</v>
      </c>
      <c r="G23" s="79" t="s">
        <v>183</v>
      </c>
      <c r="H23" s="222">
        <v>15</v>
      </c>
      <c r="I23" s="90" t="s">
        <v>184</v>
      </c>
      <c r="J23" s="224">
        <f aca="true" t="shared" si="0" ref="J23:J43">H23*$I$16</f>
        <v>17.955000000000002</v>
      </c>
      <c r="K23" s="447">
        <v>42235.50833333333</v>
      </c>
      <c r="L23" s="447">
        <v>42235.6875</v>
      </c>
      <c r="M23" s="225">
        <f aca="true" t="shared" si="1" ref="M23:M43">IF(F23="","",(L23-K23)*24)</f>
        <v>4.300000000046566</v>
      </c>
      <c r="N23" s="226">
        <f aca="true" t="shared" si="2" ref="N23:N43">IF(F23="","",ROUND((L23-K23)*24*60,0))</f>
        <v>258</v>
      </c>
      <c r="O23" s="227" t="s">
        <v>144</v>
      </c>
      <c r="P23" s="439" t="str">
        <f aca="true" t="shared" si="3" ref="P23:P43">IF(F23="","",IF(OR(O23="P",O23="RP"),"--","NO"))</f>
        <v>--</v>
      </c>
      <c r="Q23" s="439" t="s">
        <v>146</v>
      </c>
      <c r="R23" s="439" t="str">
        <f aca="true" t="shared" si="4" ref="R23:R43">IF(F23="","","NO")</f>
        <v>NO</v>
      </c>
      <c r="S23" s="105">
        <f aca="true" t="shared" si="5" ref="S23:S43">$I$17*IF(OR(O23="P",O23="RP"),0.1,1)*IF(R23="SI",1,0.1)</f>
        <v>0.6000000000000001</v>
      </c>
      <c r="T23" s="229">
        <f aca="true" t="shared" si="6" ref="T23:T43">IF(O23="P",J23*S23*ROUND(N23/60,2),"--")</f>
        <v>46.32390000000001</v>
      </c>
      <c r="U23" s="230" t="str">
        <f aca="true" t="shared" si="7" ref="U23:U43">IF(O23="RP",J23*S23*ROUND(N23/60,2)*Q23/100,"--")</f>
        <v>--</v>
      </c>
      <c r="V23" s="231" t="str">
        <f aca="true" t="shared" si="8" ref="V23:V43">IF(AND(O23="F",P23="NO"),J23*S23,"--")</f>
        <v>--</v>
      </c>
      <c r="W23" s="232" t="str">
        <f aca="true" t="shared" si="9" ref="W23:W43">IF(O23="F",J23*S23*ROUND(N23/60,2),"--")</f>
        <v>--</v>
      </c>
      <c r="X23" s="233" t="str">
        <f aca="true" t="shared" si="10" ref="X23:X43">IF(AND(O23="R",P23="NO"),J23*S23*Q23/100,"--")</f>
        <v>--</v>
      </c>
      <c r="Y23" s="234" t="str">
        <f aca="true" t="shared" si="11" ref="Y23:Y43">IF(O23="R",J23*S23*ROUND(N23/60,2)*Q23/100,"--")</f>
        <v>--</v>
      </c>
      <c r="Z23" s="235" t="str">
        <f aca="true" t="shared" si="12" ref="Z23:Z43">IF(O23="RF",J23*S23*ROUND(N23/60,2),"--")</f>
        <v>--</v>
      </c>
      <c r="AA23" s="236" t="str">
        <f aca="true" t="shared" si="13" ref="AA23:AA43">IF(O23="RR",J23*S23*ROUND(N23/60,2)*Q23/100,"--")</f>
        <v>--</v>
      </c>
      <c r="AB23" s="439" t="s">
        <v>145</v>
      </c>
      <c r="AC23" s="237">
        <f aca="true" t="shared" si="14" ref="AC23:AC43">IF(F23="","",SUM(T23:AA23)*IF(AB23="SI",1,2)*IF(AND(Q23&lt;&gt;"0,000",O23="RF"),Q23/100,1))</f>
        <v>46.32390000000001</v>
      </c>
      <c r="AD23" s="238"/>
    </row>
    <row r="24" spans="2:30" s="1" customFormat="1" ht="16.5" customHeight="1">
      <c r="B24" s="158"/>
      <c r="C24" s="209">
        <v>108</v>
      </c>
      <c r="D24" s="209">
        <v>291560</v>
      </c>
      <c r="E24" s="209">
        <v>2501</v>
      </c>
      <c r="F24" s="77" t="s">
        <v>206</v>
      </c>
      <c r="G24" s="79" t="s">
        <v>183</v>
      </c>
      <c r="H24" s="222">
        <v>15</v>
      </c>
      <c r="I24" s="90" t="s">
        <v>184</v>
      </c>
      <c r="J24" s="224">
        <f t="shared" si="0"/>
        <v>17.955000000000002</v>
      </c>
      <c r="K24" s="447">
        <v>42235.615277777775</v>
      </c>
      <c r="L24" s="447">
        <v>42235.645833333336</v>
      </c>
      <c r="M24" s="225">
        <f t="shared" si="1"/>
        <v>0.7333333334536292</v>
      </c>
      <c r="N24" s="226">
        <f t="shared" si="2"/>
        <v>44</v>
      </c>
      <c r="O24" s="227" t="s">
        <v>149</v>
      </c>
      <c r="P24" s="439" t="str">
        <f t="shared" si="3"/>
        <v>NO</v>
      </c>
      <c r="Q24" s="439" t="s">
        <v>146</v>
      </c>
      <c r="R24" s="439" t="s">
        <v>145</v>
      </c>
      <c r="S24" s="105">
        <f t="shared" si="5"/>
        <v>60</v>
      </c>
      <c r="T24" s="229" t="str">
        <f t="shared" si="6"/>
        <v>--</v>
      </c>
      <c r="U24" s="230" t="str">
        <f t="shared" si="7"/>
        <v>--</v>
      </c>
      <c r="V24" s="231">
        <f t="shared" si="8"/>
        <v>1077.3000000000002</v>
      </c>
      <c r="W24" s="232">
        <f t="shared" si="9"/>
        <v>786.4290000000001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39" t="s">
        <v>145</v>
      </c>
      <c r="AC24" s="237">
        <f t="shared" si="14"/>
        <v>1863.7290000000003</v>
      </c>
      <c r="AD24" s="159"/>
    </row>
    <row r="25" spans="2:30" s="1" customFormat="1" ht="16.5" customHeight="1">
      <c r="B25" s="158"/>
      <c r="C25" s="209" t="s">
        <v>326</v>
      </c>
      <c r="D25" s="209">
        <v>291560</v>
      </c>
      <c r="E25" s="209">
        <v>2501</v>
      </c>
      <c r="F25" s="77" t="s">
        <v>206</v>
      </c>
      <c r="G25" s="79" t="s">
        <v>183</v>
      </c>
      <c r="H25" s="222">
        <v>15</v>
      </c>
      <c r="I25" s="90" t="s">
        <v>184</v>
      </c>
      <c r="J25" s="224">
        <f>H25*$I$16</f>
        <v>17.955000000000002</v>
      </c>
      <c r="K25" s="447">
        <v>42235.645833333336</v>
      </c>
      <c r="L25" s="447">
        <v>42235.775</v>
      </c>
      <c r="M25" s="225">
        <f>IF(F25="","",(L25-K25)*24)</f>
        <v>3.099999999976717</v>
      </c>
      <c r="N25" s="226">
        <f>IF(F25="","",ROUND((L25-K25)*24*60,0))</f>
        <v>186</v>
      </c>
      <c r="O25" s="227" t="s">
        <v>327</v>
      </c>
      <c r="P25" s="439" t="str">
        <f>IF(F25="","",IF(OR(O25="P",O25="RP"),"--","NO"))</f>
        <v>NO</v>
      </c>
      <c r="Q25" s="439" t="s">
        <v>146</v>
      </c>
      <c r="R25" s="439" t="s">
        <v>328</v>
      </c>
      <c r="S25" s="105">
        <f>$I$17*IF(OR(O25="P",O25="RP"),0.1,1)*IF(R25="SI",1,0.1)</f>
        <v>6</v>
      </c>
      <c r="T25" s="229" t="str">
        <f>IF(O25="P",J25*S25*ROUND(N25/60,2),"--")</f>
        <v>--</v>
      </c>
      <c r="U25" s="230" t="str">
        <f>IF(O25="RP",J25*S25*ROUND(N25/60,2)*Q25/100,"--")</f>
        <v>--</v>
      </c>
      <c r="V25" s="231" t="str">
        <f>IF(AND(O25="F",P25="NO"),J25*S25,"--")</f>
        <v>--</v>
      </c>
      <c r="W25" s="232" t="str">
        <f>IF(O25="F",J25*S25*ROUND(N25/60,2),"--")</f>
        <v>--</v>
      </c>
      <c r="X25" s="233" t="str">
        <f>IF(AND(O25="R",P25="NO"),J25*S25*Q25/100,"--")</f>
        <v>--</v>
      </c>
      <c r="Y25" s="234" t="str">
        <f>IF(O25="R",J25*S25*ROUND(N25/60,2)*Q25/100,"--")</f>
        <v>--</v>
      </c>
      <c r="Z25" s="235">
        <f>IF(O25="RF",J25*S25*ROUND(N25/60,2),"--")</f>
        <v>333.9630000000001</v>
      </c>
      <c r="AA25" s="236" t="str">
        <f>IF(O25="RR",J25*S25*ROUND(N25/60,2)*Q25/100,"--")</f>
        <v>--</v>
      </c>
      <c r="AB25" s="439" t="s">
        <v>145</v>
      </c>
      <c r="AC25" s="237">
        <f>IF(F25="","",SUM(T25:AA25)*IF(AB25="SI",1,2)*IF(AND(Q25&lt;&gt;"0,000",O25="RF"),Q25/100,1))</f>
        <v>333.9630000000001</v>
      </c>
      <c r="AD25" s="159"/>
    </row>
    <row r="26" spans="2:30" s="1" customFormat="1" ht="16.5" customHeight="1">
      <c r="B26" s="158"/>
      <c r="C26" s="209">
        <v>109</v>
      </c>
      <c r="D26" s="209">
        <v>291565</v>
      </c>
      <c r="E26" s="209">
        <v>2115</v>
      </c>
      <c r="F26" s="77" t="s">
        <v>202</v>
      </c>
      <c r="G26" s="79" t="s">
        <v>183</v>
      </c>
      <c r="H26" s="222">
        <v>15</v>
      </c>
      <c r="I26" s="90" t="s">
        <v>184</v>
      </c>
      <c r="J26" s="224">
        <f t="shared" si="0"/>
        <v>17.955000000000002</v>
      </c>
      <c r="K26" s="447">
        <v>42236.339583333334</v>
      </c>
      <c r="L26" s="447">
        <v>42236.70694444444</v>
      </c>
      <c r="M26" s="225">
        <f t="shared" si="1"/>
        <v>8.816666666592937</v>
      </c>
      <c r="N26" s="226">
        <f t="shared" si="2"/>
        <v>529</v>
      </c>
      <c r="O26" s="227" t="s">
        <v>144</v>
      </c>
      <c r="P26" s="439" t="str">
        <f t="shared" si="3"/>
        <v>--</v>
      </c>
      <c r="Q26" s="439" t="s">
        <v>146</v>
      </c>
      <c r="R26" s="439" t="str">
        <f t="shared" si="4"/>
        <v>NO</v>
      </c>
      <c r="S26" s="105">
        <f t="shared" si="5"/>
        <v>0.6000000000000001</v>
      </c>
      <c r="T26" s="229">
        <f t="shared" si="6"/>
        <v>95.01786000000003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39" t="s">
        <v>145</v>
      </c>
      <c r="AC26" s="237">
        <f t="shared" si="14"/>
        <v>95.01786000000003</v>
      </c>
      <c r="AD26" s="159"/>
    </row>
    <row r="27" spans="2:30" s="1" customFormat="1" ht="16.5" customHeight="1">
      <c r="B27" s="158"/>
      <c r="C27" s="209">
        <v>110</v>
      </c>
      <c r="D27" s="209">
        <v>291572</v>
      </c>
      <c r="E27" s="209">
        <v>5261</v>
      </c>
      <c r="F27" s="77" t="s">
        <v>199</v>
      </c>
      <c r="G27" s="79" t="s">
        <v>311</v>
      </c>
      <c r="H27" s="451">
        <v>15</v>
      </c>
      <c r="I27" s="90" t="s">
        <v>204</v>
      </c>
      <c r="J27" s="224">
        <f t="shared" si="0"/>
        <v>17.955000000000002</v>
      </c>
      <c r="K27" s="447">
        <v>42236.37569444445</v>
      </c>
      <c r="L27" s="447">
        <v>42236.654861111114</v>
      </c>
      <c r="M27" s="225">
        <f t="shared" si="1"/>
        <v>6.7000000000116415</v>
      </c>
      <c r="N27" s="226">
        <f t="shared" si="2"/>
        <v>402</v>
      </c>
      <c r="O27" s="227" t="s">
        <v>144</v>
      </c>
      <c r="P27" s="439" t="str">
        <f t="shared" si="3"/>
        <v>--</v>
      </c>
      <c r="Q27" s="439" t="s">
        <v>146</v>
      </c>
      <c r="R27" s="439" t="str">
        <f t="shared" si="4"/>
        <v>NO</v>
      </c>
      <c r="S27" s="105">
        <f t="shared" si="5"/>
        <v>0.6000000000000001</v>
      </c>
      <c r="T27" s="229">
        <f t="shared" si="6"/>
        <v>72.17910000000002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39" t="s">
        <v>145</v>
      </c>
      <c r="AC27" s="237">
        <f t="shared" si="14"/>
        <v>72.17910000000002</v>
      </c>
      <c r="AD27" s="159"/>
    </row>
    <row r="28" spans="2:30" s="1" customFormat="1" ht="16.5" customHeight="1">
      <c r="B28" s="158"/>
      <c r="C28" s="209">
        <v>111</v>
      </c>
      <c r="D28" s="209">
        <v>291578</v>
      </c>
      <c r="E28" s="209">
        <v>3509</v>
      </c>
      <c r="F28" s="77" t="s">
        <v>196</v>
      </c>
      <c r="G28" s="79" t="s">
        <v>183</v>
      </c>
      <c r="H28" s="222">
        <v>30</v>
      </c>
      <c r="I28" s="90" t="s">
        <v>184</v>
      </c>
      <c r="J28" s="224">
        <f t="shared" si="0"/>
        <v>35.910000000000004</v>
      </c>
      <c r="K28" s="447">
        <v>42236.47638888889</v>
      </c>
      <c r="L28" s="447">
        <v>42236.58194444444</v>
      </c>
      <c r="M28" s="225">
        <f t="shared" si="1"/>
        <v>2.533333333209157</v>
      </c>
      <c r="N28" s="226">
        <f t="shared" si="2"/>
        <v>152</v>
      </c>
      <c r="O28" s="227" t="s">
        <v>144</v>
      </c>
      <c r="P28" s="439" t="str">
        <f t="shared" si="3"/>
        <v>--</v>
      </c>
      <c r="Q28" s="439" t="s">
        <v>146</v>
      </c>
      <c r="R28" s="439" t="str">
        <f t="shared" si="4"/>
        <v>NO</v>
      </c>
      <c r="S28" s="105">
        <f t="shared" si="5"/>
        <v>0.6000000000000001</v>
      </c>
      <c r="T28" s="229">
        <f t="shared" si="6"/>
        <v>54.51138000000001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 t="str">
        <f t="shared" si="10"/>
        <v>--</v>
      </c>
      <c r="Y28" s="234" t="str">
        <f t="shared" si="11"/>
        <v>--</v>
      </c>
      <c r="Z28" s="235" t="str">
        <f t="shared" si="12"/>
        <v>--</v>
      </c>
      <c r="AA28" s="236" t="str">
        <f t="shared" si="13"/>
        <v>--</v>
      </c>
      <c r="AB28" s="439" t="s">
        <v>145</v>
      </c>
      <c r="AC28" s="237">
        <f t="shared" si="14"/>
        <v>54.51138000000001</v>
      </c>
      <c r="AD28" s="159"/>
    </row>
    <row r="29" spans="2:30" s="1" customFormat="1" ht="16.5" customHeight="1">
      <c r="B29" s="158"/>
      <c r="C29" s="209">
        <v>112</v>
      </c>
      <c r="D29" s="209">
        <v>291585</v>
      </c>
      <c r="E29" s="209">
        <v>2510</v>
      </c>
      <c r="F29" s="77" t="s">
        <v>207</v>
      </c>
      <c r="G29" s="79" t="s">
        <v>190</v>
      </c>
      <c r="H29" s="222">
        <v>40</v>
      </c>
      <c r="I29" s="90" t="s">
        <v>184</v>
      </c>
      <c r="J29" s="224">
        <f t="shared" si="0"/>
        <v>47.88</v>
      </c>
      <c r="K29" s="447">
        <v>42237.399305555555</v>
      </c>
      <c r="L29" s="447">
        <v>42237.60208333333</v>
      </c>
      <c r="M29" s="225">
        <f t="shared" si="1"/>
        <v>4.866666666639503</v>
      </c>
      <c r="N29" s="226">
        <f t="shared" si="2"/>
        <v>292</v>
      </c>
      <c r="O29" s="227" t="s">
        <v>144</v>
      </c>
      <c r="P29" s="439" t="str">
        <f t="shared" si="3"/>
        <v>--</v>
      </c>
      <c r="Q29" s="439" t="s">
        <v>146</v>
      </c>
      <c r="R29" s="439" t="str">
        <f t="shared" si="4"/>
        <v>NO</v>
      </c>
      <c r="S29" s="105">
        <f t="shared" si="5"/>
        <v>0.6000000000000001</v>
      </c>
      <c r="T29" s="229">
        <f t="shared" si="6"/>
        <v>139.90536000000003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39" t="s">
        <v>145</v>
      </c>
      <c r="AC29" s="237">
        <f t="shared" si="14"/>
        <v>139.90536000000003</v>
      </c>
      <c r="AD29" s="159"/>
    </row>
    <row r="30" spans="2:30" s="1" customFormat="1" ht="16.5" customHeight="1">
      <c r="B30" s="158"/>
      <c r="C30" s="209">
        <v>113</v>
      </c>
      <c r="D30" s="209">
        <v>291589</v>
      </c>
      <c r="E30" s="209">
        <v>3509</v>
      </c>
      <c r="F30" s="77" t="s">
        <v>196</v>
      </c>
      <c r="G30" s="79" t="s">
        <v>183</v>
      </c>
      <c r="H30" s="222">
        <v>30</v>
      </c>
      <c r="I30" s="90" t="s">
        <v>184</v>
      </c>
      <c r="J30" s="224">
        <f t="shared" si="0"/>
        <v>35.910000000000004</v>
      </c>
      <c r="K30" s="447">
        <v>42237.5</v>
      </c>
      <c r="L30" s="447">
        <v>42237.55902777778</v>
      </c>
      <c r="M30" s="225">
        <f t="shared" si="1"/>
        <v>1.4166666667442769</v>
      </c>
      <c r="N30" s="226">
        <f t="shared" si="2"/>
        <v>85</v>
      </c>
      <c r="O30" s="227" t="s">
        <v>144</v>
      </c>
      <c r="P30" s="439" t="str">
        <f t="shared" si="3"/>
        <v>--</v>
      </c>
      <c r="Q30" s="439" t="s">
        <v>146</v>
      </c>
      <c r="R30" s="439" t="str">
        <f t="shared" si="4"/>
        <v>NO</v>
      </c>
      <c r="S30" s="105">
        <f t="shared" si="5"/>
        <v>0.6000000000000001</v>
      </c>
      <c r="T30" s="229">
        <f t="shared" si="6"/>
        <v>30.595320000000008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39" t="s">
        <v>145</v>
      </c>
      <c r="AC30" s="237">
        <f t="shared" si="14"/>
        <v>30.595320000000008</v>
      </c>
      <c r="AD30" s="159"/>
    </row>
    <row r="31" spans="2:30" s="1" customFormat="1" ht="16.5" customHeight="1">
      <c r="B31" s="158"/>
      <c r="C31" s="209">
        <v>114</v>
      </c>
      <c r="D31" s="209">
        <v>291590</v>
      </c>
      <c r="E31" s="209">
        <v>2115</v>
      </c>
      <c r="F31" s="77" t="s">
        <v>202</v>
      </c>
      <c r="G31" s="79" t="s">
        <v>183</v>
      </c>
      <c r="H31" s="222">
        <v>15</v>
      </c>
      <c r="I31" s="90" t="s">
        <v>184</v>
      </c>
      <c r="J31" s="224">
        <f t="shared" si="0"/>
        <v>17.955000000000002</v>
      </c>
      <c r="K31" s="447">
        <v>42237.501388888886</v>
      </c>
      <c r="L31" s="447">
        <v>42237.69236111111</v>
      </c>
      <c r="M31" s="225">
        <f t="shared" si="1"/>
        <v>4.583333333430346</v>
      </c>
      <c r="N31" s="226">
        <f t="shared" si="2"/>
        <v>275</v>
      </c>
      <c r="O31" s="227" t="s">
        <v>144</v>
      </c>
      <c r="P31" s="439" t="str">
        <f t="shared" si="3"/>
        <v>--</v>
      </c>
      <c r="Q31" s="439" t="s">
        <v>146</v>
      </c>
      <c r="R31" s="439" t="str">
        <f t="shared" si="4"/>
        <v>NO</v>
      </c>
      <c r="S31" s="105">
        <f t="shared" si="5"/>
        <v>0.6000000000000001</v>
      </c>
      <c r="T31" s="229">
        <f t="shared" si="6"/>
        <v>49.34034000000002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39" t="s">
        <v>145</v>
      </c>
      <c r="AC31" s="237">
        <f t="shared" si="14"/>
        <v>49.34034000000002</v>
      </c>
      <c r="AD31" s="159"/>
    </row>
    <row r="32" spans="2:30" s="1" customFormat="1" ht="16.5" customHeight="1">
      <c r="B32" s="158"/>
      <c r="C32" s="209">
        <v>115</v>
      </c>
      <c r="D32" s="209">
        <v>291591</v>
      </c>
      <c r="E32" s="209">
        <v>2501</v>
      </c>
      <c r="F32" s="77" t="s">
        <v>206</v>
      </c>
      <c r="G32" s="79" t="s">
        <v>183</v>
      </c>
      <c r="H32" s="222">
        <v>15</v>
      </c>
      <c r="I32" s="90" t="s">
        <v>184</v>
      </c>
      <c r="J32" s="224">
        <f t="shared" si="0"/>
        <v>17.955000000000002</v>
      </c>
      <c r="K32" s="447">
        <v>42237.580555555556</v>
      </c>
      <c r="L32" s="447">
        <v>42237.822916666664</v>
      </c>
      <c r="M32" s="225">
        <f t="shared" si="1"/>
        <v>5.816666666592937</v>
      </c>
      <c r="N32" s="226">
        <f t="shared" si="2"/>
        <v>349</v>
      </c>
      <c r="O32" s="227" t="s">
        <v>144</v>
      </c>
      <c r="P32" s="439" t="str">
        <f t="shared" si="3"/>
        <v>--</v>
      </c>
      <c r="Q32" s="439" t="s">
        <v>146</v>
      </c>
      <c r="R32" s="439" t="str">
        <f t="shared" si="4"/>
        <v>NO</v>
      </c>
      <c r="S32" s="105">
        <f t="shared" si="5"/>
        <v>0.6000000000000001</v>
      </c>
      <c r="T32" s="229">
        <f t="shared" si="6"/>
        <v>62.698860000000025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39" t="s">
        <v>145</v>
      </c>
      <c r="AC32" s="237">
        <f t="shared" si="14"/>
        <v>62.698860000000025</v>
      </c>
      <c r="AD32" s="159"/>
    </row>
    <row r="33" spans="2:30" s="1" customFormat="1" ht="16.5" customHeight="1">
      <c r="B33" s="158"/>
      <c r="C33" s="209">
        <v>116</v>
      </c>
      <c r="D33" s="209">
        <v>291592</v>
      </c>
      <c r="E33" s="209">
        <v>2296</v>
      </c>
      <c r="F33" s="77" t="s">
        <v>208</v>
      </c>
      <c r="G33" s="79" t="s">
        <v>209</v>
      </c>
      <c r="H33" s="222">
        <v>30</v>
      </c>
      <c r="I33" s="90" t="s">
        <v>184</v>
      </c>
      <c r="J33" s="224">
        <f t="shared" si="0"/>
        <v>35.910000000000004</v>
      </c>
      <c r="K33" s="447">
        <v>42238.39861111111</v>
      </c>
      <c r="L33" s="447">
        <v>42238.447222222225</v>
      </c>
      <c r="M33" s="225">
        <f t="shared" si="1"/>
        <v>1.1666666668024845</v>
      </c>
      <c r="N33" s="226">
        <f t="shared" si="2"/>
        <v>70</v>
      </c>
      <c r="O33" s="227" t="s">
        <v>144</v>
      </c>
      <c r="P33" s="439" t="str">
        <f t="shared" si="3"/>
        <v>--</v>
      </c>
      <c r="Q33" s="439" t="s">
        <v>146</v>
      </c>
      <c r="R33" s="439" t="str">
        <f t="shared" si="4"/>
        <v>NO</v>
      </c>
      <c r="S33" s="105">
        <f t="shared" si="5"/>
        <v>0.6000000000000001</v>
      </c>
      <c r="T33" s="229">
        <f t="shared" si="6"/>
        <v>25.208820000000006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39" t="s">
        <v>145</v>
      </c>
      <c r="AC33" s="237">
        <f t="shared" si="14"/>
        <v>25.208820000000006</v>
      </c>
      <c r="AD33" s="159"/>
    </row>
    <row r="34" spans="2:30" s="1" customFormat="1" ht="16.5" customHeight="1">
      <c r="B34" s="158"/>
      <c r="C34" s="209">
        <v>117</v>
      </c>
      <c r="D34" s="209">
        <v>291594</v>
      </c>
      <c r="E34" s="209">
        <v>3454</v>
      </c>
      <c r="F34" s="77" t="s">
        <v>210</v>
      </c>
      <c r="G34" s="79" t="s">
        <v>183</v>
      </c>
      <c r="H34" s="222">
        <v>30</v>
      </c>
      <c r="I34" s="90" t="s">
        <v>184</v>
      </c>
      <c r="J34" s="224">
        <f t="shared" si="0"/>
        <v>35.910000000000004</v>
      </c>
      <c r="K34" s="447">
        <v>42239.27569444444</v>
      </c>
      <c r="L34" s="447">
        <v>42239.71875</v>
      </c>
      <c r="M34" s="225">
        <f t="shared" si="1"/>
        <v>10.633333333418705</v>
      </c>
      <c r="N34" s="226">
        <f t="shared" si="2"/>
        <v>638</v>
      </c>
      <c r="O34" s="227" t="s">
        <v>144</v>
      </c>
      <c r="P34" s="439" t="str">
        <f t="shared" si="3"/>
        <v>--</v>
      </c>
      <c r="Q34" s="439" t="s">
        <v>146</v>
      </c>
      <c r="R34" s="439" t="str">
        <f t="shared" si="4"/>
        <v>NO</v>
      </c>
      <c r="S34" s="105">
        <f t="shared" si="5"/>
        <v>0.6000000000000001</v>
      </c>
      <c r="T34" s="229">
        <f t="shared" si="6"/>
        <v>229.0339800000001</v>
      </c>
      <c r="U34" s="230" t="str">
        <f t="shared" si="7"/>
        <v>--</v>
      </c>
      <c r="V34" s="231" t="str">
        <f t="shared" si="8"/>
        <v>--</v>
      </c>
      <c r="W34" s="232" t="str">
        <f t="shared" si="9"/>
        <v>--</v>
      </c>
      <c r="X34" s="233" t="str">
        <f t="shared" si="10"/>
        <v>--</v>
      </c>
      <c r="Y34" s="234" t="str">
        <f t="shared" si="11"/>
        <v>--</v>
      </c>
      <c r="Z34" s="235" t="str">
        <f t="shared" si="12"/>
        <v>--</v>
      </c>
      <c r="AA34" s="236" t="str">
        <f t="shared" si="13"/>
        <v>--</v>
      </c>
      <c r="AB34" s="439" t="s">
        <v>145</v>
      </c>
      <c r="AC34" s="237">
        <f t="shared" si="14"/>
        <v>229.0339800000001</v>
      </c>
      <c r="AD34" s="159"/>
    </row>
    <row r="35" spans="2:30" s="1" customFormat="1" ht="16.5" customHeight="1">
      <c r="B35" s="158"/>
      <c r="C35" s="209">
        <v>118</v>
      </c>
      <c r="D35" s="209">
        <v>291596</v>
      </c>
      <c r="E35" s="209">
        <v>2440</v>
      </c>
      <c r="F35" s="77" t="s">
        <v>189</v>
      </c>
      <c r="G35" s="79" t="s">
        <v>190</v>
      </c>
      <c r="H35" s="222">
        <v>30</v>
      </c>
      <c r="I35" s="90" t="s">
        <v>184</v>
      </c>
      <c r="J35" s="224">
        <f t="shared" si="0"/>
        <v>35.910000000000004</v>
      </c>
      <c r="K35" s="447">
        <v>42239.33194444444</v>
      </c>
      <c r="L35" s="447">
        <v>42239.34861111111</v>
      </c>
      <c r="M35" s="225">
        <f t="shared" si="1"/>
        <v>0.4000000000814907</v>
      </c>
      <c r="N35" s="226">
        <f t="shared" si="2"/>
        <v>24</v>
      </c>
      <c r="O35" s="227" t="s">
        <v>149</v>
      </c>
      <c r="P35" s="439" t="str">
        <f t="shared" si="3"/>
        <v>NO</v>
      </c>
      <c r="Q35" s="439" t="s">
        <v>146</v>
      </c>
      <c r="R35" s="439" t="s">
        <v>145</v>
      </c>
      <c r="S35" s="105">
        <f t="shared" si="5"/>
        <v>60</v>
      </c>
      <c r="T35" s="229" t="str">
        <f t="shared" si="6"/>
        <v>--</v>
      </c>
      <c r="U35" s="230" t="str">
        <f t="shared" si="7"/>
        <v>--</v>
      </c>
      <c r="V35" s="231">
        <f t="shared" si="8"/>
        <v>2154.6000000000004</v>
      </c>
      <c r="W35" s="232">
        <f t="shared" si="9"/>
        <v>861.8400000000001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39" t="s">
        <v>145</v>
      </c>
      <c r="AC35" s="237">
        <f t="shared" si="14"/>
        <v>3016.4400000000005</v>
      </c>
      <c r="AD35" s="159"/>
    </row>
    <row r="36" spans="2:30" s="1" customFormat="1" ht="16.5" customHeight="1">
      <c r="B36" s="158"/>
      <c r="C36" s="209" t="s">
        <v>331</v>
      </c>
      <c r="D36" s="209">
        <v>291596</v>
      </c>
      <c r="E36" s="209">
        <v>2440</v>
      </c>
      <c r="F36" s="77" t="s">
        <v>189</v>
      </c>
      <c r="G36" s="79" t="s">
        <v>190</v>
      </c>
      <c r="H36" s="222">
        <v>30</v>
      </c>
      <c r="I36" s="90" t="s">
        <v>184</v>
      </c>
      <c r="J36" s="224">
        <f>H36*$I$16</f>
        <v>35.910000000000004</v>
      </c>
      <c r="K36" s="447">
        <v>42239.34861111111</v>
      </c>
      <c r="L36" s="447">
        <v>42239.438888888886</v>
      </c>
      <c r="M36" s="225">
        <f>IF(F36="","",(L36-K36)*24)</f>
        <v>2.166666666569654</v>
      </c>
      <c r="N36" s="226">
        <f>IF(F36="","",ROUND((L36-K36)*24*60,0))</f>
        <v>130</v>
      </c>
      <c r="O36" s="227" t="s">
        <v>327</v>
      </c>
      <c r="P36" s="439" t="str">
        <f>IF(F36="","",IF(OR(O36="P",O36="RP"),"--","NO"))</f>
        <v>NO</v>
      </c>
      <c r="Q36" s="439" t="s">
        <v>146</v>
      </c>
      <c r="R36" s="439" t="s">
        <v>328</v>
      </c>
      <c r="S36" s="105">
        <f>$I$17*IF(OR(O36="P",O36="RP"),0.1,1)*IF(R36="SI",1,0.1)</f>
        <v>6</v>
      </c>
      <c r="T36" s="229" t="str">
        <f>IF(O36="P",J36*S36*ROUND(N36/60,2),"--")</f>
        <v>--</v>
      </c>
      <c r="U36" s="230" t="str">
        <f>IF(O36="RP",J36*S36*ROUND(N36/60,2)*Q36/100,"--")</f>
        <v>--</v>
      </c>
      <c r="V36" s="231" t="str">
        <f>IF(AND(O36="F",P36="NO"),J36*S36,"--")</f>
        <v>--</v>
      </c>
      <c r="W36" s="232" t="str">
        <f>IF(O36="F",J36*S36*ROUND(N36/60,2),"--")</f>
        <v>--</v>
      </c>
      <c r="X36" s="233" t="str">
        <f>IF(AND(O36="R",P36="NO"),J36*S36*Q36/100,"--")</f>
        <v>--</v>
      </c>
      <c r="Y36" s="234" t="str">
        <f>IF(O36="R",J36*S36*ROUND(N36/60,2)*Q36/100,"--")</f>
        <v>--</v>
      </c>
      <c r="Z36" s="235">
        <f>IF(O36="RF",J36*S36*ROUND(N36/60,2),"--")</f>
        <v>467.54820000000007</v>
      </c>
      <c r="AA36" s="236" t="str">
        <f>IF(O36="RR",J36*S36*ROUND(N36/60,2)*Q36/100,"--")</f>
        <v>--</v>
      </c>
      <c r="AB36" s="439" t="s">
        <v>145</v>
      </c>
      <c r="AC36" s="237">
        <f>IF(F36="","",SUM(T36:AA36)*IF(AB36="SI",1,2)*IF(AND(Q36&lt;&gt;"0,000",O36="RF"),Q36/100,1))</f>
        <v>467.54820000000007</v>
      </c>
      <c r="AD36" s="159"/>
    </row>
    <row r="37" spans="2:30" s="1" customFormat="1" ht="16.5" customHeight="1">
      <c r="B37" s="158"/>
      <c r="C37" s="209">
        <v>119</v>
      </c>
      <c r="D37" s="209">
        <v>291602</v>
      </c>
      <c r="E37" s="209">
        <v>3085</v>
      </c>
      <c r="F37" s="77" t="s">
        <v>185</v>
      </c>
      <c r="G37" s="79" t="s">
        <v>211</v>
      </c>
      <c r="H37" s="222">
        <v>150</v>
      </c>
      <c r="I37" s="470" t="s">
        <v>312</v>
      </c>
      <c r="J37" s="224">
        <f t="shared" si="0"/>
        <v>179.55</v>
      </c>
      <c r="K37" s="447">
        <v>42239.354166666664</v>
      </c>
      <c r="L37" s="447">
        <v>42239.631944444445</v>
      </c>
      <c r="M37" s="225">
        <f t="shared" si="1"/>
        <v>6.666666666744277</v>
      </c>
      <c r="N37" s="226">
        <f t="shared" si="2"/>
        <v>400</v>
      </c>
      <c r="O37" s="227" t="s">
        <v>144</v>
      </c>
      <c r="P37" s="439" t="str">
        <f t="shared" si="3"/>
        <v>--</v>
      </c>
      <c r="Q37" s="439" t="s">
        <v>146</v>
      </c>
      <c r="R37" s="439" t="str">
        <f t="shared" si="4"/>
        <v>NO</v>
      </c>
      <c r="S37" s="105">
        <f t="shared" si="5"/>
        <v>0.6000000000000001</v>
      </c>
      <c r="T37" s="229">
        <f t="shared" si="6"/>
        <v>718.5591000000001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39" t="s">
        <v>145</v>
      </c>
      <c r="AC37" s="237">
        <f t="shared" si="14"/>
        <v>718.5591000000001</v>
      </c>
      <c r="AD37" s="159"/>
    </row>
    <row r="38" spans="2:30" s="1" customFormat="1" ht="16.5" customHeight="1">
      <c r="B38" s="158"/>
      <c r="C38" s="209">
        <v>120</v>
      </c>
      <c r="D38" s="209">
        <v>291703</v>
      </c>
      <c r="E38" s="209">
        <v>3550</v>
      </c>
      <c r="F38" s="77" t="s">
        <v>212</v>
      </c>
      <c r="G38" s="79" t="s">
        <v>183</v>
      </c>
      <c r="H38" s="222">
        <v>40</v>
      </c>
      <c r="I38" s="90" t="s">
        <v>184</v>
      </c>
      <c r="J38" s="224">
        <f t="shared" si="0"/>
        <v>47.88</v>
      </c>
      <c r="K38" s="447">
        <v>42240.379166666666</v>
      </c>
      <c r="L38" s="447">
        <v>42240.739583333336</v>
      </c>
      <c r="M38" s="225">
        <f t="shared" si="1"/>
        <v>8.65000000008149</v>
      </c>
      <c r="N38" s="226">
        <f t="shared" si="2"/>
        <v>519</v>
      </c>
      <c r="O38" s="227" t="s">
        <v>144</v>
      </c>
      <c r="P38" s="439" t="str">
        <f t="shared" si="3"/>
        <v>--</v>
      </c>
      <c r="Q38" s="439" t="s">
        <v>146</v>
      </c>
      <c r="R38" s="439" t="str">
        <f t="shared" si="4"/>
        <v>NO</v>
      </c>
      <c r="S38" s="105">
        <f t="shared" si="5"/>
        <v>0.6000000000000001</v>
      </c>
      <c r="T38" s="229">
        <f t="shared" si="6"/>
        <v>248.49720000000005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39" t="s">
        <v>145</v>
      </c>
      <c r="AC38" s="237">
        <f t="shared" si="14"/>
        <v>248.49720000000005</v>
      </c>
      <c r="AD38" s="159"/>
    </row>
    <row r="39" spans="2:30" s="1" customFormat="1" ht="16.5" customHeight="1">
      <c r="B39" s="158"/>
      <c r="C39" s="209">
        <v>121</v>
      </c>
      <c r="D39" s="209">
        <v>291708</v>
      </c>
      <c r="E39" s="209">
        <v>2065</v>
      </c>
      <c r="F39" s="77" t="s">
        <v>213</v>
      </c>
      <c r="G39" s="79" t="s">
        <v>186</v>
      </c>
      <c r="H39" s="222">
        <v>15</v>
      </c>
      <c r="I39" s="90" t="s">
        <v>184</v>
      </c>
      <c r="J39" s="224">
        <f t="shared" si="0"/>
        <v>17.955000000000002</v>
      </c>
      <c r="K39" s="447">
        <v>42241.364583333336</v>
      </c>
      <c r="L39" s="447">
        <v>42241.720138888886</v>
      </c>
      <c r="M39" s="225">
        <f t="shared" si="1"/>
        <v>8.533333333209157</v>
      </c>
      <c r="N39" s="226">
        <f t="shared" si="2"/>
        <v>512</v>
      </c>
      <c r="O39" s="227" t="s">
        <v>144</v>
      </c>
      <c r="P39" s="439" t="str">
        <f t="shared" si="3"/>
        <v>--</v>
      </c>
      <c r="Q39" s="439" t="s">
        <v>146</v>
      </c>
      <c r="R39" s="439" t="str">
        <f t="shared" si="4"/>
        <v>NO</v>
      </c>
      <c r="S39" s="105">
        <f t="shared" si="5"/>
        <v>0.6000000000000001</v>
      </c>
      <c r="T39" s="229">
        <f t="shared" si="6"/>
        <v>91.89369000000002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39" t="s">
        <v>145</v>
      </c>
      <c r="AC39" s="237">
        <f t="shared" si="14"/>
        <v>91.89369000000002</v>
      </c>
      <c r="AD39" s="159"/>
    </row>
    <row r="40" spans="2:30" s="1" customFormat="1" ht="16.5" customHeight="1">
      <c r="B40" s="158"/>
      <c r="C40" s="209">
        <v>122</v>
      </c>
      <c r="D40" s="209">
        <v>291709</v>
      </c>
      <c r="E40" s="209">
        <v>3550</v>
      </c>
      <c r="F40" s="77" t="s">
        <v>212</v>
      </c>
      <c r="G40" s="79" t="s">
        <v>183</v>
      </c>
      <c r="H40" s="222">
        <v>40</v>
      </c>
      <c r="I40" s="90" t="s">
        <v>184</v>
      </c>
      <c r="J40" s="224">
        <f t="shared" si="0"/>
        <v>47.88</v>
      </c>
      <c r="K40" s="447">
        <v>42241.36875</v>
      </c>
      <c r="L40" s="447">
        <v>42241.725</v>
      </c>
      <c r="M40" s="225">
        <f t="shared" si="1"/>
        <v>8.54999999993015</v>
      </c>
      <c r="N40" s="226">
        <f t="shared" si="2"/>
        <v>513</v>
      </c>
      <c r="O40" s="227" t="s">
        <v>144</v>
      </c>
      <c r="P40" s="439" t="str">
        <f t="shared" si="3"/>
        <v>--</v>
      </c>
      <c r="Q40" s="439" t="s">
        <v>146</v>
      </c>
      <c r="R40" s="439" t="str">
        <f t="shared" si="4"/>
        <v>NO</v>
      </c>
      <c r="S40" s="105">
        <f t="shared" si="5"/>
        <v>0.6000000000000001</v>
      </c>
      <c r="T40" s="229">
        <f t="shared" si="6"/>
        <v>245.62440000000007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39" t="s">
        <v>145</v>
      </c>
      <c r="AC40" s="237">
        <f t="shared" si="14"/>
        <v>245.62440000000007</v>
      </c>
      <c r="AD40" s="159"/>
    </row>
    <row r="41" spans="2:30" s="1" customFormat="1" ht="16.5" customHeight="1">
      <c r="B41" s="158"/>
      <c r="C41" s="209">
        <v>123</v>
      </c>
      <c r="D41" s="209">
        <v>291713</v>
      </c>
      <c r="E41" s="209">
        <v>5386</v>
      </c>
      <c r="F41" s="77" t="s">
        <v>313</v>
      </c>
      <c r="G41" s="79" t="s">
        <v>201</v>
      </c>
      <c r="H41" s="451">
        <v>30</v>
      </c>
      <c r="I41" s="90" t="s">
        <v>184</v>
      </c>
      <c r="J41" s="224">
        <f t="shared" si="0"/>
        <v>35.910000000000004</v>
      </c>
      <c r="K41" s="447">
        <v>42241.53333333333</v>
      </c>
      <c r="L41" s="447">
        <v>42241.61597222222</v>
      </c>
      <c r="M41" s="225">
        <f t="shared" si="1"/>
        <v>1.9833333333372138</v>
      </c>
      <c r="N41" s="226">
        <f t="shared" si="2"/>
        <v>119</v>
      </c>
      <c r="O41" s="227" t="s">
        <v>144</v>
      </c>
      <c r="P41" s="439" t="str">
        <f t="shared" si="3"/>
        <v>--</v>
      </c>
      <c r="Q41" s="439" t="s">
        <v>146</v>
      </c>
      <c r="R41" s="439" t="str">
        <f t="shared" si="4"/>
        <v>NO</v>
      </c>
      <c r="S41" s="105">
        <f t="shared" si="5"/>
        <v>0.6000000000000001</v>
      </c>
      <c r="T41" s="229">
        <f t="shared" si="6"/>
        <v>42.66108000000001</v>
      </c>
      <c r="U41" s="230" t="str">
        <f t="shared" si="7"/>
        <v>--</v>
      </c>
      <c r="V41" s="231" t="str">
        <f t="shared" si="8"/>
        <v>--</v>
      </c>
      <c r="W41" s="232" t="str">
        <f t="shared" si="9"/>
        <v>--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39" t="s">
        <v>145</v>
      </c>
      <c r="AC41" s="237">
        <f t="shared" si="14"/>
        <v>42.66108000000001</v>
      </c>
      <c r="AD41" s="159"/>
    </row>
    <row r="42" spans="2:30" s="1" customFormat="1" ht="16.5" customHeight="1">
      <c r="B42" s="158"/>
      <c r="C42" s="209">
        <v>124</v>
      </c>
      <c r="D42" s="209">
        <v>291717</v>
      </c>
      <c r="E42" s="209">
        <v>2114</v>
      </c>
      <c r="F42" s="77" t="s">
        <v>202</v>
      </c>
      <c r="G42" s="79" t="s">
        <v>190</v>
      </c>
      <c r="H42" s="222">
        <v>15</v>
      </c>
      <c r="I42" s="90" t="s">
        <v>184</v>
      </c>
      <c r="J42" s="224">
        <f t="shared" si="0"/>
        <v>17.955000000000002</v>
      </c>
      <c r="K42" s="447">
        <v>42242.34375</v>
      </c>
      <c r="L42" s="447">
        <v>42242.62222222222</v>
      </c>
      <c r="M42" s="225">
        <f t="shared" si="1"/>
        <v>6.683333333290648</v>
      </c>
      <c r="N42" s="226">
        <f t="shared" si="2"/>
        <v>401</v>
      </c>
      <c r="O42" s="227" t="s">
        <v>144</v>
      </c>
      <c r="P42" s="439" t="str">
        <f t="shared" si="3"/>
        <v>--</v>
      </c>
      <c r="Q42" s="439" t="s">
        <v>146</v>
      </c>
      <c r="R42" s="439" t="str">
        <f t="shared" si="4"/>
        <v>NO</v>
      </c>
      <c r="S42" s="105">
        <f t="shared" si="5"/>
        <v>0.6000000000000001</v>
      </c>
      <c r="T42" s="229">
        <f t="shared" si="6"/>
        <v>71.96364000000001</v>
      </c>
      <c r="U42" s="230" t="str">
        <f t="shared" si="7"/>
        <v>--</v>
      </c>
      <c r="V42" s="231" t="str">
        <f t="shared" si="8"/>
        <v>--</v>
      </c>
      <c r="W42" s="232" t="str">
        <f t="shared" si="9"/>
        <v>--</v>
      </c>
      <c r="X42" s="233" t="str">
        <f t="shared" si="10"/>
        <v>--</v>
      </c>
      <c r="Y42" s="234" t="str">
        <f t="shared" si="11"/>
        <v>--</v>
      </c>
      <c r="Z42" s="235" t="str">
        <f t="shared" si="12"/>
        <v>--</v>
      </c>
      <c r="AA42" s="236" t="str">
        <f t="shared" si="13"/>
        <v>--</v>
      </c>
      <c r="AB42" s="439" t="s">
        <v>145</v>
      </c>
      <c r="AC42" s="237">
        <f t="shared" si="14"/>
        <v>71.96364000000001</v>
      </c>
      <c r="AD42" s="159"/>
    </row>
    <row r="43" spans="2:30" s="1" customFormat="1" ht="16.5" customHeight="1">
      <c r="B43" s="158"/>
      <c r="C43" s="209">
        <v>125</v>
      </c>
      <c r="D43" s="209">
        <v>291719</v>
      </c>
      <c r="E43" s="209">
        <v>2065</v>
      </c>
      <c r="F43" s="77" t="s">
        <v>213</v>
      </c>
      <c r="G43" s="79" t="s">
        <v>186</v>
      </c>
      <c r="H43" s="222">
        <v>15</v>
      </c>
      <c r="I43" s="90" t="s">
        <v>184</v>
      </c>
      <c r="J43" s="224">
        <f t="shared" si="0"/>
        <v>17.955000000000002</v>
      </c>
      <c r="K43" s="447">
        <v>42242.388194444444</v>
      </c>
      <c r="L43" s="447">
        <v>42242.66111111111</v>
      </c>
      <c r="M43" s="225">
        <f t="shared" si="1"/>
        <v>6.550000000046566</v>
      </c>
      <c r="N43" s="226">
        <f t="shared" si="2"/>
        <v>393</v>
      </c>
      <c r="O43" s="227" t="s">
        <v>144</v>
      </c>
      <c r="P43" s="439" t="str">
        <f t="shared" si="3"/>
        <v>--</v>
      </c>
      <c r="Q43" s="439" t="s">
        <v>146</v>
      </c>
      <c r="R43" s="439" t="str">
        <f t="shared" si="4"/>
        <v>NO</v>
      </c>
      <c r="S43" s="105">
        <f t="shared" si="5"/>
        <v>0.6000000000000001</v>
      </c>
      <c r="T43" s="229">
        <f t="shared" si="6"/>
        <v>70.56315000000002</v>
      </c>
      <c r="U43" s="230" t="str">
        <f t="shared" si="7"/>
        <v>--</v>
      </c>
      <c r="V43" s="231" t="str">
        <f t="shared" si="8"/>
        <v>--</v>
      </c>
      <c r="W43" s="232" t="str">
        <f t="shared" si="9"/>
        <v>--</v>
      </c>
      <c r="X43" s="233" t="str">
        <f t="shared" si="10"/>
        <v>--</v>
      </c>
      <c r="Y43" s="234" t="str">
        <f t="shared" si="11"/>
        <v>--</v>
      </c>
      <c r="Z43" s="235" t="str">
        <f t="shared" si="12"/>
        <v>--</v>
      </c>
      <c r="AA43" s="236" t="str">
        <f t="shared" si="13"/>
        <v>--</v>
      </c>
      <c r="AB43" s="439" t="s">
        <v>145</v>
      </c>
      <c r="AC43" s="237">
        <f t="shared" si="14"/>
        <v>70.56315000000002</v>
      </c>
      <c r="AD43" s="159"/>
    </row>
    <row r="44" spans="2:30" s="1" customFormat="1" ht="16.5" customHeight="1" thickBot="1">
      <c r="B44" s="158"/>
      <c r="C44" s="318"/>
      <c r="D44" s="318"/>
      <c r="E44" s="318"/>
      <c r="F44" s="318"/>
      <c r="G44" s="318"/>
      <c r="H44" s="318"/>
      <c r="I44" s="318"/>
      <c r="J44" s="240"/>
      <c r="K44" s="408"/>
      <c r="L44" s="408"/>
      <c r="M44" s="239"/>
      <c r="N44" s="239"/>
      <c r="O44" s="318"/>
      <c r="P44" s="318"/>
      <c r="Q44" s="318"/>
      <c r="R44" s="318"/>
      <c r="S44" s="319"/>
      <c r="T44" s="320"/>
      <c r="U44" s="321"/>
      <c r="V44" s="322"/>
      <c r="W44" s="323"/>
      <c r="X44" s="324"/>
      <c r="Y44" s="325"/>
      <c r="Z44" s="326"/>
      <c r="AA44" s="327"/>
      <c r="AB44" s="318"/>
      <c r="AC44" s="241"/>
      <c r="AD44" s="159"/>
    </row>
    <row r="45" spans="2:30" s="1" customFormat="1" ht="16.5" customHeight="1" thickBot="1" thickTop="1">
      <c r="B45" s="158"/>
      <c r="C45" s="113" t="s">
        <v>67</v>
      </c>
      <c r="D45" s="471" t="s">
        <v>330</v>
      </c>
      <c r="E45" s="129"/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42">
        <f>SUM(T20:T44)</f>
        <v>2294.57718</v>
      </c>
      <c r="U45" s="243">
        <f>SUM(U20:U44)</f>
        <v>0</v>
      </c>
      <c r="V45" s="244">
        <f>SUM(V20:V44)</f>
        <v>3231.9000000000005</v>
      </c>
      <c r="W45" s="245">
        <f>SUM(W22:W44)</f>
        <v>1648.2690000000002</v>
      </c>
      <c r="X45" s="246">
        <f>SUM(X20:X44)</f>
        <v>0</v>
      </c>
      <c r="Y45" s="246">
        <f>SUM(Y22:Y44)</f>
        <v>0</v>
      </c>
      <c r="Z45" s="247">
        <f>SUM(Z20:Z44)</f>
        <v>801.5112000000001</v>
      </c>
      <c r="AA45" s="248">
        <f>SUM(AA22:AA44)</f>
        <v>0</v>
      </c>
      <c r="AB45" s="249"/>
      <c r="AC45" s="419">
        <f>ROUND(SUM(AC20:AC44),2)</f>
        <v>19519.87</v>
      </c>
      <c r="AD45" s="159"/>
    </row>
    <row r="46" spans="2:30" s="127" customFormat="1" ht="9.75" thickTop="1">
      <c r="B46" s="250"/>
      <c r="C46" s="129"/>
      <c r="D46" s="129"/>
      <c r="E46" s="129"/>
      <c r="F46" s="130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2"/>
      <c r="U46" s="252"/>
      <c r="V46" s="252"/>
      <c r="W46" s="252"/>
      <c r="X46" s="252"/>
      <c r="Y46" s="252"/>
      <c r="Z46" s="252"/>
      <c r="AA46" s="252"/>
      <c r="AB46" s="251"/>
      <c r="AC46" s="253"/>
      <c r="AD46" s="254"/>
    </row>
    <row r="47" spans="2:30" s="1" customFormat="1" ht="16.5" customHeight="1" thickBot="1"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7"/>
    </row>
    <row r="48" spans="2:30" ht="16.5" customHeight="1" thickTop="1"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6"/>
  <sheetViews>
    <sheetView zoomScale="80" zoomScaleNormal="80" zoomScalePageLayoutView="0" workbookViewId="0" topLeftCell="A1">
      <selection activeCell="I16" sqref="I16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1" width="16.421875" style="5" customWidth="1"/>
    <col min="12" max="12" width="17.0039062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'TOT-0815'!B2</f>
        <v>ANEXO III al Memorándum D.T.E.E. N°  316 / 2016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'TOT-0815'!B14</f>
        <v>Desde el 01 al 31 de agosto de 2015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1.197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60*'TOT-0815'!B13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38">
        <v>3</v>
      </c>
      <c r="D18" s="438">
        <v>4</v>
      </c>
      <c r="E18" s="438">
        <v>5</v>
      </c>
      <c r="F18" s="438">
        <v>6</v>
      </c>
      <c r="G18" s="438">
        <v>7</v>
      </c>
      <c r="H18" s="438">
        <v>8</v>
      </c>
      <c r="I18" s="438">
        <v>9</v>
      </c>
      <c r="J18" s="438">
        <v>10</v>
      </c>
      <c r="K18" s="438">
        <v>11</v>
      </c>
      <c r="L18" s="438">
        <v>12</v>
      </c>
      <c r="M18" s="438">
        <v>13</v>
      </c>
      <c r="N18" s="438">
        <v>14</v>
      </c>
      <c r="O18" s="438">
        <v>15</v>
      </c>
      <c r="P18" s="438">
        <v>16</v>
      </c>
      <c r="Q18" s="438">
        <v>17</v>
      </c>
      <c r="R18" s="438">
        <v>18</v>
      </c>
      <c r="S18" s="438">
        <v>19</v>
      </c>
      <c r="T18" s="438">
        <v>20</v>
      </c>
      <c r="U18" s="438">
        <v>21</v>
      </c>
      <c r="V18" s="438">
        <v>22</v>
      </c>
      <c r="W18" s="438">
        <v>23</v>
      </c>
      <c r="X18" s="438">
        <v>24</v>
      </c>
      <c r="Y18" s="438">
        <v>25</v>
      </c>
      <c r="Z18" s="438">
        <v>26</v>
      </c>
      <c r="AA18" s="438">
        <v>27</v>
      </c>
      <c r="AB18" s="438">
        <v>28</v>
      </c>
      <c r="AC18" s="438">
        <v>29</v>
      </c>
      <c r="AD18" s="159"/>
    </row>
    <row r="19" spans="2:30" s="179" customFormat="1" ht="34.5" customHeight="1" thickBot="1" thickTop="1">
      <c r="B19" s="180"/>
      <c r="C19" s="422" t="s">
        <v>13</v>
      </c>
      <c r="D19" s="422" t="s">
        <v>83</v>
      </c>
      <c r="E19" s="422" t="s">
        <v>84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'T-08 (3)'!AC45</f>
        <v>19519.87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47"/>
      <c r="L21" s="448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126</v>
      </c>
      <c r="D22" s="209">
        <v>291721</v>
      </c>
      <c r="E22" s="209">
        <v>2404</v>
      </c>
      <c r="F22" s="77" t="s">
        <v>214</v>
      </c>
      <c r="G22" s="79" t="s">
        <v>186</v>
      </c>
      <c r="H22" s="222">
        <v>10</v>
      </c>
      <c r="I22" s="90" t="s">
        <v>184</v>
      </c>
      <c r="J22" s="224">
        <f aca="true" t="shared" si="0" ref="J22:J41">H22*$I$16</f>
        <v>11.97</v>
      </c>
      <c r="K22" s="447">
        <v>42242.40625</v>
      </c>
      <c r="L22" s="447">
        <v>42242.71875</v>
      </c>
      <c r="M22" s="225">
        <f aca="true" t="shared" si="1" ref="M22:M41">IF(F22="","",(L22-K22)*24)</f>
        <v>7.5</v>
      </c>
      <c r="N22" s="226">
        <f aca="true" t="shared" si="2" ref="N22:N41">IF(F22="","",ROUND((L22-K22)*24*60,0))</f>
        <v>450</v>
      </c>
      <c r="O22" s="227" t="s">
        <v>144</v>
      </c>
      <c r="P22" s="439" t="str">
        <f>IF(F22="","",IF(OR(O22="P",O22="RP"),"--","NO"))</f>
        <v>--</v>
      </c>
      <c r="Q22" s="439" t="s">
        <v>146</v>
      </c>
      <c r="R22" s="439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53.86500000000001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39" t="s">
        <v>145</v>
      </c>
      <c r="AC22" s="237">
        <f>IF(F22="","",SUM(T22:AA22)*IF(AB22="SI",1,2)*IF(AND(Q22&lt;&gt;"0,000",O22="RF"),Q22/100,1))</f>
        <v>53.86500000000001</v>
      </c>
      <c r="AD22" s="238"/>
    </row>
    <row r="23" spans="2:30" s="1" customFormat="1" ht="16.5" customHeight="1">
      <c r="B23" s="158"/>
      <c r="C23" s="209">
        <v>127</v>
      </c>
      <c r="D23" s="209">
        <v>291723</v>
      </c>
      <c r="E23" s="209">
        <v>4432</v>
      </c>
      <c r="F23" s="77" t="s">
        <v>215</v>
      </c>
      <c r="G23" s="79" t="s">
        <v>216</v>
      </c>
      <c r="H23" s="222">
        <v>40</v>
      </c>
      <c r="I23" s="90" t="s">
        <v>217</v>
      </c>
      <c r="J23" s="224">
        <f t="shared" si="0"/>
        <v>47.88</v>
      </c>
      <c r="K23" s="447">
        <v>42242.407638888886</v>
      </c>
      <c r="L23" s="447">
        <v>42242.62430555555</v>
      </c>
      <c r="M23" s="225">
        <f t="shared" si="1"/>
        <v>5.2000000000116415</v>
      </c>
      <c r="N23" s="226">
        <f t="shared" si="2"/>
        <v>312</v>
      </c>
      <c r="O23" s="227" t="s">
        <v>144</v>
      </c>
      <c r="P23" s="439" t="str">
        <f aca="true" t="shared" si="13" ref="P23:P41">IF(F23="","",IF(OR(O23="P",O23="RP"),"--","NO"))</f>
        <v>--</v>
      </c>
      <c r="Q23" s="439" t="s">
        <v>146</v>
      </c>
      <c r="R23" s="439" t="str">
        <f t="shared" si="3"/>
        <v>NO</v>
      </c>
      <c r="S23" s="105">
        <f t="shared" si="4"/>
        <v>0.6000000000000001</v>
      </c>
      <c r="T23" s="229">
        <f t="shared" si="5"/>
        <v>149.38560000000004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39" t="s">
        <v>145</v>
      </c>
      <c r="AC23" s="237">
        <f aca="true" t="shared" si="14" ref="AC23:AC41">IF(F23="","",SUM(T23:AA23)*IF(AB23="SI",1,2)*IF(AND(Q23&lt;&gt;"0,000",O23="RF"),Q23/100,1))</f>
        <v>149.38560000000004</v>
      </c>
      <c r="AD23" s="238"/>
    </row>
    <row r="24" spans="2:30" s="1" customFormat="1" ht="16.5" customHeight="1">
      <c r="B24" s="158"/>
      <c r="C24" s="209">
        <v>128</v>
      </c>
      <c r="D24" s="209">
        <v>291729</v>
      </c>
      <c r="E24" s="209">
        <v>2114</v>
      </c>
      <c r="F24" s="77" t="s">
        <v>202</v>
      </c>
      <c r="G24" s="79" t="s">
        <v>190</v>
      </c>
      <c r="H24" s="222">
        <v>15</v>
      </c>
      <c r="I24" s="90" t="s">
        <v>184</v>
      </c>
      <c r="J24" s="224">
        <f t="shared" si="0"/>
        <v>17.955000000000002</v>
      </c>
      <c r="K24" s="447">
        <v>42243.342361111114</v>
      </c>
      <c r="L24" s="447">
        <v>42243.38055555556</v>
      </c>
      <c r="M24" s="225">
        <f t="shared" si="1"/>
        <v>0.9166666666860692</v>
      </c>
      <c r="N24" s="226">
        <f t="shared" si="2"/>
        <v>55</v>
      </c>
      <c r="O24" s="227" t="s">
        <v>144</v>
      </c>
      <c r="P24" s="439" t="str">
        <f t="shared" si="13"/>
        <v>--</v>
      </c>
      <c r="Q24" s="439" t="s">
        <v>146</v>
      </c>
      <c r="R24" s="439" t="str">
        <f t="shared" si="3"/>
        <v>NO</v>
      </c>
      <c r="S24" s="105">
        <f t="shared" si="4"/>
        <v>0.6000000000000001</v>
      </c>
      <c r="T24" s="229">
        <f t="shared" si="5"/>
        <v>9.911160000000004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39" t="s">
        <v>145</v>
      </c>
      <c r="AC24" s="237">
        <f t="shared" si="14"/>
        <v>9.911160000000004</v>
      </c>
      <c r="AD24" s="159"/>
    </row>
    <row r="25" spans="2:30" s="1" customFormat="1" ht="16.5" customHeight="1">
      <c r="B25" s="158"/>
      <c r="C25" s="209">
        <v>129</v>
      </c>
      <c r="D25" s="209">
        <v>291730</v>
      </c>
      <c r="E25" s="209">
        <v>2404</v>
      </c>
      <c r="F25" s="77" t="s">
        <v>214</v>
      </c>
      <c r="G25" s="79" t="s">
        <v>186</v>
      </c>
      <c r="H25" s="222">
        <v>10</v>
      </c>
      <c r="I25" s="90" t="s">
        <v>184</v>
      </c>
      <c r="J25" s="224">
        <f t="shared" si="0"/>
        <v>11.97</v>
      </c>
      <c r="K25" s="447">
        <v>42243.34930555556</v>
      </c>
      <c r="L25" s="447">
        <v>42243.72708333333</v>
      </c>
      <c r="M25" s="225">
        <f t="shared" si="1"/>
        <v>9.06666666653473</v>
      </c>
      <c r="N25" s="226">
        <f t="shared" si="2"/>
        <v>544</v>
      </c>
      <c r="O25" s="227" t="s">
        <v>144</v>
      </c>
      <c r="P25" s="439" t="str">
        <f t="shared" si="13"/>
        <v>--</v>
      </c>
      <c r="Q25" s="439" t="s">
        <v>146</v>
      </c>
      <c r="R25" s="439" t="str">
        <f t="shared" si="3"/>
        <v>NO</v>
      </c>
      <c r="S25" s="105">
        <f t="shared" si="4"/>
        <v>0.6000000000000001</v>
      </c>
      <c r="T25" s="229">
        <f t="shared" si="5"/>
        <v>65.14074000000001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39" t="s">
        <v>145</v>
      </c>
      <c r="AC25" s="237">
        <f t="shared" si="14"/>
        <v>65.14074000000001</v>
      </c>
      <c r="AD25" s="159"/>
    </row>
    <row r="26" spans="2:30" s="1" customFormat="1" ht="16.5" customHeight="1">
      <c r="B26" s="158"/>
      <c r="C26" s="209">
        <v>130</v>
      </c>
      <c r="D26" s="209">
        <v>291731</v>
      </c>
      <c r="E26" s="209">
        <v>2056</v>
      </c>
      <c r="F26" s="77" t="s">
        <v>218</v>
      </c>
      <c r="G26" s="79" t="s">
        <v>183</v>
      </c>
      <c r="H26" s="222">
        <v>15</v>
      </c>
      <c r="I26" s="90" t="s">
        <v>184</v>
      </c>
      <c r="J26" s="224">
        <f t="shared" si="0"/>
        <v>17.955000000000002</v>
      </c>
      <c r="K26" s="447">
        <v>42243.35486111111</v>
      </c>
      <c r="L26" s="447">
        <v>42243.64513888889</v>
      </c>
      <c r="M26" s="225">
        <f t="shared" si="1"/>
        <v>6.966666666674428</v>
      </c>
      <c r="N26" s="226">
        <f t="shared" si="2"/>
        <v>418</v>
      </c>
      <c r="O26" s="227" t="s">
        <v>144</v>
      </c>
      <c r="P26" s="439" t="str">
        <f t="shared" si="13"/>
        <v>--</v>
      </c>
      <c r="Q26" s="439" t="s">
        <v>146</v>
      </c>
      <c r="R26" s="439" t="str">
        <f t="shared" si="3"/>
        <v>NO</v>
      </c>
      <c r="S26" s="105">
        <f t="shared" si="4"/>
        <v>0.6000000000000001</v>
      </c>
      <c r="T26" s="229">
        <f t="shared" si="5"/>
        <v>75.08781000000002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39" t="s">
        <v>145</v>
      </c>
      <c r="AC26" s="237">
        <f t="shared" si="14"/>
        <v>75.08781000000002</v>
      </c>
      <c r="AD26" s="159"/>
    </row>
    <row r="27" spans="2:30" s="1" customFormat="1" ht="16.5" customHeight="1">
      <c r="B27" s="158"/>
      <c r="C27" s="209">
        <v>131</v>
      </c>
      <c r="D27" s="209">
        <v>291734</v>
      </c>
      <c r="E27" s="209">
        <v>2501</v>
      </c>
      <c r="F27" s="77" t="s">
        <v>206</v>
      </c>
      <c r="G27" s="79" t="s">
        <v>183</v>
      </c>
      <c r="H27" s="222">
        <v>15</v>
      </c>
      <c r="I27" s="90" t="s">
        <v>184</v>
      </c>
      <c r="J27" s="224">
        <f t="shared" si="0"/>
        <v>17.955000000000002</v>
      </c>
      <c r="K27" s="447">
        <v>42243.3875</v>
      </c>
      <c r="L27" s="447">
        <v>42243.75625</v>
      </c>
      <c r="M27" s="225">
        <f t="shared" si="1"/>
        <v>8.850000000034925</v>
      </c>
      <c r="N27" s="226">
        <f t="shared" si="2"/>
        <v>531</v>
      </c>
      <c r="O27" s="227" t="s">
        <v>144</v>
      </c>
      <c r="P27" s="439" t="str">
        <f t="shared" si="13"/>
        <v>--</v>
      </c>
      <c r="Q27" s="439" t="s">
        <v>146</v>
      </c>
      <c r="R27" s="439" t="str">
        <f t="shared" si="3"/>
        <v>NO</v>
      </c>
      <c r="S27" s="105">
        <f t="shared" si="4"/>
        <v>0.6000000000000001</v>
      </c>
      <c r="T27" s="229">
        <f t="shared" si="5"/>
        <v>95.34105000000002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39" t="s">
        <v>145</v>
      </c>
      <c r="AC27" s="237">
        <f t="shared" si="14"/>
        <v>95.34105000000002</v>
      </c>
      <c r="AD27" s="159"/>
    </row>
    <row r="28" spans="2:30" s="1" customFormat="1" ht="16.5" customHeight="1">
      <c r="B28" s="158"/>
      <c r="C28" s="209">
        <v>132</v>
      </c>
      <c r="D28" s="209">
        <v>291736</v>
      </c>
      <c r="E28" s="209">
        <v>4433</v>
      </c>
      <c r="F28" s="77" t="s">
        <v>215</v>
      </c>
      <c r="G28" s="79" t="s">
        <v>219</v>
      </c>
      <c r="H28" s="222">
        <v>40</v>
      </c>
      <c r="I28" s="90" t="s">
        <v>217</v>
      </c>
      <c r="J28" s="224">
        <f t="shared" si="0"/>
        <v>47.88</v>
      </c>
      <c r="K28" s="447">
        <v>42243.42013888889</v>
      </c>
      <c r="L28" s="447">
        <v>42243.63263888889</v>
      </c>
      <c r="M28" s="225">
        <f t="shared" si="1"/>
        <v>5.100000000034925</v>
      </c>
      <c r="N28" s="226">
        <f t="shared" si="2"/>
        <v>306</v>
      </c>
      <c r="O28" s="227" t="s">
        <v>144</v>
      </c>
      <c r="P28" s="439" t="str">
        <f t="shared" si="13"/>
        <v>--</v>
      </c>
      <c r="Q28" s="439" t="s">
        <v>146</v>
      </c>
      <c r="R28" s="439" t="str">
        <f t="shared" si="3"/>
        <v>NO</v>
      </c>
      <c r="S28" s="105">
        <f t="shared" si="4"/>
        <v>0.6000000000000001</v>
      </c>
      <c r="T28" s="229">
        <f t="shared" si="5"/>
        <v>146.51280000000003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39" t="s">
        <v>145</v>
      </c>
      <c r="AC28" s="237">
        <f t="shared" si="14"/>
        <v>146.51280000000003</v>
      </c>
      <c r="AD28" s="159"/>
    </row>
    <row r="29" spans="2:30" s="1" customFormat="1" ht="16.5" customHeight="1">
      <c r="B29" s="158"/>
      <c r="C29" s="209">
        <v>133</v>
      </c>
      <c r="D29" s="209">
        <v>291738</v>
      </c>
      <c r="E29" s="209">
        <v>2114</v>
      </c>
      <c r="F29" s="77" t="s">
        <v>202</v>
      </c>
      <c r="G29" s="79" t="s">
        <v>190</v>
      </c>
      <c r="H29" s="222">
        <v>15</v>
      </c>
      <c r="I29" s="90" t="s">
        <v>184</v>
      </c>
      <c r="J29" s="224">
        <f t="shared" si="0"/>
        <v>17.955000000000002</v>
      </c>
      <c r="K29" s="447">
        <v>42243.50277777778</v>
      </c>
      <c r="L29" s="447">
        <v>42243.71319444444</v>
      </c>
      <c r="M29" s="225">
        <f t="shared" si="1"/>
        <v>5.049999999871943</v>
      </c>
      <c r="N29" s="226">
        <f t="shared" si="2"/>
        <v>303</v>
      </c>
      <c r="O29" s="227" t="s">
        <v>144</v>
      </c>
      <c r="P29" s="439" t="str">
        <f t="shared" si="13"/>
        <v>--</v>
      </c>
      <c r="Q29" s="439" t="s">
        <v>146</v>
      </c>
      <c r="R29" s="439" t="str">
        <f t="shared" si="3"/>
        <v>NO</v>
      </c>
      <c r="S29" s="105">
        <f t="shared" si="4"/>
        <v>0.6000000000000001</v>
      </c>
      <c r="T29" s="229">
        <f t="shared" si="5"/>
        <v>54.40365000000001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39" t="s">
        <v>145</v>
      </c>
      <c r="AC29" s="237">
        <f t="shared" si="14"/>
        <v>54.40365000000001</v>
      </c>
      <c r="AD29" s="159"/>
    </row>
    <row r="30" spans="2:30" s="1" customFormat="1" ht="16.5" customHeight="1">
      <c r="B30" s="158"/>
      <c r="C30" s="209">
        <v>134</v>
      </c>
      <c r="D30" s="209">
        <v>291740</v>
      </c>
      <c r="E30" s="209">
        <v>4433</v>
      </c>
      <c r="F30" s="77" t="s">
        <v>215</v>
      </c>
      <c r="G30" s="79" t="s">
        <v>219</v>
      </c>
      <c r="H30" s="222">
        <v>40</v>
      </c>
      <c r="I30" s="90" t="s">
        <v>217</v>
      </c>
      <c r="J30" s="224">
        <f t="shared" si="0"/>
        <v>47.88</v>
      </c>
      <c r="K30" s="447">
        <v>42244.34166666667</v>
      </c>
      <c r="L30" s="447">
        <v>42244.58541666667</v>
      </c>
      <c r="M30" s="225">
        <f t="shared" si="1"/>
        <v>5.850000000034925</v>
      </c>
      <c r="N30" s="226">
        <f t="shared" si="2"/>
        <v>351</v>
      </c>
      <c r="O30" s="227" t="s">
        <v>144</v>
      </c>
      <c r="P30" s="439" t="str">
        <f t="shared" si="13"/>
        <v>--</v>
      </c>
      <c r="Q30" s="439" t="s">
        <v>146</v>
      </c>
      <c r="R30" s="439" t="str">
        <f t="shared" si="3"/>
        <v>NO</v>
      </c>
      <c r="S30" s="105">
        <f t="shared" si="4"/>
        <v>0.6000000000000001</v>
      </c>
      <c r="T30" s="229">
        <f t="shared" si="5"/>
        <v>168.05880000000002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39" t="s">
        <v>145</v>
      </c>
      <c r="AC30" s="237">
        <f t="shared" si="14"/>
        <v>168.05880000000002</v>
      </c>
      <c r="AD30" s="159"/>
    </row>
    <row r="31" spans="2:30" s="1" customFormat="1" ht="16.5" customHeight="1">
      <c r="B31" s="158"/>
      <c r="C31" s="209">
        <v>135</v>
      </c>
      <c r="D31" s="209">
        <v>291741</v>
      </c>
      <c r="E31" s="209">
        <v>2404</v>
      </c>
      <c r="F31" s="77" t="s">
        <v>214</v>
      </c>
      <c r="G31" s="79" t="s">
        <v>186</v>
      </c>
      <c r="H31" s="222">
        <v>10</v>
      </c>
      <c r="I31" s="90" t="s">
        <v>184</v>
      </c>
      <c r="J31" s="224">
        <f t="shared" si="0"/>
        <v>11.97</v>
      </c>
      <c r="K31" s="447">
        <v>42244.350694444445</v>
      </c>
      <c r="L31" s="447">
        <v>42244.638194444444</v>
      </c>
      <c r="M31" s="225">
        <f t="shared" si="1"/>
        <v>6.899999999965075</v>
      </c>
      <c r="N31" s="226">
        <f t="shared" si="2"/>
        <v>414</v>
      </c>
      <c r="O31" s="227" t="s">
        <v>144</v>
      </c>
      <c r="P31" s="439" t="str">
        <f t="shared" si="13"/>
        <v>--</v>
      </c>
      <c r="Q31" s="439" t="s">
        <v>146</v>
      </c>
      <c r="R31" s="439" t="str">
        <f t="shared" si="3"/>
        <v>NO</v>
      </c>
      <c r="S31" s="105">
        <f t="shared" si="4"/>
        <v>0.6000000000000001</v>
      </c>
      <c r="T31" s="229">
        <f t="shared" si="5"/>
        <v>49.55580000000001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39" t="s">
        <v>145</v>
      </c>
      <c r="AC31" s="237">
        <f t="shared" si="14"/>
        <v>49.55580000000001</v>
      </c>
      <c r="AD31" s="159"/>
    </row>
    <row r="32" spans="2:30" s="1" customFormat="1" ht="16.5" customHeight="1">
      <c r="B32" s="158"/>
      <c r="C32" s="209">
        <v>136</v>
      </c>
      <c r="D32" s="209">
        <v>291744</v>
      </c>
      <c r="E32" s="209">
        <v>2056</v>
      </c>
      <c r="F32" s="77" t="s">
        <v>218</v>
      </c>
      <c r="G32" s="79" t="s">
        <v>183</v>
      </c>
      <c r="H32" s="222">
        <v>15</v>
      </c>
      <c r="I32" s="90" t="s">
        <v>184</v>
      </c>
      <c r="J32" s="224">
        <f t="shared" si="0"/>
        <v>17.955000000000002</v>
      </c>
      <c r="K32" s="447">
        <v>42244.375</v>
      </c>
      <c r="L32" s="447">
        <v>42244.58472222222</v>
      </c>
      <c r="M32" s="225">
        <f t="shared" si="1"/>
        <v>5.033333333325572</v>
      </c>
      <c r="N32" s="226">
        <f t="shared" si="2"/>
        <v>302</v>
      </c>
      <c r="O32" s="227" t="s">
        <v>144</v>
      </c>
      <c r="P32" s="439" t="str">
        <f t="shared" si="13"/>
        <v>--</v>
      </c>
      <c r="Q32" s="439" t="s">
        <v>146</v>
      </c>
      <c r="R32" s="439" t="str">
        <f t="shared" si="3"/>
        <v>NO</v>
      </c>
      <c r="S32" s="105">
        <f t="shared" si="4"/>
        <v>0.6000000000000001</v>
      </c>
      <c r="T32" s="229">
        <f t="shared" si="5"/>
        <v>54.18819000000002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39" t="s">
        <v>145</v>
      </c>
      <c r="AC32" s="237">
        <f t="shared" si="14"/>
        <v>54.18819000000002</v>
      </c>
      <c r="AD32" s="159"/>
    </row>
    <row r="33" spans="2:30" s="1" customFormat="1" ht="16.5" customHeight="1">
      <c r="B33" s="158"/>
      <c r="C33" s="209">
        <v>137</v>
      </c>
      <c r="D33" s="209">
        <v>291746</v>
      </c>
      <c r="E33" s="209">
        <v>2501</v>
      </c>
      <c r="F33" s="77" t="s">
        <v>206</v>
      </c>
      <c r="G33" s="79" t="s">
        <v>183</v>
      </c>
      <c r="H33" s="222">
        <v>15</v>
      </c>
      <c r="I33" s="90" t="s">
        <v>184</v>
      </c>
      <c r="J33" s="224">
        <f t="shared" si="0"/>
        <v>17.955000000000002</v>
      </c>
      <c r="K33" s="447">
        <v>42244.384722222225</v>
      </c>
      <c r="L33" s="447">
        <v>42244.549305555556</v>
      </c>
      <c r="M33" s="225">
        <f t="shared" si="1"/>
        <v>3.949999999953434</v>
      </c>
      <c r="N33" s="226">
        <f t="shared" si="2"/>
        <v>237</v>
      </c>
      <c r="O33" s="227" t="s">
        <v>144</v>
      </c>
      <c r="P33" s="439" t="str">
        <f t="shared" si="13"/>
        <v>--</v>
      </c>
      <c r="Q33" s="439" t="s">
        <v>146</v>
      </c>
      <c r="R33" s="439" t="str">
        <f t="shared" si="3"/>
        <v>NO</v>
      </c>
      <c r="S33" s="105">
        <f t="shared" si="4"/>
        <v>0.6000000000000001</v>
      </c>
      <c r="T33" s="229">
        <f t="shared" si="5"/>
        <v>42.553350000000016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39" t="s">
        <v>145</v>
      </c>
      <c r="AC33" s="237">
        <f t="shared" si="14"/>
        <v>42.553350000000016</v>
      </c>
      <c r="AD33" s="159"/>
    </row>
    <row r="34" spans="2:30" s="1" customFormat="1" ht="16.5" customHeight="1">
      <c r="B34" s="158"/>
      <c r="C34" s="209">
        <v>138</v>
      </c>
      <c r="D34" s="209">
        <v>291747</v>
      </c>
      <c r="E34" s="209">
        <v>2441</v>
      </c>
      <c r="F34" s="77" t="s">
        <v>189</v>
      </c>
      <c r="G34" s="79" t="s">
        <v>183</v>
      </c>
      <c r="H34" s="222">
        <v>15</v>
      </c>
      <c r="I34" s="90" t="s">
        <v>184</v>
      </c>
      <c r="J34" s="224">
        <f t="shared" si="0"/>
        <v>17.955000000000002</v>
      </c>
      <c r="K34" s="447">
        <v>42244.3875</v>
      </c>
      <c r="L34" s="447">
        <v>42244.70972222222</v>
      </c>
      <c r="M34" s="225">
        <f t="shared" si="1"/>
        <v>7.7333333333954215</v>
      </c>
      <c r="N34" s="226">
        <f t="shared" si="2"/>
        <v>464</v>
      </c>
      <c r="O34" s="227" t="s">
        <v>144</v>
      </c>
      <c r="P34" s="439" t="str">
        <f t="shared" si="13"/>
        <v>--</v>
      </c>
      <c r="Q34" s="439" t="s">
        <v>146</v>
      </c>
      <c r="R34" s="439" t="str">
        <f t="shared" si="3"/>
        <v>NO</v>
      </c>
      <c r="S34" s="105">
        <f t="shared" si="4"/>
        <v>0.6000000000000001</v>
      </c>
      <c r="T34" s="229">
        <f t="shared" si="5"/>
        <v>83.27529000000003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39" t="s">
        <v>145</v>
      </c>
      <c r="AC34" s="237">
        <f t="shared" si="14"/>
        <v>83.27529000000003</v>
      </c>
      <c r="AD34" s="159"/>
    </row>
    <row r="35" spans="2:30" s="1" customFormat="1" ht="16.5" customHeight="1">
      <c r="B35" s="158"/>
      <c r="C35" s="209">
        <v>139</v>
      </c>
      <c r="D35" s="209">
        <v>291755</v>
      </c>
      <c r="E35" s="209">
        <v>4485</v>
      </c>
      <c r="F35" s="77" t="s">
        <v>220</v>
      </c>
      <c r="G35" s="79" t="s">
        <v>221</v>
      </c>
      <c r="H35" s="222">
        <v>30</v>
      </c>
      <c r="I35" s="90" t="s">
        <v>184</v>
      </c>
      <c r="J35" s="224">
        <f t="shared" si="0"/>
        <v>35.910000000000004</v>
      </c>
      <c r="K35" s="447">
        <v>42246.34097222222</v>
      </c>
      <c r="L35" s="447">
        <v>42246.66111111111</v>
      </c>
      <c r="M35" s="225">
        <f t="shared" si="1"/>
        <v>7.683333333407063</v>
      </c>
      <c r="N35" s="226">
        <f t="shared" si="2"/>
        <v>461</v>
      </c>
      <c r="O35" s="227" t="s">
        <v>144</v>
      </c>
      <c r="P35" s="439" t="str">
        <f t="shared" si="13"/>
        <v>--</v>
      </c>
      <c r="Q35" s="439" t="s">
        <v>146</v>
      </c>
      <c r="R35" s="439" t="str">
        <f t="shared" si="3"/>
        <v>NO</v>
      </c>
      <c r="S35" s="105">
        <f t="shared" si="4"/>
        <v>0.6000000000000001</v>
      </c>
      <c r="T35" s="229">
        <f t="shared" si="5"/>
        <v>165.47328000000005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39" t="s">
        <v>145</v>
      </c>
      <c r="AC35" s="237">
        <f t="shared" si="14"/>
        <v>165.47328000000005</v>
      </c>
      <c r="AD35" s="159"/>
    </row>
    <row r="36" spans="2:30" s="1" customFormat="1" ht="16.5" customHeight="1">
      <c r="B36" s="158"/>
      <c r="C36" s="209">
        <v>140</v>
      </c>
      <c r="D36" s="209">
        <v>291759</v>
      </c>
      <c r="E36" s="209">
        <v>5553</v>
      </c>
      <c r="F36" s="77" t="s">
        <v>286</v>
      </c>
      <c r="G36" s="79" t="s">
        <v>310</v>
      </c>
      <c r="H36" s="451">
        <v>30</v>
      </c>
      <c r="I36" s="90" t="s">
        <v>184</v>
      </c>
      <c r="J36" s="224">
        <f t="shared" si="0"/>
        <v>35.910000000000004</v>
      </c>
      <c r="K36" s="447">
        <v>42246.35138888889</v>
      </c>
      <c r="L36" s="447">
        <v>42246.65</v>
      </c>
      <c r="M36" s="225">
        <f t="shared" si="1"/>
        <v>7.166666666627862</v>
      </c>
      <c r="N36" s="226">
        <f t="shared" si="2"/>
        <v>430</v>
      </c>
      <c r="O36" s="227" t="s">
        <v>144</v>
      </c>
      <c r="P36" s="439" t="str">
        <f t="shared" si="13"/>
        <v>--</v>
      </c>
      <c r="Q36" s="439" t="s">
        <v>146</v>
      </c>
      <c r="R36" s="439" t="str">
        <f t="shared" si="3"/>
        <v>NO</v>
      </c>
      <c r="S36" s="105">
        <f t="shared" si="4"/>
        <v>0.6000000000000001</v>
      </c>
      <c r="T36" s="229">
        <f t="shared" si="5"/>
        <v>154.48482000000004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39" t="s">
        <v>145</v>
      </c>
      <c r="AC36" s="237">
        <f t="shared" si="14"/>
        <v>154.48482000000004</v>
      </c>
      <c r="AD36" s="159"/>
    </row>
    <row r="37" spans="2:30" s="1" customFormat="1" ht="16.5" customHeight="1">
      <c r="B37" s="158"/>
      <c r="C37" s="209">
        <v>141</v>
      </c>
      <c r="D37" s="209">
        <v>291765</v>
      </c>
      <c r="E37" s="209">
        <v>4650</v>
      </c>
      <c r="F37" s="77" t="s">
        <v>194</v>
      </c>
      <c r="G37" s="79" t="s">
        <v>190</v>
      </c>
      <c r="H37" s="222">
        <v>30</v>
      </c>
      <c r="I37" s="90" t="s">
        <v>184</v>
      </c>
      <c r="J37" s="224">
        <f t="shared" si="0"/>
        <v>35.910000000000004</v>
      </c>
      <c r="K37" s="447">
        <v>42247.36597222222</v>
      </c>
      <c r="L37" s="447">
        <v>42247.63680555556</v>
      </c>
      <c r="M37" s="225">
        <f t="shared" si="1"/>
        <v>6.500000000058208</v>
      </c>
      <c r="N37" s="226">
        <f t="shared" si="2"/>
        <v>390</v>
      </c>
      <c r="O37" s="227" t="s">
        <v>144</v>
      </c>
      <c r="P37" s="439" t="str">
        <f t="shared" si="13"/>
        <v>--</v>
      </c>
      <c r="Q37" s="439" t="s">
        <v>146</v>
      </c>
      <c r="R37" s="439" t="str">
        <f t="shared" si="3"/>
        <v>NO</v>
      </c>
      <c r="S37" s="105">
        <f t="shared" si="4"/>
        <v>0.6000000000000001</v>
      </c>
      <c r="T37" s="229">
        <f t="shared" si="5"/>
        <v>140.04900000000004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39" t="s">
        <v>145</v>
      </c>
      <c r="AC37" s="237">
        <f t="shared" si="14"/>
        <v>140.04900000000004</v>
      </c>
      <c r="AD37" s="159"/>
    </row>
    <row r="38" spans="2:30" s="1" customFormat="1" ht="16.5" customHeight="1">
      <c r="B38" s="158"/>
      <c r="C38" s="209">
        <v>142</v>
      </c>
      <c r="D38" s="209">
        <v>291766</v>
      </c>
      <c r="E38" s="209">
        <v>3558</v>
      </c>
      <c r="F38" s="77" t="s">
        <v>212</v>
      </c>
      <c r="G38" s="79" t="s">
        <v>191</v>
      </c>
      <c r="H38" s="222">
        <v>40</v>
      </c>
      <c r="I38" s="90" t="s">
        <v>184</v>
      </c>
      <c r="J38" s="224">
        <f t="shared" si="0"/>
        <v>47.88</v>
      </c>
      <c r="K38" s="447">
        <v>42247.379166666666</v>
      </c>
      <c r="L38" s="447">
        <v>42247.72222222222</v>
      </c>
      <c r="M38" s="225">
        <f t="shared" si="1"/>
        <v>8.233333333279006</v>
      </c>
      <c r="N38" s="226">
        <f t="shared" si="2"/>
        <v>494</v>
      </c>
      <c r="O38" s="227" t="s">
        <v>144</v>
      </c>
      <c r="P38" s="439" t="str">
        <f t="shared" si="13"/>
        <v>--</v>
      </c>
      <c r="Q38" s="439" t="s">
        <v>146</v>
      </c>
      <c r="R38" s="439" t="str">
        <f t="shared" si="3"/>
        <v>NO</v>
      </c>
      <c r="S38" s="105">
        <f t="shared" si="4"/>
        <v>0.6000000000000001</v>
      </c>
      <c r="T38" s="229">
        <f t="shared" si="5"/>
        <v>236.43144000000007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39" t="s">
        <v>145</v>
      </c>
      <c r="AC38" s="237">
        <f t="shared" si="14"/>
        <v>236.43144000000007</v>
      </c>
      <c r="AD38" s="159"/>
    </row>
    <row r="39" spans="2:30" s="1" customFormat="1" ht="16.5" customHeight="1">
      <c r="B39" s="158"/>
      <c r="C39" s="209"/>
      <c r="D39" s="209"/>
      <c r="E39" s="209"/>
      <c r="F39" s="77"/>
      <c r="G39" s="79"/>
      <c r="H39" s="222"/>
      <c r="I39" s="223"/>
      <c r="J39" s="224">
        <f t="shared" si="0"/>
        <v>0</v>
      </c>
      <c r="K39" s="447"/>
      <c r="L39" s="447"/>
      <c r="M39" s="225">
        <f t="shared" si="1"/>
      </c>
      <c r="N39" s="226">
        <f t="shared" si="2"/>
      </c>
      <c r="O39" s="227"/>
      <c r="P39" s="439">
        <f t="shared" si="13"/>
      </c>
      <c r="Q39" s="440">
        <f>IF(F39="","","--")</f>
      </c>
      <c r="R39" s="439">
        <f t="shared" si="3"/>
      </c>
      <c r="S39" s="105">
        <f t="shared" si="4"/>
        <v>6</v>
      </c>
      <c r="T39" s="229" t="str">
        <f t="shared" si="5"/>
        <v>--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39">
        <f>IF(F39="","","SI")</f>
      </c>
      <c r="AC39" s="237">
        <f t="shared" si="14"/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47"/>
      <c r="L40" s="447"/>
      <c r="M40" s="225">
        <f t="shared" si="1"/>
      </c>
      <c r="N40" s="226">
        <f t="shared" si="2"/>
      </c>
      <c r="O40" s="227"/>
      <c r="P40" s="439">
        <f t="shared" si="13"/>
      </c>
      <c r="Q40" s="440">
        <f>IF(F40="","","--")</f>
      </c>
      <c r="R40" s="439">
        <f t="shared" si="3"/>
      </c>
      <c r="S40" s="105">
        <f t="shared" si="4"/>
        <v>6</v>
      </c>
      <c r="T40" s="229" t="str">
        <f t="shared" si="5"/>
        <v>--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39">
        <f>IF(F40="","","SI")</f>
      </c>
      <c r="AC40" s="237">
        <f t="shared" si="14"/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47"/>
      <c r="L41" s="447"/>
      <c r="M41" s="225">
        <f t="shared" si="1"/>
      </c>
      <c r="N41" s="226">
        <f t="shared" si="2"/>
      </c>
      <c r="O41" s="227"/>
      <c r="P41" s="439">
        <f t="shared" si="13"/>
      </c>
      <c r="Q41" s="440">
        <f>IF(F41="","","--")</f>
      </c>
      <c r="R41" s="439">
        <f t="shared" si="3"/>
      </c>
      <c r="S41" s="105">
        <f t="shared" si="4"/>
        <v>6</v>
      </c>
      <c r="T41" s="229" t="str">
        <f t="shared" si="5"/>
        <v>--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39">
        <f>IF(F41="","","SI")</f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67</v>
      </c>
      <c r="D43" s="129"/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1743.7177800000002</v>
      </c>
      <c r="U43" s="243">
        <f>SUM(U20:U42)</f>
        <v>0</v>
      </c>
      <c r="V43" s="244">
        <f>SUM(V20:V42)</f>
        <v>0</v>
      </c>
      <c r="W43" s="245">
        <f>SUM(W22:W42)</f>
        <v>0</v>
      </c>
      <c r="X43" s="246">
        <f>SUM(X20:X42)</f>
        <v>0</v>
      </c>
      <c r="Y43" s="246">
        <f>SUM(Y22:Y42)</f>
        <v>0</v>
      </c>
      <c r="Z43" s="247">
        <f>SUM(Z20:Z42)</f>
        <v>0</v>
      </c>
      <c r="AA43" s="248">
        <f>SUM(AA22:AA42)</f>
        <v>0</v>
      </c>
      <c r="AB43" s="249"/>
      <c r="AC43" s="419">
        <f>ROUND(SUM(AC20:AC42),2)</f>
        <v>21263.59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2015-12-16T17:53:49Z</cp:lastPrinted>
  <dcterms:created xsi:type="dcterms:W3CDTF">1998-09-02T21:36:20Z</dcterms:created>
  <dcterms:modified xsi:type="dcterms:W3CDTF">2017-01-24T19:13:13Z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