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75" windowWidth="11970" windowHeight="3720" tabRatio="877" activeTab="3"/>
  </bookViews>
  <sheets>
    <sheet name="TOT-0410" sheetId="1" r:id="rId1"/>
    <sheet name="LI-04 (1)" sheetId="2" r:id="rId2"/>
    <sheet name="LI-04 (2)" sheetId="3" r:id="rId3"/>
    <sheet name="T-04 (1)" sheetId="4" r:id="rId4"/>
    <sheet name="T-04 (2)" sheetId="5" r:id="rId5"/>
    <sheet name="T-04 (3)" sheetId="6" r:id="rId6"/>
    <sheet name="SA-04 (1)" sheetId="7" r:id="rId7"/>
    <sheet name="TASA FALLA" sheetId="8" r:id="rId8"/>
  </sheets>
  <externalReferences>
    <externalReference r:id="rId11"/>
  </externalReferences>
  <definedNames>
    <definedName name="_xlnm.Print_Area" localSheetId="7">'TASA FALLA'!$A$1:$T$107</definedName>
    <definedName name="DD" localSheetId="7">'TASA FALLA'!DD</definedName>
    <definedName name="DD">[0]!DD</definedName>
    <definedName name="DDD" localSheetId="7">'TASA FALLA'!DDD</definedName>
    <definedName name="DDD">[0]!DDD</definedName>
    <definedName name="DISTROCUYO" localSheetId="7">'TASA FALLA'!DISTROCUYO</definedName>
    <definedName name="DISTROCUYO">[0]!DISTROCUYO</definedName>
    <definedName name="f" localSheetId="7">'TASA FALLA'!f</definedName>
    <definedName name="f">[0]!f</definedName>
    <definedName name="ggggggggggggggg">#N/A</definedName>
    <definedName name="INICIO" localSheetId="7">'TASA FALLA'!INICIO</definedName>
    <definedName name="INICIO">[0]!INICIO</definedName>
    <definedName name="INICIOTI" localSheetId="7">'TASA FALLA'!INICIOTI</definedName>
    <definedName name="INICIOTI">[0]!INICIOTI</definedName>
    <definedName name="LINEAS" localSheetId="7">'TASA FALLA'!LINEAS</definedName>
    <definedName name="LINEAS">[0]!LINEAS</definedName>
    <definedName name="LINEASTI" localSheetId="7">'TASA FALLA'!LINEASTI</definedName>
    <definedName name="LINEASTI">[0]!LINEASTI</definedName>
    <definedName name="NAME_L" localSheetId="7">'TASA FALLA'!NAME_L</definedName>
    <definedName name="NAME_L">[0]!NAME_L</definedName>
    <definedName name="NAME_L_TI" localSheetId="7">'TASA FALLA'!NAME_L_TI</definedName>
    <definedName name="NAME_L_TI">[0]!NAME_L_TI</definedName>
    <definedName name="QITBA">#REF!</definedName>
    <definedName name="TRAN" localSheetId="7">'TASA FALLA'!TRAN</definedName>
    <definedName name="TRAN">[0]!TRAN</definedName>
    <definedName name="TRANSNEA1" localSheetId="7">'TASA FALLA'!TRANSNEA1</definedName>
    <definedName name="TRANSNEA1">[0]!TRANSNEA1</definedName>
    <definedName name="TRANSNEA2" localSheetId="7">'TASA FALLA'!TRANSNEA2</definedName>
    <definedName name="TRANSNEA2">[0]!TRANSNEA2</definedName>
    <definedName name="TRANSNEA3">#N/A</definedName>
    <definedName name="TRANSNEA4">#N/A</definedName>
    <definedName name="TRANSNEA5" localSheetId="7">'TASA FALLA'!TRANSNEA5</definedName>
    <definedName name="TRANSNEA5">[0]!TRANSNEA5</definedName>
    <definedName name="TRANSNEA6" localSheetId="7">'TASA FALLA'!TRANSNEA6</definedName>
    <definedName name="TRANSNEA6">[0]!TRANSNEA6</definedName>
    <definedName name="TRANSNOA" localSheetId="7">#N/A</definedName>
    <definedName name="TRANSNOA">[0]!TRANSNOA</definedName>
    <definedName name="TRANSPA" localSheetId="7">'TASA FALLA'!TRANSPA</definedName>
    <definedName name="TRANSPA">#N/A</definedName>
    <definedName name="x" localSheetId="7">'TASA FALLA'!x</definedName>
    <definedName name="x">[0]!x</definedName>
    <definedName name="XX" localSheetId="7">'TASA FALLA'!XX</definedName>
    <definedName name="XX">[0]!XX</definedName>
  </definedNames>
  <calcPr fullCalcOnLoad="1"/>
</workbook>
</file>

<file path=xl/sharedStrings.xml><?xml version="1.0" encoding="utf-8"?>
<sst xmlns="http://schemas.openxmlformats.org/spreadsheetml/2006/main" count="708" uniqueCount="164">
  <si>
    <t>SISTEMA DE TRANSPORTE DE ENERGÍA ELÉCTRICA POR DISTRIBUCIÓN TRONCAL</t>
  </si>
  <si>
    <t>TRANSNOA S.A.</t>
  </si>
  <si>
    <t>LÍNEAS</t>
  </si>
  <si>
    <t xml:space="preserve">ENTE NACIONAL REGULADOR </t>
  </si>
  <si>
    <t>DE LA ELECTRICIDAD</t>
  </si>
  <si>
    <t>Sanciones duplicadas por tasa de falla &gt; 4 Sal. x año/100km.</t>
  </si>
  <si>
    <t>1.-</t>
  </si>
  <si>
    <t>1.1.-</t>
  </si>
  <si>
    <t>Equipamiento propio</t>
  </si>
  <si>
    <t>2.-</t>
  </si>
  <si>
    <t>CONEXIÓN</t>
  </si>
  <si>
    <t>2.1.-</t>
  </si>
  <si>
    <t>Transformación</t>
  </si>
  <si>
    <t>2.1.1.-</t>
  </si>
  <si>
    <t>2.2.-</t>
  </si>
  <si>
    <t>Salidas</t>
  </si>
  <si>
    <t>2.2.1.-</t>
  </si>
  <si>
    <t xml:space="preserve">TOTAL </t>
  </si>
  <si>
    <t>SISTEMA DE TRANSPORTE DE ENERGÍA ELÉCTRICA POR DISTRIBUCIÓN TRONCAL - TRANSNOA S.A.</t>
  </si>
  <si>
    <t>1.- LÍNEAS</t>
  </si>
  <si>
    <t>1.1.- Equipamiento propio</t>
  </si>
  <si>
    <t xml:space="preserve">$/100 km-h : LINEAS 132 kV </t>
  </si>
  <si>
    <t>FACTOR DE PENALIZACION  K =</t>
  </si>
  <si>
    <t>N°</t>
  </si>
  <si>
    <t>U
[kV]</t>
  </si>
  <si>
    <t>Long.
[km]</t>
  </si>
  <si>
    <t>$/h</t>
  </si>
  <si>
    <t>Salida</t>
  </si>
  <si>
    <t>Entrada</t>
  </si>
  <si>
    <t>Hs. 
Indisp</t>
  </si>
  <si>
    <t>Minutos
Indisp.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</si>
  <si>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</si>
  <si>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C.R.
%</t>
  </si>
  <si>
    <t>PENALIZ.
PROGRAM.</t>
  </si>
  <si>
    <t>REDUCC.
PROGRAM.</t>
  </si>
  <si>
    <t>PENALIZACION FORZADA
Por Salida    1ras. 3 hs.   hs. Restantes</t>
  </si>
  <si>
    <t>REDUCC. FORZADA
Por Salida     1ras. 3 hs.     hs. Restantes</t>
  </si>
  <si>
    <t>RESTANTE
FORZADA</t>
  </si>
  <si>
    <t>REDUCC.
RESTANTE</t>
  </si>
  <si>
    <t>Informó
en Térm.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</si>
  <si>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</si>
  <si>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</si>
  <si>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2.- CONEXIÓN</t>
  </si>
  <si>
    <t>2.1.- Transformación</t>
  </si>
  <si>
    <t>2.1.1.- Equipamiento propio</t>
  </si>
  <si>
    <t>Por Transformador por MVA    $ =</t>
  </si>
  <si>
    <t>Coeficiente de penalización por salida forzada   =</t>
  </si>
  <si>
    <t>ESTACIÓN
TRANSFORMADORA</t>
  </si>
  <si>
    <t>EQUIPO</t>
  </si>
  <si>
    <t>POT.
[MVA]</t>
  </si>
  <si>
    <t>Hs
Indisp.</t>
  </si>
  <si>
    <t>Mtos.
Indisp.</t>
  </si>
  <si>
    <t>AUT.</t>
  </si>
  <si>
    <t>E.N.S.</t>
  </si>
  <si>
    <t>K (P;ENS)</t>
  </si>
  <si>
    <t>PENALIZAC. FORZADA
Por Salida       hs. Restantes</t>
  </si>
  <si>
    <t>REDUCC. FORZADA
Por Salida       hs. Restantes</t>
  </si>
  <si>
    <t>SISTEMA DE TRANSPORTE DE ENERGÍA ELÉCTRICA POR DISTRIBUCIÓN TRONCAL -  TRANSNOA S.A.</t>
  </si>
  <si>
    <t>2.2.- Salidas</t>
  </si>
  <si>
    <t>2.2.1.- Equipamiento propio</t>
  </si>
  <si>
    <t xml:space="preserve">Salida en 132 kV o 66 kV = </t>
  </si>
  <si>
    <t xml:space="preserve">Salida en 33 kV </t>
  </si>
  <si>
    <t>Salida en 13,2 kV =</t>
  </si>
  <si>
    <t>Hs.
Indisp.</t>
  </si>
  <si>
    <t>K</t>
  </si>
  <si>
    <t>ID EQUIPO</t>
  </si>
  <si>
    <t>INDISP</t>
  </si>
  <si>
    <t xml:space="preserve"> ENTE NACIONAL REGULADOR </t>
  </si>
  <si>
    <t xml:space="preserve">       DE LA ELECTRICIDAD</t>
  </si>
  <si>
    <t>Desde el 01 al 30 de abril de 2010</t>
  </si>
  <si>
    <t>CEVIL POZO - TUCUMAN NORTE</t>
  </si>
  <si>
    <t>P</t>
  </si>
  <si>
    <t>SI</t>
  </si>
  <si>
    <t>SANTIAGO CENTRO I -  S. CORRAL</t>
  </si>
  <si>
    <t>F</t>
  </si>
  <si>
    <t>CABRA CORRAL - SALTA ESTE</t>
  </si>
  <si>
    <t>LAS MADERAS - GUEMES</t>
  </si>
  <si>
    <t xml:space="preserve">LAS MADERAS - JUJUY SUR </t>
  </si>
  <si>
    <t>PALPALA - SAN JUANCITO</t>
  </si>
  <si>
    <t>PALPALA - JUJUY ESTE</t>
  </si>
  <si>
    <t>JUJUY ESTE - JUJUY SUR</t>
  </si>
  <si>
    <t>INDEPENDENCIA TUC. - EL BRACHO 1</t>
  </si>
  <si>
    <t>INDEPENDENCIA TUC. - EL BRACHO 2</t>
  </si>
  <si>
    <t>AGUA BLANCA - INDEPENDENCIA TUC</t>
  </si>
  <si>
    <t>AGUILARES - VILLA QUINTEROS</t>
  </si>
  <si>
    <t>SUNCHO CORRAL - ANATUYA</t>
  </si>
  <si>
    <t>HUACRA - LA CALERA NOA</t>
  </si>
  <si>
    <t>HUACRA - LOS PIZARROS</t>
  </si>
  <si>
    <t>AGUILARES - ESCABA</t>
  </si>
  <si>
    <t>GUEMES SALTA - MINETTI</t>
  </si>
  <si>
    <t>CATAMARCA - HUACRA</t>
  </si>
  <si>
    <t xml:space="preserve">JUJUY SUR </t>
  </si>
  <si>
    <t>TRAFO 1</t>
  </si>
  <si>
    <t>132/33/13,2</t>
  </si>
  <si>
    <t>0,000</t>
  </si>
  <si>
    <t>TRAFO 2</t>
  </si>
  <si>
    <t>RP</t>
  </si>
  <si>
    <t xml:space="preserve">VILLA QUINTEROS </t>
  </si>
  <si>
    <t>LA COCHA</t>
  </si>
  <si>
    <t>TRAFO</t>
  </si>
  <si>
    <t>SALTA (SUR)</t>
  </si>
  <si>
    <t>TRAFO 3</t>
  </si>
  <si>
    <t xml:space="preserve">LA BANDA </t>
  </si>
  <si>
    <t xml:space="preserve">LA RIOJA </t>
  </si>
  <si>
    <t xml:space="preserve">C.H. RIO HONDO </t>
  </si>
  <si>
    <t>ANATUYA</t>
  </si>
  <si>
    <t>CEVIL POZO</t>
  </si>
  <si>
    <t>INDEPENDENCIA</t>
  </si>
  <si>
    <t>132/13,2</t>
  </si>
  <si>
    <t>TINOGASTA</t>
  </si>
  <si>
    <t>BELEN</t>
  </si>
  <si>
    <t xml:space="preserve">CATAMARCA </t>
  </si>
  <si>
    <t>CATAMARCA II</t>
  </si>
  <si>
    <t>ACONQUIJA</t>
  </si>
  <si>
    <t xml:space="preserve">HUACRA </t>
  </si>
  <si>
    <t xml:space="preserve">FRIAS </t>
  </si>
  <si>
    <t>TRAFO 4</t>
  </si>
  <si>
    <t>ANDALGALA</t>
  </si>
  <si>
    <t>ALIMENTADOR A LINEA 1</t>
  </si>
  <si>
    <t>ALIMENTADOR A LINEA 2</t>
  </si>
  <si>
    <t>ALIMENTADOR A LONDRES</t>
  </si>
  <si>
    <t>ALIMENTADOR A LA PUNTILLA 3</t>
  </si>
  <si>
    <t>ALIMENTADOR NORTE 1</t>
  </si>
  <si>
    <t>SALIDA VILLA VIL. CHAQUIAGO</t>
  </si>
  <si>
    <t>SALIDA ANDALGALA CENTRO</t>
  </si>
  <si>
    <t>MALLIHUACO</t>
  </si>
  <si>
    <t>SALIDA MINERA</t>
  </si>
  <si>
    <t>EL BRACHO - LA BANDA</t>
  </si>
  <si>
    <t>ANDALGALÁ - SAUJIL</t>
  </si>
  <si>
    <t>GUEMES SALTA - COBOS</t>
  </si>
  <si>
    <t>AÑATUYA - BANDERA</t>
  </si>
  <si>
    <t>NO</t>
  </si>
  <si>
    <t>PALPALA</t>
  </si>
  <si>
    <t>SAUJIL</t>
  </si>
  <si>
    <t>BANDERA</t>
  </si>
  <si>
    <t>ALIMENTADOR 10121</t>
  </si>
  <si>
    <t>ALIMENTADOR 10123</t>
  </si>
  <si>
    <t>P: PROGRAMADO</t>
  </si>
  <si>
    <t xml:space="preserve">SISTEMA DE TRANSPORTE DE ENERGÍA ELÉCTRICA POR DISTRIBUCIÓN TRONCAL </t>
  </si>
  <si>
    <t>INDISPONIBILIDADES FORZADAS DE LÍNEAS - TASA DE FALLA</t>
  </si>
  <si>
    <t>Correspondiente al mes de abril de 2010 (provisoria)</t>
  </si>
  <si>
    <t>TASA DE FALLA</t>
  </si>
  <si>
    <t>SALIDAS x AÑO / 100 km</t>
  </si>
  <si>
    <t>Valores remuneratorios según Res. ENRE N° 326/08</t>
  </si>
  <si>
    <t>P - PROGRAMADA  ;  F - FORZADA</t>
  </si>
  <si>
    <t>P - PROGRAMADA  ;  F - FORZADA  ;  RP - REDUCCIÓN PROGRAMADA</t>
  </si>
  <si>
    <t>P - PROGRAMADA</t>
  </si>
  <si>
    <t>ALIMENTADOR A CD</t>
  </si>
  <si>
    <t>ALIMENTADOR A ACEITERA ARG.</t>
  </si>
  <si>
    <t xml:space="preserve">CATAMARCA II </t>
  </si>
  <si>
    <t>y</t>
  </si>
  <si>
    <t>LAS MADERAS - GÜEMES SALTA</t>
  </si>
  <si>
    <t>INDEPENDENCIA - EL BRACHO 2</t>
  </si>
  <si>
    <t>CAMPO SANTO - SALTA SUR</t>
  </si>
  <si>
    <t>BURRUYACU - COBOS</t>
  </si>
  <si>
    <t>METAN - COBOS</t>
  </si>
  <si>
    <t xml:space="preserve">Longitud Total    </t>
  </si>
  <si>
    <t xml:space="preserve">Indisponibilidades Forzadas  </t>
  </si>
  <si>
    <t xml:space="preserve">TASA DE FALLA  </t>
  </si>
  <si>
    <t xml:space="preserve">  Valores Provisorios</t>
  </si>
  <si>
    <t>XXX</t>
  </si>
  <si>
    <t xml:space="preserve">  Línea no computada en el mes</t>
  </si>
  <si>
    <t>TOTAL DE PENALIZACIONES</t>
  </si>
  <si>
    <t xml:space="preserve">ANEXO I al Memorandum D.T.E.E.  N° 928 /2011  </t>
  </si>
</sst>
</file>

<file path=xl/styles.xml><?xml version="1.0" encoding="utf-8"?>
<styleSheet xmlns="http://schemas.openxmlformats.org/spreadsheetml/2006/main">
  <numFmts count="7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_)"/>
    <numFmt numFmtId="174" formatCode="0.000"/>
    <numFmt numFmtId="175" formatCode="0.0\ \k\V"/>
    <numFmt numFmtId="176" formatCode="0.00\ &quot;km&quot;"/>
    <numFmt numFmtId="177" formatCode="0.00\ &quot;MVA&quot;"/>
    <numFmt numFmtId="178" formatCode="dd/mm/yy"/>
    <numFmt numFmtId="179" formatCode="#,##0;[Red]#,##0"/>
    <numFmt numFmtId="180" formatCode="#,##0.000000"/>
    <numFmt numFmtId="181" formatCode="#&quot;.&quot;#&quot;.-&quot;"/>
    <numFmt numFmtId="182" formatCode="#&quot;.&quot;#&quot;.&quot;#&quot;.-&quot;"/>
    <numFmt numFmtId="183" formatCode="&quot;$&quot;#,##0.00;&quot;$&quot;\-#,##0.00"/>
    <numFmt numFmtId="184" formatCode="&quot;$&quot;#,##0.00"/>
    <numFmt numFmtId="185" formatCode="#,##0.00;[Red]#,##0.00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  <numFmt numFmtId="217" formatCode="d/m/yy\ h:mm"/>
    <numFmt numFmtId="218" formatCode="&quot;$&quot;\ #,##0.000"/>
    <numFmt numFmtId="219" formatCode="#,##0.000_);[Red]\(#,##0.000\)"/>
    <numFmt numFmtId="220" formatCode="#,##0.0000_);[Red]\(#,##0.0000\)"/>
    <numFmt numFmtId="221" formatCode="#,##0.00000_);[Red]\(#,##0.00000\)"/>
    <numFmt numFmtId="222" formatCode="#,##0.000000_);[Red]\(#,##0.000000\)"/>
    <numFmt numFmtId="223" formatCode="0.0000"/>
    <numFmt numFmtId="224" formatCode="[$€-2]\ #,##0.00_);[Red]\([$€-2]\ #,##0.00\)"/>
    <numFmt numFmtId="225" formatCode="[$-2C0A]dddd\,\ dd&quot; de &quot;mmmm&quot; de &quot;yyyy"/>
    <numFmt numFmtId="226" formatCode="[$-2C0A]hh:mm:ss\ AM/PM"/>
    <numFmt numFmtId="227" formatCode="&quot;$&quot;\ #,##0.0;[Red]&quot;$&quot;\ \-#,##0.0"/>
  </numFmts>
  <fonts count="8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b/>
      <sz val="12"/>
      <name val="Times New Roman"/>
      <family val="1"/>
    </font>
    <font>
      <sz val="11"/>
      <color indexed="5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b/>
      <u val="double"/>
      <sz val="10"/>
      <name val="Times New Roman"/>
      <family val="1"/>
    </font>
    <font>
      <sz val="10"/>
      <color indexed="8"/>
      <name val="MS Sans Serif"/>
      <family val="2"/>
    </font>
    <font>
      <sz val="11"/>
      <name val="MS Sans Serif"/>
      <family val="2"/>
    </font>
    <font>
      <sz val="11"/>
      <color indexed="13"/>
      <name val="Times New Roman"/>
      <family val="1"/>
    </font>
    <font>
      <sz val="11"/>
      <color indexed="8"/>
      <name val="Times New Roman"/>
      <family val="1"/>
    </font>
    <font>
      <sz val="14"/>
      <name val="MS Sans Serif"/>
      <family val="0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b/>
      <sz val="7"/>
      <name val="Times New Roman"/>
      <family val="1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sz val="11"/>
      <color indexed="12"/>
      <name val="MS Sans Serif"/>
      <family val="2"/>
    </font>
    <font>
      <b/>
      <sz val="10"/>
      <color indexed="10"/>
      <name val="Times New Roman"/>
      <family val="0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0"/>
      <color indexed="12"/>
      <name val="Times New Roman"/>
      <family val="1"/>
    </font>
    <font>
      <sz val="11"/>
      <color indexed="56"/>
      <name val="MS Sans Serif"/>
      <family val="2"/>
    </font>
    <font>
      <b/>
      <sz val="10"/>
      <color indexed="56"/>
      <name val="Times New Roman"/>
      <family val="0"/>
    </font>
    <font>
      <sz val="11"/>
      <color indexed="58"/>
      <name val="MS Sans Serif"/>
      <family val="2"/>
    </font>
    <font>
      <b/>
      <sz val="10"/>
      <color indexed="58"/>
      <name val="Times New Roman"/>
      <family val="0"/>
    </font>
    <font>
      <sz val="11"/>
      <color indexed="9"/>
      <name val="MS Sans Serif"/>
      <family val="2"/>
    </font>
    <font>
      <sz val="10"/>
      <color indexed="9"/>
      <name val="MS Sans Serif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26"/>
      <name val="MS Sans Serif"/>
      <family val="2"/>
    </font>
    <font>
      <b/>
      <sz val="10"/>
      <color indexed="26"/>
      <name val="Times New Roman"/>
      <family val="1"/>
    </font>
    <font>
      <sz val="11"/>
      <color indexed="8"/>
      <name val="MS Sans Serif"/>
      <family val="2"/>
    </font>
    <font>
      <b/>
      <sz val="10"/>
      <color indexed="8"/>
      <name val="Times New Roman"/>
      <family val="0"/>
    </font>
    <font>
      <sz val="11"/>
      <color indexed="62"/>
      <name val="MS Sans Serif"/>
      <family val="2"/>
    </font>
    <font>
      <b/>
      <sz val="10"/>
      <color indexed="62"/>
      <name val="Times New Roman"/>
      <family val="0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Times New Roman"/>
      <family val="1"/>
    </font>
    <font>
      <sz val="12"/>
      <color indexed="47"/>
      <name val="Times New Roman"/>
      <family val="1"/>
    </font>
    <font>
      <b/>
      <sz val="10"/>
      <name val="Arial"/>
      <family val="2"/>
    </font>
    <font>
      <b/>
      <u val="single"/>
      <sz val="20"/>
      <name val="Arial"/>
      <family val="0"/>
    </font>
    <font>
      <b/>
      <u val="single"/>
      <sz val="18"/>
      <name val="Times New Roman"/>
      <family val="1"/>
    </font>
    <font>
      <sz val="12"/>
      <name val="Arial"/>
      <family val="0"/>
    </font>
    <font>
      <b/>
      <u val="single"/>
      <sz val="12"/>
      <name val="Arial"/>
      <family val="0"/>
    </font>
    <font>
      <b/>
      <i/>
      <sz val="12"/>
      <name val="Times New Roman"/>
      <family val="1"/>
    </font>
    <font>
      <b/>
      <sz val="12"/>
      <name val="Arial"/>
      <family val="0"/>
    </font>
    <font>
      <sz val="8"/>
      <color indexed="9"/>
      <name val="Arial"/>
      <family val="2"/>
    </font>
    <font>
      <b/>
      <i/>
      <u val="single"/>
      <sz val="14"/>
      <color indexed="9"/>
      <name val="Times New Roman"/>
      <family val="1"/>
    </font>
    <font>
      <sz val="22"/>
      <name val="Times New Roman"/>
      <family val="1"/>
    </font>
    <font>
      <b/>
      <u val="single"/>
      <sz val="22"/>
      <name val="Times New Roman"/>
      <family val="1"/>
    </font>
    <font>
      <sz val="14"/>
      <name val="Arial Narrow"/>
      <family val="2"/>
    </font>
    <font>
      <b/>
      <sz val="10"/>
      <color indexed="10"/>
      <name val="MS Sans Serif"/>
      <family val="2"/>
    </font>
    <font>
      <b/>
      <i/>
      <sz val="12"/>
      <name val="MS Sans Serif"/>
      <family val="2"/>
    </font>
    <font>
      <sz val="9"/>
      <name val="Courier New"/>
      <family val="3"/>
    </font>
  </fonts>
  <fills count="1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0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double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0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2" fontId="7" fillId="0" borderId="2" xfId="0" applyNumberFormat="1" applyFont="1" applyBorder="1" applyAlignment="1" applyProtection="1">
      <alignment horizontal="center"/>
      <protection/>
    </xf>
    <xf numFmtId="1" fontId="7" fillId="0" borderId="2" xfId="0" applyNumberFormat="1" applyFont="1" applyBorder="1" applyAlignment="1" applyProtection="1">
      <alignment horizontal="center"/>
      <protection/>
    </xf>
    <xf numFmtId="168" fontId="7" fillId="0" borderId="4" xfId="0" applyNumberFormat="1" applyFont="1" applyBorder="1" applyAlignment="1" applyProtection="1">
      <alignment horizontal="center"/>
      <protection/>
    </xf>
    <xf numFmtId="0" fontId="7" fillId="0" borderId="2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5" xfId="0" applyFont="1" applyFill="1" applyBorder="1" applyAlignment="1">
      <alignment horizontal="center"/>
    </xf>
    <xf numFmtId="168" fontId="7" fillId="0" borderId="2" xfId="0" applyNumberFormat="1" applyFont="1" applyFill="1" applyBorder="1" applyAlignment="1" applyProtection="1">
      <alignment horizontal="center"/>
      <protection/>
    </xf>
    <xf numFmtId="2" fontId="7" fillId="0" borderId="2" xfId="0" applyNumberFormat="1" applyFont="1" applyFill="1" applyBorder="1" applyAlignment="1" applyProtection="1">
      <alignment horizontal="center"/>
      <protection/>
    </xf>
    <xf numFmtId="3" fontId="7" fillId="0" borderId="2" xfId="0" applyNumberFormat="1" applyFont="1" applyFill="1" applyBorder="1" applyAlignment="1" applyProtection="1">
      <alignment horizontal="center"/>
      <protection/>
    </xf>
    <xf numFmtId="0" fontId="7" fillId="0" borderId="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2" fontId="7" fillId="0" borderId="6" xfId="0" applyNumberFormat="1" applyFont="1" applyFill="1" applyBorder="1" applyAlignment="1" applyProtection="1">
      <alignment horizontal="center"/>
      <protection/>
    </xf>
    <xf numFmtId="4" fontId="10" fillId="0" borderId="6" xfId="0" applyNumberFormat="1" applyFont="1" applyFill="1" applyBorder="1" applyAlignment="1">
      <alignment horizontal="right"/>
    </xf>
    <xf numFmtId="4" fontId="10" fillId="0" borderId="2" xfId="0" applyNumberFormat="1" applyFont="1" applyFill="1" applyBorder="1" applyAlignment="1">
      <alignment horizontal="right"/>
    </xf>
    <xf numFmtId="4" fontId="14" fillId="0" borderId="2" xfId="0" applyNumberFormat="1" applyFont="1" applyBorder="1" applyAlignment="1">
      <alignment horizontal="right"/>
    </xf>
    <xf numFmtId="0" fontId="7" fillId="0" borderId="1" xfId="0" applyFont="1" applyFill="1" applyBorder="1" applyAlignment="1">
      <alignment/>
    </xf>
    <xf numFmtId="171" fontId="7" fillId="0" borderId="7" xfId="0" applyNumberFormat="1" applyFont="1" applyFill="1" applyBorder="1" applyAlignment="1" applyProtection="1">
      <alignment horizontal="center"/>
      <protection/>
    </xf>
    <xf numFmtId="8" fontId="10" fillId="0" borderId="5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5" fillId="0" borderId="0" xfId="0" applyFont="1" applyFill="1" applyBorder="1" applyAlignment="1" applyProtection="1">
      <alignment horizontal="centerContinuous"/>
      <protection/>
    </xf>
    <xf numFmtId="0" fontId="19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Fill="1" applyBorder="1" applyAlignment="1" applyProtection="1">
      <alignment horizontal="left"/>
      <protection/>
    </xf>
    <xf numFmtId="0" fontId="16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8" xfId="0" applyFont="1" applyBorder="1" applyAlignment="1">
      <alignment/>
    </xf>
    <xf numFmtId="0" fontId="23" fillId="0" borderId="9" xfId="0" applyFont="1" applyBorder="1" applyAlignment="1">
      <alignment/>
    </xf>
    <xf numFmtId="0" fontId="24" fillId="0" borderId="0" xfId="0" applyFont="1" applyAlignment="1">
      <alignment/>
    </xf>
    <xf numFmtId="0" fontId="25" fillId="0" borderId="10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24" fillId="0" borderId="0" xfId="0" applyNumberFormat="1" applyFont="1" applyAlignment="1">
      <alignment horizontal="centerContinuous"/>
    </xf>
    <xf numFmtId="0" fontId="25" fillId="0" borderId="0" xfId="0" applyFont="1" applyBorder="1" applyAlignment="1">
      <alignment horizontal="centerContinuous"/>
    </xf>
    <xf numFmtId="0" fontId="24" fillId="0" borderId="0" xfId="0" applyFont="1" applyBorder="1" applyAlignment="1">
      <alignment horizontal="centerContinuous"/>
    </xf>
    <xf numFmtId="0" fontId="24" fillId="0" borderId="1" xfId="0" applyFont="1" applyBorder="1" applyAlignment="1">
      <alignment horizontal="centerContinuous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26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4" fillId="0" borderId="1" xfId="0" applyFont="1" applyBorder="1" applyAlignment="1">
      <alignment/>
    </xf>
    <xf numFmtId="0" fontId="26" fillId="0" borderId="0" xfId="0" applyNumberFormat="1" applyFont="1" applyBorder="1" applyAlignment="1">
      <alignment horizontal="right"/>
    </xf>
    <xf numFmtId="0" fontId="26" fillId="0" borderId="0" xfId="0" applyNumberFormat="1" applyFont="1" applyBorder="1" applyAlignment="1">
      <alignment/>
    </xf>
    <xf numFmtId="7" fontId="26" fillId="0" borderId="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26" fillId="0" borderId="0" xfId="0" applyFont="1" applyBorder="1" applyAlignment="1">
      <alignment/>
    </xf>
    <xf numFmtId="0" fontId="26" fillId="0" borderId="11" xfId="0" applyFont="1" applyBorder="1" applyAlignment="1">
      <alignment horizontal="center"/>
    </xf>
    <xf numFmtId="7" fontId="26" fillId="0" borderId="12" xfId="0" applyNumberFormat="1" applyFont="1" applyBorder="1" applyAlignment="1">
      <alignment horizontal="center"/>
    </xf>
    <xf numFmtId="0" fontId="23" fillId="0" borderId="13" xfId="0" applyFont="1" applyBorder="1" applyAlignment="1">
      <alignment/>
    </xf>
    <xf numFmtId="0" fontId="23" fillId="0" borderId="14" xfId="0" applyNumberFormat="1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0" xfId="0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7" fontId="23" fillId="0" borderId="0" xfId="0" applyNumberFormat="1" applyFont="1" applyBorder="1" applyAlignment="1">
      <alignment/>
    </xf>
    <xf numFmtId="168" fontId="23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left"/>
    </xf>
    <xf numFmtId="167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2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21" fillId="0" borderId="10" xfId="0" applyFont="1" applyBorder="1" applyAlignment="1">
      <alignment/>
    </xf>
    <xf numFmtId="0" fontId="21" fillId="0" borderId="1" xfId="0" applyFont="1" applyBorder="1" applyAlignment="1">
      <alignment/>
    </xf>
    <xf numFmtId="0" fontId="21" fillId="0" borderId="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0" fillId="0" borderId="3" xfId="0" applyFont="1" applyBorder="1" applyAlignment="1">
      <alignment horizontal="center"/>
    </xf>
    <xf numFmtId="4" fontId="10" fillId="0" borderId="17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0" fontId="25" fillId="0" borderId="0" xfId="0" applyFont="1" applyBorder="1" applyAlignment="1" applyProtection="1" quotePrefix="1">
      <alignment horizontal="centerContinuous"/>
      <protection/>
    </xf>
    <xf numFmtId="0" fontId="24" fillId="0" borderId="0" xfId="0" applyFont="1" applyBorder="1" applyAlignment="1" applyProtection="1">
      <alignment horizontal="centerContinuous"/>
      <protection/>
    </xf>
    <xf numFmtId="0" fontId="20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15" fillId="0" borderId="0" xfId="0" applyFont="1" applyBorder="1" applyAlignment="1" applyProtection="1">
      <alignment horizontal="centerContinuous"/>
      <protection/>
    </xf>
    <xf numFmtId="0" fontId="30" fillId="0" borderId="18" xfId="0" applyFont="1" applyBorder="1" applyAlignment="1">
      <alignment horizontal="center" vertical="center"/>
    </xf>
    <xf numFmtId="0" fontId="30" fillId="0" borderId="18" xfId="0" applyFont="1" applyBorder="1" applyAlignment="1" applyProtection="1">
      <alignment horizontal="center" vertical="center"/>
      <protection/>
    </xf>
    <xf numFmtId="0" fontId="30" fillId="0" borderId="18" xfId="0" applyFont="1" applyBorder="1" applyAlignment="1" applyProtection="1">
      <alignment horizontal="center" vertical="center" wrapTex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0" fillId="0" borderId="11" xfId="0" applyFont="1" applyBorder="1" applyAlignment="1" applyProtection="1">
      <alignment horizontal="center" vertical="center" wrapText="1"/>
      <protection/>
    </xf>
    <xf numFmtId="0" fontId="30" fillId="0" borderId="12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7" fillId="0" borderId="16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164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center"/>
    </xf>
    <xf numFmtId="2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166" fontId="7" fillId="0" borderId="0" xfId="0" applyNumberFormat="1" applyFont="1" applyFill="1" applyBorder="1" applyAlignment="1" applyProtection="1">
      <alignment/>
      <protection/>
    </xf>
    <xf numFmtId="7" fontId="13" fillId="0" borderId="18" xfId="0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 quotePrefix="1">
      <alignment horizontal="left"/>
    </xf>
    <xf numFmtId="0" fontId="19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10" xfId="0" applyFont="1" applyFill="1" applyBorder="1" applyAlignment="1">
      <alignment/>
    </xf>
    <xf numFmtId="0" fontId="21" fillId="0" borderId="1" xfId="0" applyFont="1" applyFill="1" applyBorder="1" applyAlignment="1">
      <alignment/>
    </xf>
    <xf numFmtId="0" fontId="21" fillId="0" borderId="0" xfId="0" applyFont="1" applyFill="1" applyBorder="1" applyAlignment="1" applyProtection="1">
      <alignment/>
      <protection/>
    </xf>
    <xf numFmtId="0" fontId="24" fillId="0" borderId="0" xfId="0" applyFont="1" applyFill="1" applyAlignment="1">
      <alignment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1" xfId="0" applyFont="1" applyFill="1" applyBorder="1" applyAlignment="1" applyProtection="1" quotePrefix="1">
      <alignment horizontal="left"/>
      <protection/>
    </xf>
    <xf numFmtId="0" fontId="0" fillId="0" borderId="19" xfId="0" applyFont="1" applyFill="1" applyBorder="1" applyAlignment="1" applyProtection="1">
      <alignment horizontal="center"/>
      <protection/>
    </xf>
    <xf numFmtId="164" fontId="0" fillId="0" borderId="18" xfId="0" applyNumberFormat="1" applyFont="1" applyFill="1" applyBorder="1" applyAlignment="1" applyProtection="1">
      <alignment horizontal="center"/>
      <protection/>
    </xf>
    <xf numFmtId="0" fontId="25" fillId="0" borderId="10" xfId="0" applyFont="1" applyFill="1" applyBorder="1" applyAlignment="1">
      <alignment horizontal="centerContinuous"/>
    </xf>
    <xf numFmtId="0" fontId="24" fillId="0" borderId="0" xfId="0" applyFont="1" applyFill="1" applyBorder="1" applyAlignment="1">
      <alignment horizontal="centerContinuous"/>
    </xf>
    <xf numFmtId="0" fontId="25" fillId="0" borderId="0" xfId="0" applyFont="1" applyFill="1" applyBorder="1" applyAlignment="1">
      <alignment horizontal="centerContinuous"/>
    </xf>
    <xf numFmtId="0" fontId="25" fillId="0" borderId="0" xfId="0" applyFont="1" applyFill="1" applyBorder="1" applyAlignment="1" quotePrefix="1">
      <alignment horizontal="centerContinuous"/>
    </xf>
    <xf numFmtId="0" fontId="24" fillId="0" borderId="1" xfId="0" applyFont="1" applyFill="1" applyBorder="1" applyAlignment="1">
      <alignment horizontal="centerContinuous"/>
    </xf>
    <xf numFmtId="0" fontId="16" fillId="0" borderId="0" xfId="0" applyFont="1" applyFill="1" applyAlignment="1">
      <alignment horizontal="centerContinuous"/>
    </xf>
    <xf numFmtId="0" fontId="11" fillId="0" borderId="0" xfId="0" applyFont="1" applyFill="1" applyAlignment="1">
      <alignment/>
    </xf>
    <xf numFmtId="22" fontId="7" fillId="0" borderId="0" xfId="0" applyNumberFormat="1" applyFont="1" applyBorder="1" applyAlignment="1">
      <alignment/>
    </xf>
    <xf numFmtId="171" fontId="7" fillId="0" borderId="0" xfId="0" applyNumberFormat="1" applyFont="1" applyBorder="1" applyAlignment="1">
      <alignment/>
    </xf>
    <xf numFmtId="0" fontId="7" fillId="0" borderId="0" xfId="0" applyFont="1" applyBorder="1" applyAlignment="1" quotePrefix="1">
      <alignment horizontal="center"/>
    </xf>
    <xf numFmtId="0" fontId="7" fillId="0" borderId="0" xfId="0" applyFont="1" applyBorder="1" applyAlignment="1" applyProtection="1">
      <alignment horizontal="left"/>
      <protection/>
    </xf>
    <xf numFmtId="171" fontId="7" fillId="0" borderId="0" xfId="0" applyNumberFormat="1" applyFont="1" applyBorder="1" applyAlignment="1" applyProtection="1">
      <alignment horizontal="center"/>
      <protection/>
    </xf>
    <xf numFmtId="0" fontId="25" fillId="0" borderId="0" xfId="0" applyFont="1" applyBorder="1" applyAlignment="1" quotePrefix="1">
      <alignment horizontal="centerContinuous"/>
    </xf>
    <xf numFmtId="0" fontId="0" fillId="0" borderId="11" xfId="0" applyFont="1" applyBorder="1" applyAlignment="1" applyProtection="1">
      <alignment horizontal="left"/>
      <protection/>
    </xf>
    <xf numFmtId="171" fontId="0" fillId="0" borderId="21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/>
    </xf>
    <xf numFmtId="171" fontId="29" fillId="0" borderId="21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1" fontId="0" fillId="0" borderId="4" xfId="0" applyNumberFormat="1" applyFont="1" applyBorder="1" applyAlignment="1">
      <alignment horizontal="center"/>
    </xf>
    <xf numFmtId="168" fontId="31" fillId="0" borderId="2" xfId="0" applyNumberFormat="1" applyFont="1" applyFill="1" applyBorder="1" applyAlignment="1">
      <alignment horizontal="center"/>
    </xf>
    <xf numFmtId="7" fontId="32" fillId="0" borderId="17" xfId="0" applyNumberFormat="1" applyFont="1" applyFill="1" applyBorder="1" applyAlignment="1">
      <alignment horizontal="center"/>
    </xf>
    <xf numFmtId="0" fontId="30" fillId="0" borderId="18" xfId="0" applyFont="1" applyFill="1" applyBorder="1" applyAlignment="1" applyProtection="1">
      <alignment horizontal="center" vertical="center"/>
      <protection/>
    </xf>
    <xf numFmtId="0" fontId="30" fillId="0" borderId="18" xfId="0" applyFont="1" applyFill="1" applyBorder="1" applyAlignment="1" applyProtection="1">
      <alignment horizontal="center" vertical="center" wrapText="1"/>
      <protection/>
    </xf>
    <xf numFmtId="0" fontId="30" fillId="0" borderId="18" xfId="0" applyFont="1" applyFill="1" applyBorder="1" applyAlignment="1" applyProtection="1" quotePrefix="1">
      <alignment horizontal="center" vertical="center" wrapText="1"/>
      <protection/>
    </xf>
    <xf numFmtId="0" fontId="30" fillId="0" borderId="18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9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Border="1" applyAlignment="1">
      <alignment horizontal="centerContinuous"/>
    </xf>
    <xf numFmtId="7" fontId="26" fillId="0" borderId="0" xfId="0" applyNumberFormat="1" applyFont="1" applyBorder="1" applyAlignment="1">
      <alignment horizontal="center"/>
    </xf>
    <xf numFmtId="0" fontId="33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35" fillId="0" borderId="20" xfId="0" applyFont="1" applyBorder="1" applyAlignment="1">
      <alignment horizontal="center"/>
    </xf>
    <xf numFmtId="0" fontId="37" fillId="0" borderId="0" xfId="0" applyFont="1" applyBorder="1" applyAlignment="1" applyProtection="1">
      <alignment horizontal="left"/>
      <protection/>
    </xf>
    <xf numFmtId="0" fontId="35" fillId="0" borderId="0" xfId="0" applyFont="1" applyBorder="1" applyAlignment="1">
      <alignment horizontal="center"/>
    </xf>
    <xf numFmtId="0" fontId="37" fillId="0" borderId="0" xfId="0" applyFont="1" applyBorder="1" applyAlignment="1" applyProtection="1">
      <alignment horizontal="left" vertical="top"/>
      <protection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0" xfId="0" applyFont="1" applyAlignment="1">
      <alignment/>
    </xf>
    <xf numFmtId="0" fontId="7" fillId="0" borderId="1" xfId="0" applyFont="1" applyBorder="1" applyAlignment="1">
      <alignment/>
    </xf>
    <xf numFmtId="0" fontId="0" fillId="0" borderId="0" xfId="0" applyFont="1" applyAlignment="1" applyProtection="1">
      <alignment/>
      <protection/>
    </xf>
    <xf numFmtId="0" fontId="35" fillId="0" borderId="1" xfId="0" applyFont="1" applyFill="1" applyBorder="1" applyAlignment="1">
      <alignment/>
    </xf>
    <xf numFmtId="7" fontId="38" fillId="0" borderId="0" xfId="0" applyNumberFormat="1" applyFont="1" applyBorder="1" applyAlignment="1">
      <alignment horizontal="right"/>
    </xf>
    <xf numFmtId="7" fontId="13" fillId="0" borderId="18" xfId="0" applyNumberFormat="1" applyFont="1" applyBorder="1" applyAlignment="1">
      <alignment horizontal="right"/>
    </xf>
    <xf numFmtId="0" fontId="39" fillId="2" borderId="18" xfId="0" applyFont="1" applyFill="1" applyBorder="1" applyAlignment="1" applyProtection="1">
      <alignment horizontal="center" vertical="center"/>
      <protection/>
    </xf>
    <xf numFmtId="0" fontId="40" fillId="2" borderId="3" xfId="0" applyFont="1" applyFill="1" applyBorder="1" applyAlignment="1">
      <alignment/>
    </xf>
    <xf numFmtId="168" fontId="40" fillId="2" borderId="2" xfId="0" applyNumberFormat="1" applyFont="1" applyFill="1" applyBorder="1" applyAlignment="1" applyProtection="1">
      <alignment horizontal="center"/>
      <protection/>
    </xf>
    <xf numFmtId="168" fontId="40" fillId="2" borderId="4" xfId="0" applyNumberFormat="1" applyFont="1" applyFill="1" applyBorder="1" applyAlignment="1" applyProtection="1">
      <alignment horizontal="center"/>
      <protection/>
    </xf>
    <xf numFmtId="0" fontId="40" fillId="2" borderId="5" xfId="0" applyFont="1" applyFill="1" applyBorder="1" applyAlignment="1">
      <alignment/>
    </xf>
    <xf numFmtId="0" fontId="40" fillId="2" borderId="2" xfId="0" applyFont="1" applyFill="1" applyBorder="1" applyAlignment="1">
      <alignment/>
    </xf>
    <xf numFmtId="0" fontId="40" fillId="2" borderId="4" xfId="0" applyFont="1" applyFill="1" applyBorder="1" applyAlignment="1">
      <alignment/>
    </xf>
    <xf numFmtId="171" fontId="40" fillId="2" borderId="2" xfId="0" applyNumberFormat="1" applyFont="1" applyFill="1" applyBorder="1" applyAlignment="1" applyProtection="1">
      <alignment horizontal="center"/>
      <protection/>
    </xf>
    <xf numFmtId="171" fontId="40" fillId="2" borderId="4" xfId="0" applyNumberFormat="1" applyFont="1" applyFill="1" applyBorder="1" applyAlignment="1" applyProtection="1">
      <alignment horizontal="center"/>
      <protection/>
    </xf>
    <xf numFmtId="0" fontId="10" fillId="0" borderId="22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30" fillId="0" borderId="18" xfId="0" applyFont="1" applyBorder="1" applyAlignment="1">
      <alignment horizontal="center" vertical="center" wrapText="1"/>
    </xf>
    <xf numFmtId="7" fontId="10" fillId="0" borderId="5" xfId="0" applyNumberFormat="1" applyFont="1" applyBorder="1" applyAlignment="1">
      <alignment horizontal="right"/>
    </xf>
    <xf numFmtId="167" fontId="7" fillId="0" borderId="12" xfId="0" applyNumberFormat="1" applyFont="1" applyBorder="1" applyAlignment="1">
      <alignment horizontal="centerContinuous"/>
    </xf>
    <xf numFmtId="0" fontId="40" fillId="2" borderId="5" xfId="0" applyFont="1" applyFill="1" applyBorder="1" applyAlignment="1">
      <alignment horizontal="center"/>
    </xf>
    <xf numFmtId="0" fontId="46" fillId="3" borderId="18" xfId="0" applyFont="1" applyFill="1" applyBorder="1" applyAlignment="1">
      <alignment horizontal="center" vertical="center" wrapText="1"/>
    </xf>
    <xf numFmtId="0" fontId="47" fillId="3" borderId="2" xfId="0" applyFont="1" applyFill="1" applyBorder="1" applyAlignment="1">
      <alignment horizontal="center"/>
    </xf>
    <xf numFmtId="0" fontId="47" fillId="3" borderId="3" xfId="0" applyFont="1" applyFill="1" applyBorder="1" applyAlignment="1">
      <alignment/>
    </xf>
    <xf numFmtId="2" fontId="47" fillId="3" borderId="2" xfId="0" applyNumberFormat="1" applyFont="1" applyFill="1" applyBorder="1" applyAlignment="1">
      <alignment horizontal="center"/>
    </xf>
    <xf numFmtId="2" fontId="47" fillId="3" borderId="4" xfId="0" applyNumberFormat="1" applyFont="1" applyFill="1" applyBorder="1" applyAlignment="1">
      <alignment horizontal="center"/>
    </xf>
    <xf numFmtId="0" fontId="48" fillId="4" borderId="18" xfId="0" applyFont="1" applyFill="1" applyBorder="1" applyAlignment="1">
      <alignment horizontal="center" vertical="center" wrapText="1"/>
    </xf>
    <xf numFmtId="0" fontId="49" fillId="4" borderId="2" xfId="0" applyFont="1" applyFill="1" applyBorder="1" applyAlignment="1">
      <alignment horizontal="center"/>
    </xf>
    <xf numFmtId="0" fontId="49" fillId="4" borderId="3" xfId="0" applyFont="1" applyFill="1" applyBorder="1" applyAlignment="1">
      <alignment/>
    </xf>
    <xf numFmtId="2" fontId="49" fillId="4" borderId="2" xfId="0" applyNumberFormat="1" applyFont="1" applyFill="1" applyBorder="1" applyAlignment="1" applyProtection="1">
      <alignment horizontal="center"/>
      <protection/>
    </xf>
    <xf numFmtId="2" fontId="49" fillId="4" borderId="4" xfId="0" applyNumberFormat="1" applyFont="1" applyFill="1" applyBorder="1" applyAlignment="1">
      <alignment horizontal="center"/>
    </xf>
    <xf numFmtId="0" fontId="43" fillId="5" borderId="11" xfId="0" applyFont="1" applyFill="1" applyBorder="1" applyAlignment="1" applyProtection="1">
      <alignment horizontal="centerContinuous" vertical="center" wrapText="1"/>
      <protection/>
    </xf>
    <xf numFmtId="0" fontId="44" fillId="5" borderId="19" xfId="0" applyFont="1" applyFill="1" applyBorder="1" applyAlignment="1">
      <alignment horizontal="centerContinuous"/>
    </xf>
    <xf numFmtId="0" fontId="43" fillId="5" borderId="12" xfId="0" applyFont="1" applyFill="1" applyBorder="1" applyAlignment="1">
      <alignment horizontal="centerContinuous" vertical="center"/>
    </xf>
    <xf numFmtId="168" fontId="42" fillId="5" borderId="23" xfId="0" applyNumberFormat="1" applyFont="1" applyFill="1" applyBorder="1" applyAlignment="1" applyProtection="1" quotePrefix="1">
      <alignment horizontal="center"/>
      <protection/>
    </xf>
    <xf numFmtId="168" fontId="42" fillId="5" borderId="24" xfId="0" applyNumberFormat="1" applyFont="1" applyFill="1" applyBorder="1" applyAlignment="1" applyProtection="1" quotePrefix="1">
      <alignment horizontal="center"/>
      <protection/>
    </xf>
    <xf numFmtId="4" fontId="42" fillId="5" borderId="6" xfId="0" applyNumberFormat="1" applyFont="1" applyFill="1" applyBorder="1" applyAlignment="1">
      <alignment horizontal="center"/>
    </xf>
    <xf numFmtId="168" fontId="42" fillId="5" borderId="25" xfId="0" applyNumberFormat="1" applyFont="1" applyFill="1" applyBorder="1" applyAlignment="1" applyProtection="1" quotePrefix="1">
      <alignment horizontal="center"/>
      <protection/>
    </xf>
    <xf numFmtId="168" fontId="42" fillId="5" borderId="26" xfId="0" applyNumberFormat="1" applyFont="1" applyFill="1" applyBorder="1" applyAlignment="1" applyProtection="1" quotePrefix="1">
      <alignment horizontal="center"/>
      <protection/>
    </xf>
    <xf numFmtId="4" fontId="42" fillId="5" borderId="7" xfId="0" applyNumberFormat="1" applyFont="1" applyFill="1" applyBorder="1" applyAlignment="1">
      <alignment horizontal="center"/>
    </xf>
    <xf numFmtId="0" fontId="42" fillId="5" borderId="27" xfId="0" applyFont="1" applyFill="1" applyBorder="1" applyAlignment="1">
      <alignment/>
    </xf>
    <xf numFmtId="0" fontId="42" fillId="5" borderId="28" xfId="0" applyFont="1" applyFill="1" applyBorder="1" applyAlignment="1">
      <alignment/>
    </xf>
    <xf numFmtId="2" fontId="47" fillId="3" borderId="18" xfId="0" applyNumberFormat="1" applyFont="1" applyFill="1" applyBorder="1" applyAlignment="1">
      <alignment horizontal="center"/>
    </xf>
    <xf numFmtId="2" fontId="49" fillId="4" borderId="18" xfId="0" applyNumberFormat="1" applyFont="1" applyFill="1" applyBorder="1" applyAlignment="1">
      <alignment horizontal="center"/>
    </xf>
    <xf numFmtId="0" fontId="50" fillId="6" borderId="11" xfId="0" applyFont="1" applyFill="1" applyBorder="1" applyAlignment="1">
      <alignment horizontal="centerContinuous" vertical="center" wrapText="1"/>
    </xf>
    <xf numFmtId="0" fontId="51" fillId="6" borderId="19" xfId="0" applyFont="1" applyFill="1" applyBorder="1" applyAlignment="1">
      <alignment horizontal="centerContinuous"/>
    </xf>
    <xf numFmtId="0" fontId="50" fillId="6" borderId="12" xfId="0" applyFont="1" applyFill="1" applyBorder="1" applyAlignment="1">
      <alignment horizontal="centerContinuous" vertical="center"/>
    </xf>
    <xf numFmtId="0" fontId="52" fillId="6" borderId="29" xfId="0" applyFont="1" applyFill="1" applyBorder="1" applyAlignment="1">
      <alignment horizontal="left"/>
    </xf>
    <xf numFmtId="0" fontId="52" fillId="6" borderId="30" xfId="0" applyFont="1" applyFill="1" applyBorder="1" applyAlignment="1">
      <alignment/>
    </xf>
    <xf numFmtId="4" fontId="52" fillId="6" borderId="23" xfId="0" applyNumberFormat="1" applyFont="1" applyFill="1" applyBorder="1" applyAlignment="1" applyProtection="1">
      <alignment horizontal="center"/>
      <protection/>
    </xf>
    <xf numFmtId="4" fontId="52" fillId="6" borderId="25" xfId="0" applyNumberFormat="1" applyFont="1" applyFill="1" applyBorder="1" applyAlignment="1">
      <alignment horizontal="center"/>
    </xf>
    <xf numFmtId="0" fontId="52" fillId="6" borderId="31" xfId="0" applyFont="1" applyFill="1" applyBorder="1" applyAlignment="1">
      <alignment horizontal="left"/>
    </xf>
    <xf numFmtId="0" fontId="52" fillId="6" borderId="32" xfId="0" applyFont="1" applyFill="1" applyBorder="1" applyAlignment="1">
      <alignment/>
    </xf>
    <xf numFmtId="168" fontId="52" fillId="6" borderId="33" xfId="0" applyNumberFormat="1" applyFont="1" applyFill="1" applyBorder="1" applyAlignment="1" applyProtection="1" quotePrefix="1">
      <alignment horizontal="center"/>
      <protection/>
    </xf>
    <xf numFmtId="4" fontId="52" fillId="6" borderId="34" xfId="0" applyNumberFormat="1" applyFont="1" applyFill="1" applyBorder="1" applyAlignment="1">
      <alignment horizontal="center"/>
    </xf>
    <xf numFmtId="0" fontId="52" fillId="6" borderId="35" xfId="0" applyFont="1" applyFill="1" applyBorder="1" applyAlignment="1">
      <alignment horizontal="left"/>
    </xf>
    <xf numFmtId="0" fontId="52" fillId="6" borderId="36" xfId="0" applyFont="1" applyFill="1" applyBorder="1" applyAlignment="1">
      <alignment/>
    </xf>
    <xf numFmtId="4" fontId="52" fillId="6" borderId="37" xfId="0" applyNumberFormat="1" applyFont="1" applyFill="1" applyBorder="1" applyAlignment="1">
      <alignment horizontal="center"/>
    </xf>
    <xf numFmtId="4" fontId="52" fillId="6" borderId="38" xfId="0" applyNumberFormat="1" applyFont="1" applyFill="1" applyBorder="1" applyAlignment="1">
      <alignment horizontal="center"/>
    </xf>
    <xf numFmtId="0" fontId="50" fillId="7" borderId="18" xfId="0" applyFont="1" applyFill="1" applyBorder="1" applyAlignment="1">
      <alignment horizontal="center" vertical="center" wrapText="1"/>
    </xf>
    <xf numFmtId="0" fontId="52" fillId="7" borderId="5" xfId="0" applyFont="1" applyFill="1" applyBorder="1" applyAlignment="1">
      <alignment horizontal="left"/>
    </xf>
    <xf numFmtId="0" fontId="52" fillId="7" borderId="3" xfId="0" applyFont="1" applyFill="1" applyBorder="1" applyAlignment="1">
      <alignment/>
    </xf>
    <xf numFmtId="4" fontId="52" fillId="7" borderId="2" xfId="0" applyNumberFormat="1" applyFont="1" applyFill="1" applyBorder="1" applyAlignment="1">
      <alignment horizontal="center"/>
    </xf>
    <xf numFmtId="4" fontId="52" fillId="7" borderId="4" xfId="0" applyNumberFormat="1" applyFont="1" applyFill="1" applyBorder="1" applyAlignment="1">
      <alignment horizontal="center"/>
    </xf>
    <xf numFmtId="0" fontId="54" fillId="8" borderId="18" xfId="0" applyFont="1" applyFill="1" applyBorder="1" applyAlignment="1">
      <alignment horizontal="center" vertical="center" wrapText="1"/>
    </xf>
    <xf numFmtId="0" fontId="55" fillId="8" borderId="5" xfId="0" applyFont="1" applyFill="1" applyBorder="1" applyAlignment="1">
      <alignment horizontal="left"/>
    </xf>
    <xf numFmtId="0" fontId="55" fillId="8" borderId="3" xfId="0" applyFont="1" applyFill="1" applyBorder="1" applyAlignment="1">
      <alignment/>
    </xf>
    <xf numFmtId="4" fontId="55" fillId="8" borderId="2" xfId="0" applyNumberFormat="1" applyFont="1" applyFill="1" applyBorder="1" applyAlignment="1">
      <alignment horizontal="center"/>
    </xf>
    <xf numFmtId="4" fontId="55" fillId="8" borderId="4" xfId="0" applyNumberFormat="1" applyFont="1" applyFill="1" applyBorder="1" applyAlignment="1">
      <alignment horizontal="center"/>
    </xf>
    <xf numFmtId="2" fontId="42" fillId="5" borderId="18" xfId="0" applyNumberFormat="1" applyFont="1" applyFill="1" applyBorder="1" applyAlignment="1">
      <alignment horizontal="center"/>
    </xf>
    <xf numFmtId="2" fontId="52" fillId="6" borderId="18" xfId="0" applyNumberFormat="1" applyFont="1" applyFill="1" applyBorder="1" applyAlignment="1">
      <alignment horizontal="center"/>
    </xf>
    <xf numFmtId="2" fontId="52" fillId="7" borderId="18" xfId="0" applyNumberFormat="1" applyFont="1" applyFill="1" applyBorder="1" applyAlignment="1">
      <alignment horizontal="center"/>
    </xf>
    <xf numFmtId="2" fontId="55" fillId="8" borderId="18" xfId="0" applyNumberFormat="1" applyFont="1" applyFill="1" applyBorder="1" applyAlignment="1">
      <alignment horizontal="center"/>
    </xf>
    <xf numFmtId="0" fontId="53" fillId="9" borderId="4" xfId="0" applyFont="1" applyFill="1" applyBorder="1" applyAlignment="1">
      <alignment/>
    </xf>
    <xf numFmtId="0" fontId="50" fillId="9" borderId="18" xfId="0" applyFont="1" applyFill="1" applyBorder="1" applyAlignment="1" applyProtection="1">
      <alignment horizontal="center" vertical="center"/>
      <protection/>
    </xf>
    <xf numFmtId="0" fontId="53" fillId="9" borderId="5" xfId="0" applyFont="1" applyFill="1" applyBorder="1" applyAlignment="1">
      <alignment/>
    </xf>
    <xf numFmtId="0" fontId="53" fillId="9" borderId="2" xfId="0" applyFont="1" applyFill="1" applyBorder="1" applyAlignment="1">
      <alignment/>
    </xf>
    <xf numFmtId="4" fontId="53" fillId="9" borderId="2" xfId="0" applyNumberFormat="1" applyFont="1" applyFill="1" applyBorder="1" applyAlignment="1" applyProtection="1">
      <alignment horizontal="center"/>
      <protection/>
    </xf>
    <xf numFmtId="0" fontId="50" fillId="3" borderId="18" xfId="0" applyFont="1" applyFill="1" applyBorder="1" applyAlignment="1">
      <alignment horizontal="center" vertical="center" wrapText="1"/>
    </xf>
    <xf numFmtId="0" fontId="52" fillId="3" borderId="5" xfId="0" applyFont="1" applyFill="1" applyBorder="1" applyAlignment="1">
      <alignment/>
    </xf>
    <xf numFmtId="0" fontId="52" fillId="3" borderId="2" xfId="0" applyFont="1" applyFill="1" applyBorder="1" applyAlignment="1">
      <alignment/>
    </xf>
    <xf numFmtId="2" fontId="52" fillId="3" borderId="2" xfId="0" applyNumberFormat="1" applyFont="1" applyFill="1" applyBorder="1" applyAlignment="1">
      <alignment horizontal="center"/>
    </xf>
    <xf numFmtId="0" fontId="52" fillId="3" borderId="4" xfId="0" applyFont="1" applyFill="1" applyBorder="1" applyAlignment="1">
      <alignment/>
    </xf>
    <xf numFmtId="7" fontId="52" fillId="3" borderId="18" xfId="0" applyNumberFormat="1" applyFont="1" applyFill="1" applyBorder="1" applyAlignment="1">
      <alignment horizontal="center"/>
    </xf>
    <xf numFmtId="0" fontId="50" fillId="10" borderId="18" xfId="0" applyFont="1" applyFill="1" applyBorder="1" applyAlignment="1">
      <alignment horizontal="center" vertical="center" wrapText="1"/>
    </xf>
    <xf numFmtId="0" fontId="52" fillId="10" borderId="5" xfId="0" applyFont="1" applyFill="1" applyBorder="1" applyAlignment="1">
      <alignment/>
    </xf>
    <xf numFmtId="0" fontId="52" fillId="10" borderId="2" xfId="0" applyFont="1" applyFill="1" applyBorder="1" applyAlignment="1">
      <alignment/>
    </xf>
    <xf numFmtId="2" fontId="52" fillId="10" borderId="2" xfId="0" applyNumberFormat="1" applyFont="1" applyFill="1" applyBorder="1" applyAlignment="1">
      <alignment horizontal="center"/>
    </xf>
    <xf numFmtId="0" fontId="52" fillId="10" borderId="4" xfId="0" applyFont="1" applyFill="1" applyBorder="1" applyAlignment="1">
      <alignment/>
    </xf>
    <xf numFmtId="7" fontId="53" fillId="10" borderId="18" xfId="0" applyNumberFormat="1" applyFont="1" applyFill="1" applyBorder="1" applyAlignment="1">
      <alignment horizontal="center"/>
    </xf>
    <xf numFmtId="0" fontId="42" fillId="5" borderId="39" xfId="0" applyFont="1" applyFill="1" applyBorder="1" applyAlignment="1">
      <alignment/>
    </xf>
    <xf numFmtId="0" fontId="42" fillId="5" borderId="25" xfId="0" applyFont="1" applyFill="1" applyBorder="1" applyAlignment="1">
      <alignment/>
    </xf>
    <xf numFmtId="0" fontId="42" fillId="5" borderId="38" xfId="0" applyFont="1" applyFill="1" applyBorder="1" applyAlignment="1">
      <alignment/>
    </xf>
    <xf numFmtId="7" fontId="42" fillId="5" borderId="18" xfId="0" applyNumberFormat="1" applyFont="1" applyFill="1" applyBorder="1" applyAlignment="1">
      <alignment horizontal="center"/>
    </xf>
    <xf numFmtId="0" fontId="42" fillId="5" borderId="6" xfId="0" applyFont="1" applyFill="1" applyBorder="1" applyAlignment="1">
      <alignment/>
    </xf>
    <xf numFmtId="168" fontId="42" fillId="5" borderId="37" xfId="0" applyNumberFormat="1" applyFont="1" applyFill="1" applyBorder="1" applyAlignment="1" applyProtection="1" quotePrefix="1">
      <alignment horizontal="center"/>
      <protection/>
    </xf>
    <xf numFmtId="0" fontId="42" fillId="5" borderId="29" xfId="0" applyFont="1" applyFill="1" applyBorder="1" applyAlignment="1">
      <alignment horizontal="center"/>
    </xf>
    <xf numFmtId="0" fontId="42" fillId="5" borderId="23" xfId="0" applyFont="1" applyFill="1" applyBorder="1" applyAlignment="1">
      <alignment horizontal="center"/>
    </xf>
    <xf numFmtId="0" fontId="54" fillId="6" borderId="11" xfId="0" applyFont="1" applyFill="1" applyBorder="1" applyAlignment="1" applyProtection="1">
      <alignment horizontal="centerContinuous" vertical="center" wrapText="1"/>
      <protection/>
    </xf>
    <xf numFmtId="0" fontId="54" fillId="6" borderId="12" xfId="0" applyFont="1" applyFill="1" applyBorder="1" applyAlignment="1">
      <alignment horizontal="centerContinuous" vertical="center"/>
    </xf>
    <xf numFmtId="0" fontId="55" fillId="6" borderId="29" xfId="0" applyFont="1" applyFill="1" applyBorder="1" applyAlignment="1">
      <alignment horizontal="center"/>
    </xf>
    <xf numFmtId="0" fontId="55" fillId="6" borderId="39" xfId="0" applyFont="1" applyFill="1" applyBorder="1" applyAlignment="1">
      <alignment/>
    </xf>
    <xf numFmtId="0" fontId="55" fillId="6" borderId="23" xfId="0" applyFont="1" applyFill="1" applyBorder="1" applyAlignment="1">
      <alignment horizontal="center"/>
    </xf>
    <xf numFmtId="0" fontId="55" fillId="6" borderId="6" xfId="0" applyFont="1" applyFill="1" applyBorder="1" applyAlignment="1">
      <alignment/>
    </xf>
    <xf numFmtId="168" fontId="55" fillId="6" borderId="23" xfId="0" applyNumberFormat="1" applyFont="1" applyFill="1" applyBorder="1" applyAlignment="1" applyProtection="1" quotePrefix="1">
      <alignment horizontal="center"/>
      <protection/>
    </xf>
    <xf numFmtId="168" fontId="55" fillId="6" borderId="37" xfId="0" applyNumberFormat="1" applyFont="1" applyFill="1" applyBorder="1" applyAlignment="1" applyProtection="1" quotePrefix="1">
      <alignment horizontal="center"/>
      <protection/>
    </xf>
    <xf numFmtId="0" fontId="55" fillId="6" borderId="25" xfId="0" applyFont="1" applyFill="1" applyBorder="1" applyAlignment="1">
      <alignment/>
    </xf>
    <xf numFmtId="0" fontId="55" fillId="6" borderId="38" xfId="0" applyFont="1" applyFill="1" applyBorder="1" applyAlignment="1">
      <alignment/>
    </xf>
    <xf numFmtId="7" fontId="55" fillId="6" borderId="18" xfId="0" applyNumberFormat="1" applyFont="1" applyFill="1" applyBorder="1" applyAlignment="1">
      <alignment horizontal="center"/>
    </xf>
    <xf numFmtId="0" fontId="54" fillId="7" borderId="18" xfId="0" applyFont="1" applyFill="1" applyBorder="1" applyAlignment="1">
      <alignment horizontal="center" vertical="center" wrapText="1"/>
    </xf>
    <xf numFmtId="0" fontId="55" fillId="7" borderId="5" xfId="0" applyFont="1" applyFill="1" applyBorder="1" applyAlignment="1">
      <alignment/>
    </xf>
    <xf numFmtId="0" fontId="55" fillId="7" borderId="2" xfId="0" applyFont="1" applyFill="1" applyBorder="1" applyAlignment="1">
      <alignment/>
    </xf>
    <xf numFmtId="168" fontId="55" fillId="7" borderId="2" xfId="0" applyNumberFormat="1" applyFont="1" applyFill="1" applyBorder="1" applyAlignment="1" applyProtection="1" quotePrefix="1">
      <alignment horizontal="center"/>
      <protection/>
    </xf>
    <xf numFmtId="0" fontId="55" fillId="7" borderId="4" xfId="0" applyFont="1" applyFill="1" applyBorder="1" applyAlignment="1">
      <alignment/>
    </xf>
    <xf numFmtId="7" fontId="55" fillId="7" borderId="18" xfId="0" applyNumberFormat="1" applyFont="1" applyFill="1" applyBorder="1" applyAlignment="1">
      <alignment horizontal="center"/>
    </xf>
    <xf numFmtId="0" fontId="56" fillId="11" borderId="18" xfId="0" applyFont="1" applyFill="1" applyBorder="1" applyAlignment="1">
      <alignment horizontal="center" vertical="center" wrapText="1"/>
    </xf>
    <xf numFmtId="0" fontId="57" fillId="11" borderId="5" xfId="0" applyFont="1" applyFill="1" applyBorder="1" applyAlignment="1">
      <alignment/>
    </xf>
    <xf numFmtId="0" fontId="57" fillId="11" borderId="2" xfId="0" applyFont="1" applyFill="1" applyBorder="1" applyAlignment="1">
      <alignment/>
    </xf>
    <xf numFmtId="168" fontId="57" fillId="11" borderId="2" xfId="0" applyNumberFormat="1" applyFont="1" applyFill="1" applyBorder="1" applyAlignment="1" applyProtection="1" quotePrefix="1">
      <alignment horizontal="center"/>
      <protection/>
    </xf>
    <xf numFmtId="0" fontId="57" fillId="11" borderId="4" xfId="0" applyFont="1" applyFill="1" applyBorder="1" applyAlignment="1">
      <alignment/>
    </xf>
    <xf numFmtId="7" fontId="57" fillId="11" borderId="18" xfId="0" applyNumberFormat="1" applyFont="1" applyFill="1" applyBorder="1" applyAlignment="1">
      <alignment horizontal="center"/>
    </xf>
    <xf numFmtId="0" fontId="41" fillId="2" borderId="18" xfId="0" applyFont="1" applyFill="1" applyBorder="1" applyAlignment="1" applyProtection="1">
      <alignment horizontal="center" vertical="center"/>
      <protection/>
    </xf>
    <xf numFmtId="0" fontId="50" fillId="12" borderId="18" xfId="0" applyFont="1" applyFill="1" applyBorder="1" applyAlignment="1">
      <alignment horizontal="center" vertical="center" wrapText="1"/>
    </xf>
    <xf numFmtId="0" fontId="58" fillId="13" borderId="11" xfId="0" applyFont="1" applyFill="1" applyBorder="1" applyAlignment="1" applyProtection="1">
      <alignment horizontal="centerContinuous" vertical="center" wrapText="1"/>
      <protection/>
    </xf>
    <xf numFmtId="0" fontId="58" fillId="13" borderId="12" xfId="0" applyFont="1" applyFill="1" applyBorder="1" applyAlignment="1">
      <alignment horizontal="centerContinuous" vertical="center"/>
    </xf>
    <xf numFmtId="2" fontId="52" fillId="12" borderId="18" xfId="0" applyNumberFormat="1" applyFont="1" applyFill="1" applyBorder="1" applyAlignment="1">
      <alignment horizontal="center"/>
    </xf>
    <xf numFmtId="2" fontId="59" fillId="13" borderId="18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/>
    </xf>
    <xf numFmtId="2" fontId="7" fillId="0" borderId="1" xfId="0" applyNumberFormat="1" applyFont="1" applyFill="1" applyBorder="1" applyAlignment="1">
      <alignment/>
    </xf>
    <xf numFmtId="174" fontId="0" fillId="0" borderId="11" xfId="0" applyNumberFormat="1" applyFont="1" applyBorder="1" applyAlignment="1">
      <alignment horizontal="centerContinuous"/>
    </xf>
    <xf numFmtId="0" fontId="60" fillId="0" borderId="0" xfId="0" applyFont="1" applyAlignment="1">
      <alignment horizontal="right" vertical="top"/>
    </xf>
    <xf numFmtId="0" fontId="7" fillId="0" borderId="0" xfId="0" applyFont="1" applyFill="1" applyBorder="1" applyAlignment="1">
      <alignment horizontal="center" vertical="center"/>
    </xf>
    <xf numFmtId="174" fontId="7" fillId="0" borderId="0" xfId="0" applyNumberFormat="1" applyFont="1" applyFill="1" applyBorder="1" applyAlignment="1">
      <alignment horizontal="center" vertical="center"/>
    </xf>
    <xf numFmtId="171" fontId="7" fillId="0" borderId="0" xfId="0" applyNumberFormat="1" applyFont="1" applyBorder="1" applyAlignment="1">
      <alignment vertical="center"/>
    </xf>
    <xf numFmtId="0" fontId="7" fillId="0" borderId="0" xfId="0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4" fontId="7" fillId="0" borderId="0" xfId="0" applyNumberFormat="1" applyFont="1" applyBorder="1" applyAlignment="1">
      <alignment horizontal="center" vertical="center"/>
    </xf>
    <xf numFmtId="0" fontId="7" fillId="0" borderId="2" xfId="0" applyFont="1" applyBorder="1" applyAlignment="1" applyProtection="1">
      <alignment/>
      <protection locked="0"/>
    </xf>
    <xf numFmtId="0" fontId="7" fillId="0" borderId="40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/>
      <protection locked="0"/>
    </xf>
    <xf numFmtId="0" fontId="7" fillId="0" borderId="41" xfId="0" applyFont="1" applyBorder="1" applyAlignment="1" applyProtection="1">
      <alignment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/>
      <protection locked="0"/>
    </xf>
    <xf numFmtId="0" fontId="12" fillId="0" borderId="42" xfId="0" applyFont="1" applyBorder="1" applyAlignment="1" applyProtection="1">
      <alignment horizontal="center"/>
      <protection locked="0"/>
    </xf>
    <xf numFmtId="164" fontId="7" fillId="0" borderId="2" xfId="0" applyNumberFormat="1" applyFont="1" applyBorder="1" applyAlignment="1" applyProtection="1">
      <alignment horizontal="center"/>
      <protection locked="0"/>
    </xf>
    <xf numFmtId="164" fontId="7" fillId="0" borderId="6" xfId="0" applyNumberFormat="1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2" fontId="7" fillId="0" borderId="3" xfId="0" applyNumberFormat="1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39" fontId="7" fillId="0" borderId="4" xfId="0" applyNumberFormat="1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22" fontId="7" fillId="0" borderId="2" xfId="0" applyNumberFormat="1" applyFont="1" applyBorder="1" applyAlignment="1" applyProtection="1">
      <alignment horizontal="center"/>
      <protection locked="0"/>
    </xf>
    <xf numFmtId="168" fontId="7" fillId="0" borderId="4" xfId="0" applyNumberFormat="1" applyFont="1" applyBorder="1" applyAlignment="1" applyProtection="1">
      <alignment horizontal="center"/>
      <protection locked="0"/>
    </xf>
    <xf numFmtId="168" fontId="7" fillId="0" borderId="2" xfId="0" applyNumberFormat="1" applyFont="1" applyBorder="1" applyAlignment="1" applyProtection="1">
      <alignment horizontal="center"/>
      <protection locked="0"/>
    </xf>
    <xf numFmtId="168" fontId="7" fillId="0" borderId="2" xfId="0" applyNumberFormat="1" applyFont="1" applyBorder="1" applyAlignment="1" applyProtection="1" quotePrefix="1">
      <alignment horizontal="center"/>
      <protection locked="0"/>
    </xf>
    <xf numFmtId="168" fontId="7" fillId="0" borderId="4" xfId="0" applyNumberFormat="1" applyFont="1" applyBorder="1" applyAlignment="1" applyProtection="1" quotePrefix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28" xfId="0" applyFont="1" applyBorder="1" applyAlignment="1" applyProtection="1">
      <alignment/>
      <protection locked="0"/>
    </xf>
    <xf numFmtId="4" fontId="7" fillId="0" borderId="6" xfId="0" applyNumberFormat="1" applyFont="1" applyBorder="1" applyAlignment="1" applyProtection="1">
      <alignment horizontal="center"/>
      <protection locked="0"/>
    </xf>
    <xf numFmtId="4" fontId="9" fillId="0" borderId="7" xfId="0" applyNumberFormat="1" applyFont="1" applyBorder="1" applyAlignment="1" applyProtection="1">
      <alignment horizontal="center"/>
      <protection locked="0"/>
    </xf>
    <xf numFmtId="0" fontId="25" fillId="0" borderId="10" xfId="0" applyFont="1" applyBorder="1" applyAlignment="1" applyProtection="1">
      <alignment horizontal="centerContinuous"/>
      <protection locked="0"/>
    </xf>
    <xf numFmtId="0" fontId="7" fillId="0" borderId="40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 quotePrefix="1">
      <alignment horizontal="center"/>
      <protection locked="0"/>
    </xf>
    <xf numFmtId="0" fontId="7" fillId="0" borderId="5" xfId="0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/>
      <protection locked="0"/>
    </xf>
    <xf numFmtId="165" fontId="7" fillId="0" borderId="3" xfId="0" applyNumberFormat="1" applyFont="1" applyBorder="1" applyAlignment="1" applyProtection="1" quotePrefix="1">
      <alignment horizontal="center"/>
      <protection locked="0"/>
    </xf>
    <xf numFmtId="2" fontId="7" fillId="0" borderId="3" xfId="0" applyNumberFormat="1" applyFont="1" applyBorder="1" applyAlignment="1" applyProtection="1" quotePrefix="1">
      <alignment horizontal="center"/>
      <protection locked="0"/>
    </xf>
    <xf numFmtId="0" fontId="7" fillId="0" borderId="4" xfId="0" applyFont="1" applyFill="1" applyBorder="1" applyAlignment="1" applyProtection="1">
      <alignment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22" fontId="7" fillId="0" borderId="2" xfId="0" applyNumberFormat="1" applyFont="1" applyFill="1" applyBorder="1" applyAlignment="1" applyProtection="1">
      <alignment horizontal="center"/>
      <protection locked="0"/>
    </xf>
    <xf numFmtId="168" fontId="7" fillId="0" borderId="2" xfId="0" applyNumberFormat="1" applyFont="1" applyFill="1" applyBorder="1" applyAlignment="1" applyProtection="1">
      <alignment horizontal="center"/>
      <protection locked="0"/>
    </xf>
    <xf numFmtId="168" fontId="7" fillId="0" borderId="2" xfId="0" applyNumberFormat="1" applyFont="1" applyFill="1" applyBorder="1" applyAlignment="1" applyProtection="1" quotePrefix="1">
      <alignment horizontal="center"/>
      <protection locked="0"/>
    </xf>
    <xf numFmtId="0" fontId="12" fillId="0" borderId="40" xfId="0" applyFont="1" applyFill="1" applyBorder="1" applyAlignment="1" applyProtection="1" quotePrefix="1">
      <alignment horizontal="center"/>
      <protection locked="0"/>
    </xf>
    <xf numFmtId="0" fontId="12" fillId="0" borderId="40" xfId="0" applyFont="1" applyFill="1" applyBorder="1" applyAlignment="1" applyProtection="1">
      <alignment horizontal="center"/>
      <protection locked="0"/>
    </xf>
    <xf numFmtId="172" fontId="9" fillId="0" borderId="2" xfId="0" applyNumberFormat="1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12" fillId="0" borderId="42" xfId="0" applyFont="1" applyFill="1" applyBorder="1" applyAlignment="1" applyProtection="1">
      <alignment horizontal="center"/>
      <protection locked="0"/>
    </xf>
    <xf numFmtId="172" fontId="9" fillId="0" borderId="4" xfId="0" applyNumberFormat="1" applyFont="1" applyFill="1" applyBorder="1" applyAlignment="1" applyProtection="1">
      <alignment horizontal="center"/>
      <protection locked="0"/>
    </xf>
    <xf numFmtId="22" fontId="7" fillId="0" borderId="3" xfId="0" applyNumberFormat="1" applyFont="1" applyFill="1" applyBorder="1" applyAlignment="1" applyProtection="1">
      <alignment horizontal="center"/>
      <protection locked="0"/>
    </xf>
    <xf numFmtId="171" fontId="7" fillId="0" borderId="7" xfId="0" applyNumberFormat="1" applyFont="1" applyFill="1" applyBorder="1" applyAlignment="1" applyProtection="1">
      <alignment horizontal="center"/>
      <protection locked="0"/>
    </xf>
    <xf numFmtId="22" fontId="7" fillId="0" borderId="37" xfId="0" applyNumberFormat="1" applyFont="1" applyFill="1" applyBorder="1" applyAlignment="1" applyProtection="1">
      <alignment horizontal="center"/>
      <protection locked="0"/>
    </xf>
    <xf numFmtId="168" fontId="7" fillId="0" borderId="6" xfId="0" applyNumberFormat="1" applyFont="1" applyFill="1" applyBorder="1" applyAlignment="1" applyProtection="1">
      <alignment horizontal="center"/>
      <protection locked="0"/>
    </xf>
    <xf numFmtId="164" fontId="45" fillId="2" borderId="5" xfId="0" applyNumberFormat="1" applyFont="1" applyFill="1" applyBorder="1" applyAlignment="1" applyProtection="1">
      <alignment horizontal="center"/>
      <protection locked="0"/>
    </xf>
    <xf numFmtId="2" fontId="52" fillId="12" borderId="5" xfId="0" applyNumberFormat="1" applyFont="1" applyFill="1" applyBorder="1" applyAlignment="1" applyProtection="1">
      <alignment horizontal="center"/>
      <protection locked="0"/>
    </xf>
    <xf numFmtId="168" fontId="59" fillId="13" borderId="29" xfId="0" applyNumberFormat="1" applyFont="1" applyFill="1" applyBorder="1" applyAlignment="1" applyProtection="1" quotePrefix="1">
      <alignment horizontal="center"/>
      <protection locked="0"/>
    </xf>
    <xf numFmtId="168" fontId="59" fillId="13" borderId="35" xfId="0" applyNumberFormat="1" applyFont="1" applyFill="1" applyBorder="1" applyAlignment="1" applyProtection="1" quotePrefix="1">
      <alignment horizontal="center"/>
      <protection locked="0"/>
    </xf>
    <xf numFmtId="168" fontId="52" fillId="7" borderId="5" xfId="0" applyNumberFormat="1" applyFont="1" applyFill="1" applyBorder="1" applyAlignment="1" applyProtection="1" quotePrefix="1">
      <alignment horizontal="center"/>
      <protection locked="0"/>
    </xf>
    <xf numFmtId="168" fontId="7" fillId="0" borderId="5" xfId="0" applyNumberFormat="1" applyFont="1" applyFill="1" applyBorder="1" applyAlignment="1" applyProtection="1">
      <alignment horizontal="center"/>
      <protection locked="0"/>
    </xf>
    <xf numFmtId="164" fontId="45" fillId="2" borderId="2" xfId="0" applyNumberFormat="1" applyFont="1" applyFill="1" applyBorder="1" applyAlignment="1" applyProtection="1">
      <alignment horizontal="center"/>
      <protection locked="0"/>
    </xf>
    <xf numFmtId="2" fontId="52" fillId="12" borderId="2" xfId="0" applyNumberFormat="1" applyFont="1" applyFill="1" applyBorder="1" applyAlignment="1" applyProtection="1">
      <alignment horizontal="center"/>
      <protection locked="0"/>
    </xf>
    <xf numFmtId="168" fontId="59" fillId="13" borderId="23" xfId="0" applyNumberFormat="1" applyFont="1" applyFill="1" applyBorder="1" applyAlignment="1" applyProtection="1" quotePrefix="1">
      <alignment horizontal="center"/>
      <protection locked="0"/>
    </xf>
    <xf numFmtId="168" fontId="59" fillId="13" borderId="37" xfId="0" applyNumberFormat="1" applyFont="1" applyFill="1" applyBorder="1" applyAlignment="1" applyProtection="1" quotePrefix="1">
      <alignment horizontal="center"/>
      <protection locked="0"/>
    </xf>
    <xf numFmtId="168" fontId="52" fillId="7" borderId="2" xfId="0" applyNumberFormat="1" applyFont="1" applyFill="1" applyBorder="1" applyAlignment="1" applyProtection="1" quotePrefix="1">
      <alignment horizontal="center"/>
      <protection locked="0"/>
    </xf>
    <xf numFmtId="168" fontId="7" fillId="0" borderId="7" xfId="0" applyNumberFormat="1" applyFont="1" applyFill="1" applyBorder="1" applyAlignment="1" applyProtection="1">
      <alignment horizontal="center"/>
      <protection locked="0"/>
    </xf>
    <xf numFmtId="164" fontId="45" fillId="2" borderId="4" xfId="0" applyNumberFormat="1" applyFont="1" applyFill="1" applyBorder="1" applyAlignment="1" applyProtection="1">
      <alignment horizontal="center"/>
      <protection locked="0"/>
    </xf>
    <xf numFmtId="2" fontId="52" fillId="12" borderId="4" xfId="0" applyNumberFormat="1" applyFont="1" applyFill="1" applyBorder="1" applyAlignment="1" applyProtection="1">
      <alignment horizontal="center"/>
      <protection locked="0"/>
    </xf>
    <xf numFmtId="168" fontId="59" fillId="13" borderId="25" xfId="0" applyNumberFormat="1" applyFont="1" applyFill="1" applyBorder="1" applyAlignment="1" applyProtection="1" quotePrefix="1">
      <alignment horizontal="center"/>
      <protection locked="0"/>
    </xf>
    <xf numFmtId="168" fontId="59" fillId="13" borderId="38" xfId="0" applyNumberFormat="1" applyFont="1" applyFill="1" applyBorder="1" applyAlignment="1" applyProtection="1" quotePrefix="1">
      <alignment horizontal="center"/>
      <protection locked="0"/>
    </xf>
    <xf numFmtId="168" fontId="52" fillId="7" borderId="4" xfId="0" applyNumberFormat="1" applyFont="1" applyFill="1" applyBorder="1" applyAlignment="1" applyProtection="1" quotePrefix="1">
      <alignment horizontal="center"/>
      <protection locked="0"/>
    </xf>
    <xf numFmtId="168" fontId="7" fillId="0" borderId="4" xfId="0" applyNumberFormat="1" applyFont="1" applyFill="1" applyBorder="1" applyAlignment="1" applyProtection="1">
      <alignment horizontal="center"/>
      <protection locked="0"/>
    </xf>
    <xf numFmtId="0" fontId="26" fillId="0" borderId="0" xfId="0" applyFont="1" applyBorder="1" applyAlignment="1">
      <alignment horizontal="center"/>
    </xf>
    <xf numFmtId="0" fontId="63" fillId="0" borderId="0" xfId="21" applyNumberFormat="1" applyFont="1" applyBorder="1" applyAlignment="1">
      <alignment horizontal="left"/>
      <protection/>
    </xf>
    <xf numFmtId="0" fontId="64" fillId="0" borderId="8" xfId="0" applyFont="1" applyBorder="1" applyAlignment="1">
      <alignment/>
    </xf>
    <xf numFmtId="0" fontId="7" fillId="0" borderId="40" xfId="0" applyFont="1" applyBorder="1" applyAlignment="1" applyProtection="1">
      <alignment/>
      <protection locked="0"/>
    </xf>
    <xf numFmtId="0" fontId="7" fillId="0" borderId="42" xfId="0" applyFont="1" applyFill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Continuous"/>
      <protection/>
    </xf>
    <xf numFmtId="0" fontId="15" fillId="0" borderId="0" xfId="0" applyFont="1" applyBorder="1" applyAlignment="1" applyProtection="1">
      <alignment horizontal="left"/>
      <protection/>
    </xf>
    <xf numFmtId="2" fontId="55" fillId="8" borderId="5" xfId="0" applyNumberFormat="1" applyFont="1" applyFill="1" applyBorder="1" applyAlignment="1">
      <alignment horizontal="left"/>
    </xf>
    <xf numFmtId="165" fontId="7" fillId="0" borderId="3" xfId="0" applyNumberFormat="1" applyFont="1" applyBorder="1" applyAlignment="1" applyProtection="1">
      <alignment horizontal="center"/>
      <protection locked="0"/>
    </xf>
    <xf numFmtId="7" fontId="57" fillId="11" borderId="5" xfId="0" applyNumberFormat="1" applyFont="1" applyFill="1" applyBorder="1" applyAlignment="1">
      <alignment/>
    </xf>
    <xf numFmtId="7" fontId="10" fillId="0" borderId="3" xfId="0" applyNumberFormat="1" applyFont="1" applyBorder="1" applyAlignment="1">
      <alignment horizontal="right"/>
    </xf>
    <xf numFmtId="0" fontId="65" fillId="0" borderId="0" xfId="0" applyFont="1" applyBorder="1" applyAlignment="1" applyProtection="1">
      <alignment horizontal="left"/>
      <protection/>
    </xf>
    <xf numFmtId="0" fontId="66" fillId="0" borderId="0" xfId="0" applyFont="1" applyBorder="1" applyAlignment="1">
      <alignment horizontal="centerContinuous"/>
    </xf>
    <xf numFmtId="0" fontId="67" fillId="0" borderId="0" xfId="0" applyFont="1" applyBorder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67" fillId="0" borderId="0" xfId="0" applyFont="1" applyAlignment="1">
      <alignment horizontal="centerContinuous"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68" fillId="0" borderId="8" xfId="0" applyFont="1" applyBorder="1" applyAlignment="1">
      <alignment/>
    </xf>
    <xf numFmtId="0" fontId="0" fillId="0" borderId="9" xfId="0" applyBorder="1" applyAlignment="1">
      <alignment/>
    </xf>
    <xf numFmtId="0" fontId="68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0" fontId="0" fillId="0" borderId="43" xfId="0" applyBorder="1" applyAlignment="1">
      <alignment/>
    </xf>
    <xf numFmtId="0" fontId="68" fillId="0" borderId="0" xfId="0" applyFont="1" applyBorder="1" applyAlignment="1" applyProtection="1">
      <alignment horizontal="center"/>
      <protection/>
    </xf>
    <xf numFmtId="0" fontId="68" fillId="0" borderId="0" xfId="0" applyFont="1" applyBorder="1" applyAlignment="1">
      <alignment/>
    </xf>
    <xf numFmtId="0" fontId="69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9" fillId="0" borderId="13" xfId="0" applyFont="1" applyBorder="1" applyAlignment="1">
      <alignment/>
    </xf>
    <xf numFmtId="0" fontId="5" fillId="0" borderId="14" xfId="0" applyFont="1" applyBorder="1" applyAlignment="1" applyProtection="1">
      <alignment horizontal="left"/>
      <protection/>
    </xf>
    <xf numFmtId="0" fontId="5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9" fillId="0" borderId="0" xfId="0" applyFont="1" applyBorder="1" applyAlignment="1" applyProtection="1">
      <alignment horizontal="left"/>
      <protection/>
    </xf>
    <xf numFmtId="168" fontId="68" fillId="0" borderId="0" xfId="0" applyNumberFormat="1" applyFont="1" applyBorder="1" applyAlignment="1" applyProtection="1">
      <alignment horizontal="left"/>
      <protection/>
    </xf>
    <xf numFmtId="0" fontId="68" fillId="0" borderId="0" xfId="0" applyFont="1" applyBorder="1" applyAlignment="1" applyProtection="1">
      <alignment horizontal="left"/>
      <protection/>
    </xf>
    <xf numFmtId="1" fontId="68" fillId="0" borderId="0" xfId="0" applyNumberFormat="1" applyFont="1" applyBorder="1" applyAlignment="1" applyProtection="1">
      <alignment horizontal="center"/>
      <protection/>
    </xf>
    <xf numFmtId="0" fontId="68" fillId="0" borderId="0" xfId="0" applyFont="1" applyBorder="1" applyAlignment="1" applyProtection="1">
      <alignment horizontal="fill"/>
      <protection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72" fillId="0" borderId="16" xfId="0" applyFont="1" applyBorder="1" applyAlignment="1">
      <alignment horizontal="center"/>
    </xf>
    <xf numFmtId="0" fontId="73" fillId="0" borderId="10" xfId="0" applyFont="1" applyBorder="1" applyAlignment="1">
      <alignment horizontal="centerContinuous"/>
    </xf>
    <xf numFmtId="0" fontId="70" fillId="0" borderId="0" xfId="0" applyFont="1" applyAlignment="1">
      <alignment horizontal="right" vertical="top"/>
    </xf>
    <xf numFmtId="0" fontId="74" fillId="0" borderId="0" xfId="0" applyFont="1" applyAlignment="1">
      <alignment/>
    </xf>
    <xf numFmtId="14" fontId="75" fillId="0" borderId="0" xfId="0" applyNumberFormat="1" applyFont="1" applyAlignment="1">
      <alignment horizontal="centerContinuous"/>
    </xf>
    <xf numFmtId="0" fontId="74" fillId="0" borderId="0" xfId="0" applyFont="1" applyAlignment="1">
      <alignment horizontal="centerContinuous"/>
    </xf>
    <xf numFmtId="0" fontId="73" fillId="0" borderId="0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42" xfId="0" applyBorder="1" applyAlignment="1">
      <alignment horizontal="centerContinuous" vertical="center"/>
    </xf>
    <xf numFmtId="0" fontId="30" fillId="0" borderId="44" xfId="0" applyFont="1" applyBorder="1" applyAlignment="1" applyProtection="1">
      <alignment horizontal="centerContinuous" vertical="center"/>
      <protection/>
    </xf>
    <xf numFmtId="0" fontId="30" fillId="0" borderId="44" xfId="0" applyFont="1" applyBorder="1" applyAlignment="1" applyProtection="1">
      <alignment horizontal="centerContinuous" vertical="center" wrapText="1"/>
      <protection/>
    </xf>
    <xf numFmtId="168" fontId="30" fillId="0" borderId="18" xfId="0" applyNumberFormat="1" applyFont="1" applyBorder="1" applyAlignment="1" applyProtection="1">
      <alignment horizontal="centerContinuous" vertical="center" wrapText="1"/>
      <protection/>
    </xf>
    <xf numFmtId="17" fontId="30" fillId="0" borderId="12" xfId="0" applyNumberFormat="1" applyFont="1" applyBorder="1" applyAlignment="1">
      <alignment horizontal="center" vertical="center"/>
    </xf>
    <xf numFmtId="17" fontId="30" fillId="0" borderId="4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6" fillId="0" borderId="0" xfId="0" applyFont="1" applyAlignment="1">
      <alignment vertical="center"/>
    </xf>
    <xf numFmtId="0" fontId="76" fillId="0" borderId="10" xfId="0" applyFont="1" applyBorder="1" applyAlignment="1">
      <alignment vertical="center"/>
    </xf>
    <xf numFmtId="0" fontId="76" fillId="0" borderId="40" xfId="0" applyFont="1" applyBorder="1" applyAlignment="1">
      <alignment vertical="center"/>
    </xf>
    <xf numFmtId="0" fontId="76" fillId="0" borderId="46" xfId="0" applyFont="1" applyBorder="1" applyAlignment="1">
      <alignment vertical="center"/>
    </xf>
    <xf numFmtId="0" fontId="76" fillId="0" borderId="22" xfId="0" applyFont="1" applyBorder="1" applyAlignment="1">
      <alignment vertical="center"/>
    </xf>
    <xf numFmtId="0" fontId="76" fillId="14" borderId="28" xfId="0" applyNumberFormat="1" applyFont="1" applyFill="1" applyBorder="1" applyAlignment="1">
      <alignment horizontal="center" vertical="center"/>
    </xf>
    <xf numFmtId="0" fontId="76" fillId="0" borderId="47" xfId="0" applyFont="1" applyFill="1" applyBorder="1" applyAlignment="1">
      <alignment vertical="center"/>
    </xf>
    <xf numFmtId="0" fontId="76" fillId="0" borderId="1" xfId="0" applyFont="1" applyFill="1" applyBorder="1" applyAlignment="1">
      <alignment vertical="center"/>
    </xf>
    <xf numFmtId="0" fontId="76" fillId="1" borderId="40" xfId="0" applyFont="1" applyFill="1" applyBorder="1" applyAlignment="1">
      <alignment horizontal="center" vertical="center"/>
    </xf>
    <xf numFmtId="0" fontId="76" fillId="1" borderId="30" xfId="0" applyFont="1" applyFill="1" applyBorder="1" applyAlignment="1" applyProtection="1">
      <alignment horizontal="center" vertical="center"/>
      <protection/>
    </xf>
    <xf numFmtId="2" fontId="76" fillId="1" borderId="3" xfId="0" applyNumberFormat="1" applyFont="1" applyFill="1" applyBorder="1" applyAlignment="1" applyProtection="1">
      <alignment horizontal="center" vertical="center"/>
      <protection/>
    </xf>
    <xf numFmtId="1" fontId="76" fillId="0" borderId="22" xfId="0" applyNumberFormat="1" applyFont="1" applyFill="1" applyBorder="1" applyAlignment="1">
      <alignment horizontal="center" vertical="center"/>
    </xf>
    <xf numFmtId="1" fontId="76" fillId="0" borderId="1" xfId="0" applyNumberFormat="1" applyFont="1" applyFill="1" applyBorder="1" applyAlignment="1">
      <alignment horizontal="center" vertical="center"/>
    </xf>
    <xf numFmtId="0" fontId="76" fillId="15" borderId="40" xfId="0" applyFont="1" applyFill="1" applyBorder="1" applyAlignment="1">
      <alignment horizontal="center" vertical="center"/>
    </xf>
    <xf numFmtId="0" fontId="76" fillId="0" borderId="30" xfId="0" applyFont="1" applyBorder="1" applyAlignment="1" applyProtection="1">
      <alignment horizontal="center" vertical="center"/>
      <protection/>
    </xf>
    <xf numFmtId="2" fontId="76" fillId="0" borderId="3" xfId="0" applyNumberFormat="1" applyFont="1" applyBorder="1" applyAlignment="1" applyProtection="1">
      <alignment horizontal="center" vertical="center"/>
      <protection/>
    </xf>
    <xf numFmtId="0" fontId="76" fillId="15" borderId="30" xfId="0" applyFont="1" applyFill="1" applyBorder="1" applyAlignment="1" applyProtection="1">
      <alignment horizontal="center" vertical="center"/>
      <protection/>
    </xf>
    <xf numFmtId="2" fontId="76" fillId="15" borderId="3" xfId="0" applyNumberFormat="1" applyFont="1" applyFill="1" applyBorder="1" applyAlignment="1" applyProtection="1">
      <alignment horizontal="center" vertical="center"/>
      <protection/>
    </xf>
    <xf numFmtId="0" fontId="76" fillId="1" borderId="3" xfId="0" applyFont="1" applyFill="1" applyBorder="1" applyAlignment="1">
      <alignment horizontal="center" vertical="center"/>
    </xf>
    <xf numFmtId="0" fontId="76" fillId="1" borderId="48" xfId="0" applyFont="1" applyFill="1" applyBorder="1" applyAlignment="1" applyProtection="1">
      <alignment horizontal="center" vertical="center"/>
      <protection/>
    </xf>
    <xf numFmtId="2" fontId="76" fillId="1" borderId="49" xfId="0" applyNumberFormat="1" applyFont="1" applyFill="1" applyBorder="1" applyAlignment="1" applyProtection="1">
      <alignment horizontal="center" vertical="center"/>
      <protection/>
    </xf>
    <xf numFmtId="0" fontId="76" fillId="0" borderId="42" xfId="0" applyFont="1" applyBorder="1" applyAlignment="1">
      <alignment horizontal="center" vertical="center"/>
    </xf>
    <xf numFmtId="0" fontId="76" fillId="0" borderId="50" xfId="0" applyFont="1" applyBorder="1" applyAlignment="1" applyProtection="1">
      <alignment horizontal="left" vertical="center"/>
      <protection/>
    </xf>
    <xf numFmtId="0" fontId="76" fillId="0" borderId="50" xfId="0" applyFont="1" applyBorder="1" applyAlignment="1" applyProtection="1">
      <alignment horizontal="center" vertical="center"/>
      <protection/>
    </xf>
    <xf numFmtId="2" fontId="76" fillId="0" borderId="51" xfId="0" applyNumberFormat="1" applyFont="1" applyBorder="1" applyAlignment="1" applyProtection="1">
      <alignment horizontal="center" vertical="center"/>
      <protection/>
    </xf>
    <xf numFmtId="1" fontId="76" fillId="14" borderId="7" xfId="0" applyNumberFormat="1" applyFont="1" applyFill="1" applyBorder="1" applyAlignment="1">
      <alignment horizontal="center" vertical="center"/>
    </xf>
    <xf numFmtId="0" fontId="5" fillId="0" borderId="20" xfId="0" applyFont="1" applyBorder="1" applyAlignment="1" applyProtection="1">
      <alignment horizontal="right"/>
      <protection/>
    </xf>
    <xf numFmtId="2" fontId="13" fillId="0" borderId="18" xfId="0" applyNumberFormat="1" applyFont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/>
    </xf>
    <xf numFmtId="1" fontId="0" fillId="0" borderId="22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/>
    </xf>
    <xf numFmtId="0" fontId="5" fillId="0" borderId="0" xfId="0" applyFont="1" applyAlignment="1">
      <alignment horizontal="right"/>
    </xf>
    <xf numFmtId="1" fontId="7" fillId="0" borderId="4" xfId="0" applyNumberFormat="1" applyFont="1" applyBorder="1" applyAlignment="1" applyProtection="1">
      <alignment horizontal="center"/>
      <protection/>
    </xf>
    <xf numFmtId="1" fontId="68" fillId="0" borderId="1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right"/>
    </xf>
    <xf numFmtId="2" fontId="13" fillId="14" borderId="18" xfId="0" applyNumberFormat="1" applyFont="1" applyFill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71" fillId="14" borderId="52" xfId="0" applyFont="1" applyFill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168" fontId="5" fillId="0" borderId="0" xfId="0" applyNumberFormat="1" applyFont="1" applyBorder="1" applyAlignment="1" applyProtection="1">
      <alignment horizontal="right"/>
      <protection/>
    </xf>
    <xf numFmtId="2" fontId="77" fillId="0" borderId="0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/>
    </xf>
    <xf numFmtId="1" fontId="76" fillId="0" borderId="53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2" fontId="78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79" fillId="0" borderId="0" xfId="0" applyFont="1" applyAlignment="1">
      <alignment/>
    </xf>
    <xf numFmtId="0" fontId="0" fillId="0" borderId="0" xfId="0" applyAlignment="1">
      <alignment/>
    </xf>
    <xf numFmtId="0" fontId="79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omahu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2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</xdr:rowOff>
    </xdr:from>
    <xdr:to>
      <xdr:col>2</xdr:col>
      <xdr:colOff>314325</xdr:colOff>
      <xdr:row>3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525"/>
          <a:ext cx="5810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304800</xdr:colOff>
      <xdr:row>2</xdr:row>
      <xdr:rowOff>200025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5810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0</xdr:rowOff>
    </xdr:from>
    <xdr:to>
      <xdr:col>3</xdr:col>
      <xdr:colOff>38100</xdr:colOff>
      <xdr:row>2</xdr:row>
      <xdr:rowOff>190500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5810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0</xdr:colOff>
      <xdr:row>2</xdr:row>
      <xdr:rowOff>190500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5810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0</xdr:rowOff>
    </xdr:from>
    <xdr:to>
      <xdr:col>2</xdr:col>
      <xdr:colOff>285750</xdr:colOff>
      <xdr:row>2</xdr:row>
      <xdr:rowOff>190500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5810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304800</xdr:colOff>
      <xdr:row>2</xdr:row>
      <xdr:rowOff>190500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5810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0</xdr:row>
      <xdr:rowOff>0</xdr:rowOff>
    </xdr:from>
    <xdr:to>
      <xdr:col>1</xdr:col>
      <xdr:colOff>95250</xdr:colOff>
      <xdr:row>2</xdr:row>
      <xdr:rowOff>19050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47625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SNOA\TBAS2NO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FUERZA MAYOR"/>
    </sheetNames>
    <sheetDataSet>
      <sheetData sheetId="0">
        <row r="17">
          <cell r="C17">
            <v>1</v>
          </cell>
          <cell r="D17" t="str">
            <v>AGUA BLANCA - VILLA QUINTEROS</v>
          </cell>
          <cell r="E17">
            <v>132</v>
          </cell>
          <cell r="F17">
            <v>23.8</v>
          </cell>
          <cell r="GI17">
            <v>1</v>
          </cell>
        </row>
        <row r="18">
          <cell r="C18">
            <v>2</v>
          </cell>
          <cell r="D18" t="str">
            <v>AGUILARES - ESCABA</v>
          </cell>
          <cell r="E18">
            <v>132</v>
          </cell>
          <cell r="F18">
            <v>27.6</v>
          </cell>
        </row>
        <row r="19">
          <cell r="C19">
            <v>3</v>
          </cell>
          <cell r="D19" t="str">
            <v>CABRA CORRAL - SALTA SUR</v>
          </cell>
          <cell r="E19">
            <v>132</v>
          </cell>
          <cell r="F19">
            <v>62</v>
          </cell>
          <cell r="GC19" t="str">
            <v>XXXX</v>
          </cell>
          <cell r="GD19" t="str">
            <v>XXXX</v>
          </cell>
          <cell r="GE19" t="str">
            <v>XXXX</v>
          </cell>
          <cell r="GF19" t="str">
            <v>XXXX</v>
          </cell>
          <cell r="GG19" t="str">
            <v>XXXX</v>
          </cell>
          <cell r="GH19" t="str">
            <v>XXXX</v>
          </cell>
          <cell r="GI19" t="str">
            <v>XXXX</v>
          </cell>
          <cell r="GJ19" t="str">
            <v>XXXX</v>
          </cell>
          <cell r="GK19" t="str">
            <v>XXXX</v>
          </cell>
          <cell r="GL19" t="str">
            <v>XXXX</v>
          </cell>
          <cell r="GM19" t="str">
            <v>XXXX</v>
          </cell>
          <cell r="GN19" t="str">
            <v>XXXX</v>
          </cell>
        </row>
        <row r="20">
          <cell r="C20">
            <v>4</v>
          </cell>
          <cell r="D20" t="str">
            <v>CEVIL POZO - TUCUMAN NORTE</v>
          </cell>
          <cell r="E20">
            <v>132</v>
          </cell>
          <cell r="F20">
            <v>14.5</v>
          </cell>
        </row>
        <row r="21">
          <cell r="C21">
            <v>5</v>
          </cell>
          <cell r="D21" t="str">
            <v>CAMPO SANTO - MINETTI</v>
          </cell>
          <cell r="E21">
            <v>132</v>
          </cell>
          <cell r="F21">
            <v>29.9</v>
          </cell>
          <cell r="GC21" t="str">
            <v>XXXX</v>
          </cell>
          <cell r="GD21" t="str">
            <v>XXXX</v>
          </cell>
          <cell r="GE21" t="str">
            <v>XXXX</v>
          </cell>
          <cell r="GF21" t="str">
            <v>XXXX</v>
          </cell>
          <cell r="GG21" t="str">
            <v>XXXX</v>
          </cell>
          <cell r="GH21" t="str">
            <v>XXXX</v>
          </cell>
          <cell r="GI21" t="str">
            <v>XXXX</v>
          </cell>
          <cell r="GJ21" t="str">
            <v>XXXX</v>
          </cell>
          <cell r="GK21" t="str">
            <v>XXXX</v>
          </cell>
          <cell r="GL21" t="str">
            <v>XXXX</v>
          </cell>
          <cell r="GM21" t="str">
            <v>XXXX</v>
          </cell>
          <cell r="GN21" t="str">
            <v>XXXX</v>
          </cell>
        </row>
        <row r="22">
          <cell r="C22">
            <v>6</v>
          </cell>
          <cell r="D22" t="str">
            <v>ESCABA - HUACRA</v>
          </cell>
          <cell r="E22">
            <v>132</v>
          </cell>
          <cell r="F22">
            <v>49.9</v>
          </cell>
          <cell r="GC22" t="str">
            <v>XXXX</v>
          </cell>
          <cell r="GD22" t="str">
            <v>XXXX</v>
          </cell>
          <cell r="GE22" t="str">
            <v>XXXX</v>
          </cell>
          <cell r="GF22" t="str">
            <v>XXXX</v>
          </cell>
          <cell r="GG22" t="str">
            <v>XXXX</v>
          </cell>
          <cell r="GH22" t="str">
            <v>XXXX</v>
          </cell>
          <cell r="GI22" t="str">
            <v>XXXX</v>
          </cell>
          <cell r="GJ22" t="str">
            <v>XXXX</v>
          </cell>
          <cell r="GK22" t="str">
            <v>XXXX</v>
          </cell>
          <cell r="GL22" t="str">
            <v>XXXX</v>
          </cell>
          <cell r="GM22" t="str">
            <v>XXXX</v>
          </cell>
          <cell r="GN22" t="str">
            <v>XXXX</v>
          </cell>
        </row>
        <row r="23">
          <cell r="C23">
            <v>7</v>
          </cell>
          <cell r="D23" t="str">
            <v>ESTATICA SUR - EL BRACHO</v>
          </cell>
          <cell r="E23">
            <v>132</v>
          </cell>
          <cell r="F23">
            <v>19.6</v>
          </cell>
        </row>
        <row r="24">
          <cell r="C24">
            <v>8</v>
          </cell>
          <cell r="D24" t="str">
            <v>ESTATICA SUR - INDEPENDENCIA (O.F.)</v>
          </cell>
          <cell r="E24">
            <v>132</v>
          </cell>
          <cell r="F24">
            <v>2.6</v>
          </cell>
          <cell r="GI24">
            <v>1</v>
          </cell>
          <cell r="GK24">
            <v>1</v>
          </cell>
        </row>
        <row r="25">
          <cell r="C25">
            <v>9</v>
          </cell>
          <cell r="D25" t="str">
            <v>ESTATICA SUR - SARMIENTO "TRANSNOA S.A."</v>
          </cell>
          <cell r="E25">
            <v>132</v>
          </cell>
          <cell r="F25">
            <v>4.4</v>
          </cell>
          <cell r="GF25">
            <v>1</v>
          </cell>
          <cell r="GI25">
            <v>1</v>
          </cell>
          <cell r="GK25">
            <v>1</v>
          </cell>
        </row>
        <row r="26">
          <cell r="C26">
            <v>10</v>
          </cell>
          <cell r="D26" t="str">
            <v>GÜEMES - EL BRACHO</v>
          </cell>
          <cell r="E26">
            <v>132</v>
          </cell>
          <cell r="F26">
            <v>308</v>
          </cell>
          <cell r="GC26" t="str">
            <v>XXXX</v>
          </cell>
          <cell r="GD26" t="str">
            <v>XXXX</v>
          </cell>
          <cell r="GE26" t="str">
            <v>XXXX</v>
          </cell>
          <cell r="GF26" t="str">
            <v>XXXX</v>
          </cell>
          <cell r="GG26" t="str">
            <v>XXXX</v>
          </cell>
          <cell r="GH26" t="str">
            <v>XXXX</v>
          </cell>
          <cell r="GI26" t="str">
            <v>XXXX</v>
          </cell>
          <cell r="GJ26" t="str">
            <v>XXXX</v>
          </cell>
          <cell r="GK26" t="str">
            <v>XXXX</v>
          </cell>
          <cell r="GL26" t="str">
            <v>XXXX</v>
          </cell>
          <cell r="GM26" t="str">
            <v>XXXX</v>
          </cell>
          <cell r="GN26" t="str">
            <v>XXXX</v>
          </cell>
        </row>
        <row r="27">
          <cell r="C27">
            <v>11</v>
          </cell>
          <cell r="D27" t="str">
            <v>CAMPO SANTO - GÜEMES</v>
          </cell>
          <cell r="E27">
            <v>132</v>
          </cell>
          <cell r="F27">
            <v>6.2</v>
          </cell>
          <cell r="GC27" t="str">
            <v>XXXX</v>
          </cell>
          <cell r="GD27" t="str">
            <v>XXXX</v>
          </cell>
          <cell r="GE27" t="str">
            <v>XXXX</v>
          </cell>
          <cell r="GF27" t="str">
            <v>XXXX</v>
          </cell>
          <cell r="GG27" t="str">
            <v>XXXX</v>
          </cell>
          <cell r="GH27" t="str">
            <v>XXXX</v>
          </cell>
          <cell r="GI27" t="str">
            <v>XXXX</v>
          </cell>
          <cell r="GJ27" t="str">
            <v>XXXX</v>
          </cell>
          <cell r="GK27" t="str">
            <v>XXXX</v>
          </cell>
          <cell r="GL27" t="str">
            <v>XXXX</v>
          </cell>
          <cell r="GM27" t="str">
            <v>XXXX</v>
          </cell>
          <cell r="GN27" t="str">
            <v>XXXX</v>
          </cell>
        </row>
        <row r="28">
          <cell r="C28">
            <v>12</v>
          </cell>
          <cell r="D28" t="str">
            <v>GÜEMES - SAN JUANCITO</v>
          </cell>
          <cell r="E28">
            <v>132</v>
          </cell>
          <cell r="F28">
            <v>36.24</v>
          </cell>
        </row>
        <row r="29">
          <cell r="C29">
            <v>13</v>
          </cell>
          <cell r="D29" t="str">
            <v>CATAMARCA - HUACRA</v>
          </cell>
          <cell r="E29">
            <v>132</v>
          </cell>
          <cell r="F29">
            <v>67.3</v>
          </cell>
        </row>
        <row r="30">
          <cell r="C30">
            <v>14</v>
          </cell>
          <cell r="D30" t="str">
            <v>HUACRA - LA CALERA</v>
          </cell>
          <cell r="E30">
            <v>132</v>
          </cell>
          <cell r="F30">
            <v>91.2</v>
          </cell>
          <cell r="GL30">
            <v>1</v>
          </cell>
        </row>
        <row r="31">
          <cell r="C31">
            <v>15</v>
          </cell>
          <cell r="D31" t="str">
            <v>AGUA BLANCA - INDEPENDENCIA</v>
          </cell>
          <cell r="E31">
            <v>132</v>
          </cell>
          <cell r="F31">
            <v>34.14</v>
          </cell>
          <cell r="GN31">
            <v>1</v>
          </cell>
        </row>
        <row r="32">
          <cell r="C32">
            <v>16</v>
          </cell>
          <cell r="D32" t="str">
            <v>INDEPENDENCIA - EL BRACHO 1</v>
          </cell>
          <cell r="E32">
            <v>132</v>
          </cell>
          <cell r="F32">
            <v>17.1</v>
          </cell>
          <cell r="GN32">
            <v>1</v>
          </cell>
        </row>
        <row r="33">
          <cell r="C33">
            <v>17</v>
          </cell>
          <cell r="D33" t="str">
            <v>INDEPENDENCIA - LULES - PAPEL TUCUMAN</v>
          </cell>
          <cell r="E33">
            <v>132</v>
          </cell>
          <cell r="F33">
            <v>19.3</v>
          </cell>
        </row>
        <row r="34">
          <cell r="C34">
            <v>18</v>
          </cell>
          <cell r="D34" t="str">
            <v>FRIAS - LA CALERA NOA.</v>
          </cell>
          <cell r="E34">
            <v>132</v>
          </cell>
          <cell r="F34">
            <v>27.3</v>
          </cell>
        </row>
        <row r="35">
          <cell r="C35">
            <v>19</v>
          </cell>
          <cell r="D35" t="str">
            <v>LA BANDA - SANTIAGO CENTRO</v>
          </cell>
          <cell r="E35">
            <v>132</v>
          </cell>
          <cell r="F35">
            <v>10.91</v>
          </cell>
          <cell r="GI35">
            <v>1</v>
          </cell>
        </row>
        <row r="36">
          <cell r="C36">
            <v>20</v>
          </cell>
          <cell r="D36" t="str">
            <v>LIBERTADOR NOA. - PICHANAL</v>
          </cell>
          <cell r="E36">
            <v>132</v>
          </cell>
          <cell r="F36">
            <v>76</v>
          </cell>
          <cell r="GJ36">
            <v>2</v>
          </cell>
          <cell r="GK36">
            <v>2</v>
          </cell>
        </row>
        <row r="37">
          <cell r="C37">
            <v>21</v>
          </cell>
          <cell r="D37" t="str">
            <v>GÜEMES - METAN</v>
          </cell>
          <cell r="E37">
            <v>132</v>
          </cell>
          <cell r="F37">
            <v>97.13</v>
          </cell>
          <cell r="GC37" t="str">
            <v>XXXX</v>
          </cell>
          <cell r="GD37" t="str">
            <v>XXXX</v>
          </cell>
          <cell r="GE37" t="str">
            <v>XXXX</v>
          </cell>
          <cell r="GF37" t="str">
            <v>XXXX</v>
          </cell>
          <cell r="GG37" t="str">
            <v>XXXX</v>
          </cell>
          <cell r="GH37" t="str">
            <v>XXXX</v>
          </cell>
          <cell r="GI37" t="str">
            <v>XXXX</v>
          </cell>
          <cell r="GJ37" t="str">
            <v>XXXX</v>
          </cell>
          <cell r="GK37" t="str">
            <v>XXXX</v>
          </cell>
          <cell r="GL37" t="str">
            <v>XXXX</v>
          </cell>
          <cell r="GM37" t="str">
            <v>XXXX</v>
          </cell>
          <cell r="GN37" t="str">
            <v>XXXX</v>
          </cell>
        </row>
        <row r="38">
          <cell r="C38">
            <v>22</v>
          </cell>
          <cell r="D38" t="str">
            <v>MINETTI - SAN JUANCITO</v>
          </cell>
          <cell r="E38">
            <v>132</v>
          </cell>
          <cell r="F38">
            <v>26</v>
          </cell>
        </row>
        <row r="39">
          <cell r="C39">
            <v>23</v>
          </cell>
          <cell r="D39" t="str">
            <v>PALPALA - JUJUY SUR</v>
          </cell>
          <cell r="E39">
            <v>132</v>
          </cell>
          <cell r="F39">
            <v>14</v>
          </cell>
          <cell r="GC39" t="str">
            <v>XXXX</v>
          </cell>
          <cell r="GD39" t="str">
            <v>XXXX</v>
          </cell>
          <cell r="GE39" t="str">
            <v>XXXX</v>
          </cell>
          <cell r="GF39" t="str">
            <v>XXXX</v>
          </cell>
          <cell r="GG39" t="str">
            <v>XXXX</v>
          </cell>
          <cell r="GH39" t="str">
            <v>XXXX</v>
          </cell>
          <cell r="GI39" t="str">
            <v>XXXX</v>
          </cell>
          <cell r="GJ39" t="str">
            <v>XXXX</v>
          </cell>
          <cell r="GK39" t="str">
            <v>XXXX</v>
          </cell>
          <cell r="GL39" t="str">
            <v>XXXX</v>
          </cell>
          <cell r="GM39" t="str">
            <v>XXXX</v>
          </cell>
          <cell r="GN39" t="str">
            <v>XXXX</v>
          </cell>
        </row>
        <row r="40">
          <cell r="C40">
            <v>24</v>
          </cell>
          <cell r="D40" t="str">
            <v>ORAN - PICHANAL</v>
          </cell>
          <cell r="E40">
            <v>132</v>
          </cell>
          <cell r="F40">
            <v>17</v>
          </cell>
        </row>
        <row r="41">
          <cell r="C41">
            <v>25</v>
          </cell>
          <cell r="D41" t="str">
            <v>PICHANAL - TARTAGAL</v>
          </cell>
          <cell r="E41">
            <v>132</v>
          </cell>
          <cell r="F41">
            <v>105</v>
          </cell>
          <cell r="GG41">
            <v>5</v>
          </cell>
          <cell r="GI41">
            <v>1</v>
          </cell>
        </row>
        <row r="42">
          <cell r="C42">
            <v>26</v>
          </cell>
          <cell r="D42" t="str">
            <v>C.H. RIO HONDO - LA BANDA</v>
          </cell>
          <cell r="E42">
            <v>132</v>
          </cell>
          <cell r="F42">
            <v>76.5</v>
          </cell>
          <cell r="GM42">
            <v>1</v>
          </cell>
        </row>
        <row r="43">
          <cell r="C43">
            <v>27</v>
          </cell>
          <cell r="D43" t="str">
            <v>LA RIOJA - RECREO  2</v>
          </cell>
          <cell r="E43">
            <v>132</v>
          </cell>
          <cell r="F43">
            <v>220</v>
          </cell>
          <cell r="GC43" t="str">
            <v>XXXX</v>
          </cell>
          <cell r="GD43" t="str">
            <v>XXXX</v>
          </cell>
          <cell r="GE43" t="str">
            <v>XXXX</v>
          </cell>
          <cell r="GF43" t="str">
            <v>XXXX</v>
          </cell>
          <cell r="GG43" t="str">
            <v>XXXX</v>
          </cell>
          <cell r="GH43" t="str">
            <v>XXXX</v>
          </cell>
          <cell r="GI43" t="str">
            <v>XXXX</v>
          </cell>
          <cell r="GJ43" t="str">
            <v>XXXX</v>
          </cell>
          <cell r="GK43" t="str">
            <v>XXXX</v>
          </cell>
          <cell r="GL43" t="str">
            <v>XXXX</v>
          </cell>
          <cell r="GM43" t="str">
            <v>XXXX</v>
          </cell>
          <cell r="GN43" t="str">
            <v>XXXX</v>
          </cell>
        </row>
        <row r="44">
          <cell r="C44">
            <v>28</v>
          </cell>
          <cell r="D44" t="str">
            <v>CAMPO SANTO - SALTA SUR</v>
          </cell>
          <cell r="E44">
            <v>132</v>
          </cell>
          <cell r="F44">
            <v>40.92</v>
          </cell>
          <cell r="GC44" t="str">
            <v>XXXX</v>
          </cell>
          <cell r="GD44" t="str">
            <v>XXXX</v>
          </cell>
          <cell r="GE44" t="str">
            <v>XXXX</v>
          </cell>
          <cell r="GF44" t="str">
            <v>XXXX</v>
          </cell>
          <cell r="GG44" t="str">
            <v>XXXX</v>
          </cell>
          <cell r="GH44" t="str">
            <v>XXXX</v>
          </cell>
          <cell r="GI44" t="str">
            <v>XXXX</v>
          </cell>
          <cell r="GJ44" t="str">
            <v>XXXX</v>
          </cell>
          <cell r="GK44" t="str">
            <v>XXXX</v>
          </cell>
          <cell r="GL44" t="str">
            <v>XXXX</v>
          </cell>
          <cell r="GM44" t="str">
            <v>XXXX</v>
          </cell>
          <cell r="GN44" t="str">
            <v>XXXX</v>
          </cell>
        </row>
        <row r="45">
          <cell r="C45">
            <v>29</v>
          </cell>
          <cell r="D45" t="str">
            <v>PALPALA - SAN JUANCITO</v>
          </cell>
          <cell r="E45">
            <v>132</v>
          </cell>
          <cell r="F45">
            <v>23.9</v>
          </cell>
          <cell r="GK45">
            <v>2</v>
          </cell>
        </row>
        <row r="46">
          <cell r="C46">
            <v>30</v>
          </cell>
          <cell r="D46" t="str">
            <v>SAN JUANCITO - SAN PEDRO JUJUY</v>
          </cell>
          <cell r="E46">
            <v>132</v>
          </cell>
          <cell r="F46">
            <v>27</v>
          </cell>
        </row>
        <row r="47">
          <cell r="C47">
            <v>31</v>
          </cell>
          <cell r="D47" t="str">
            <v>SAN MARTIN - CATAMARCA</v>
          </cell>
          <cell r="E47">
            <v>132</v>
          </cell>
          <cell r="F47">
            <v>88</v>
          </cell>
          <cell r="GC47" t="str">
            <v>XXXX</v>
          </cell>
          <cell r="GD47" t="str">
            <v>XXXX</v>
          </cell>
          <cell r="GE47" t="str">
            <v>XXXX</v>
          </cell>
          <cell r="GF47" t="str">
            <v>XXXX</v>
          </cell>
          <cell r="GG47" t="str">
            <v>XXXX</v>
          </cell>
          <cell r="GH47" t="str">
            <v>XXXX</v>
          </cell>
          <cell r="GI47" t="str">
            <v>XXXX</v>
          </cell>
          <cell r="GJ47" t="str">
            <v>XXXX</v>
          </cell>
          <cell r="GK47" t="str">
            <v>XXXX</v>
          </cell>
          <cell r="GL47" t="str">
            <v>XXXX</v>
          </cell>
          <cell r="GM47" t="str">
            <v>XXXX</v>
          </cell>
          <cell r="GN47" t="str">
            <v>XXXX</v>
          </cell>
        </row>
        <row r="48">
          <cell r="C48">
            <v>32</v>
          </cell>
          <cell r="D48" t="str">
            <v>SAN MARTIN - RECREO</v>
          </cell>
          <cell r="E48">
            <v>132</v>
          </cell>
          <cell r="F48">
            <v>115</v>
          </cell>
          <cell r="GC48" t="str">
            <v>XXXX</v>
          </cell>
          <cell r="GD48" t="str">
            <v>XXXX</v>
          </cell>
          <cell r="GE48" t="str">
            <v>XXXX</v>
          </cell>
          <cell r="GF48" t="str">
            <v>XXXX</v>
          </cell>
          <cell r="GG48" t="str">
            <v>XXXX</v>
          </cell>
          <cell r="GH48" t="str">
            <v>XXXX</v>
          </cell>
          <cell r="GI48" t="str">
            <v>XXXX</v>
          </cell>
          <cell r="GJ48" t="str">
            <v>XXXX</v>
          </cell>
          <cell r="GK48" t="str">
            <v>XXXX</v>
          </cell>
          <cell r="GL48" t="str">
            <v>XXXX</v>
          </cell>
          <cell r="GM48" t="str">
            <v>XXXX</v>
          </cell>
          <cell r="GN48" t="str">
            <v>XXXX</v>
          </cell>
        </row>
        <row r="49">
          <cell r="C49">
            <v>33</v>
          </cell>
          <cell r="D49" t="str">
            <v>SAN MARTIN C. - LA RIOJA</v>
          </cell>
          <cell r="E49">
            <v>132</v>
          </cell>
          <cell r="F49">
            <v>105</v>
          </cell>
          <cell r="GC49" t="str">
            <v>XXXX</v>
          </cell>
          <cell r="GD49" t="str">
            <v>XXXX</v>
          </cell>
          <cell r="GE49" t="str">
            <v>XXXX</v>
          </cell>
          <cell r="GF49" t="str">
            <v>XXXX</v>
          </cell>
          <cell r="GG49" t="str">
            <v>XXXX</v>
          </cell>
          <cell r="GH49" t="str">
            <v>XXXX</v>
          </cell>
          <cell r="GI49" t="str">
            <v>XXXX</v>
          </cell>
          <cell r="GJ49" t="str">
            <v>XXXX</v>
          </cell>
          <cell r="GK49" t="str">
            <v>XXXX</v>
          </cell>
          <cell r="GL49" t="str">
            <v>XXXX</v>
          </cell>
          <cell r="GM49" t="str">
            <v>XXXX</v>
          </cell>
          <cell r="GN49" t="str">
            <v>XXXX</v>
          </cell>
        </row>
        <row r="50">
          <cell r="C50">
            <v>34</v>
          </cell>
          <cell r="D50" t="str">
            <v>SAN PEDRO JUJUY - LIBERTADOR NOA.</v>
          </cell>
          <cell r="E50">
            <v>132</v>
          </cell>
          <cell r="F50">
            <v>49</v>
          </cell>
          <cell r="GG50">
            <v>3</v>
          </cell>
          <cell r="GJ50">
            <v>1</v>
          </cell>
          <cell r="GK50">
            <v>1</v>
          </cell>
          <cell r="GL50">
            <v>1</v>
          </cell>
        </row>
        <row r="51">
          <cell r="C51">
            <v>35</v>
          </cell>
          <cell r="D51" t="str">
            <v>TUCUMAN NORTE - EL BRACHO</v>
          </cell>
          <cell r="E51">
            <v>132</v>
          </cell>
          <cell r="F51">
            <v>31.5</v>
          </cell>
          <cell r="GE51">
            <v>1</v>
          </cell>
        </row>
        <row r="52">
          <cell r="C52">
            <v>36</v>
          </cell>
          <cell r="D52" t="str">
            <v>C.H. EL CADILLAL - TUCUMAN NORTE</v>
          </cell>
          <cell r="E52">
            <v>132</v>
          </cell>
          <cell r="F52">
            <v>21.78</v>
          </cell>
        </row>
        <row r="53">
          <cell r="C53">
            <v>37</v>
          </cell>
          <cell r="D53" t="str">
            <v>TUCUMAN NORTE - CABRA CORRAL</v>
          </cell>
          <cell r="E53">
            <v>132</v>
          </cell>
          <cell r="F53">
            <v>190</v>
          </cell>
          <cell r="GC53" t="str">
            <v>XXXX</v>
          </cell>
          <cell r="GD53" t="str">
            <v>XXXX</v>
          </cell>
          <cell r="GE53" t="str">
            <v>XXXX</v>
          </cell>
          <cell r="GF53" t="str">
            <v>XXXX</v>
          </cell>
          <cell r="GG53" t="str">
            <v>XXXX</v>
          </cell>
          <cell r="GH53" t="str">
            <v>XXXX</v>
          </cell>
          <cell r="GI53" t="str">
            <v>XXXX</v>
          </cell>
          <cell r="GJ53" t="str">
            <v>XXXX</v>
          </cell>
          <cell r="GK53" t="str">
            <v>XXXX</v>
          </cell>
          <cell r="GL53" t="str">
            <v>XXXX</v>
          </cell>
          <cell r="GM53" t="str">
            <v>XXXX</v>
          </cell>
          <cell r="GN53" t="str">
            <v>XXXX</v>
          </cell>
        </row>
        <row r="54">
          <cell r="C54">
            <v>38</v>
          </cell>
          <cell r="D54" t="str">
            <v>METAN - TUCUMAN NORTE</v>
          </cell>
          <cell r="E54">
            <v>132</v>
          </cell>
          <cell r="F54">
            <v>155.6</v>
          </cell>
          <cell r="GE54">
            <v>1</v>
          </cell>
          <cell r="GN54">
            <v>1</v>
          </cell>
        </row>
        <row r="55">
          <cell r="C55">
            <v>39</v>
          </cell>
          <cell r="D55" t="str">
            <v>SARMIENTO - TUCUMAN NORTE (O.F.)</v>
          </cell>
          <cell r="E55">
            <v>132</v>
          </cell>
          <cell r="F55">
            <v>3.3</v>
          </cell>
        </row>
        <row r="56">
          <cell r="C56">
            <v>40</v>
          </cell>
          <cell r="D56" t="str">
            <v>TUCUMAN OESTE - TUCUMAN NORTE</v>
          </cell>
          <cell r="E56">
            <v>132</v>
          </cell>
          <cell r="F56">
            <v>7</v>
          </cell>
        </row>
        <row r="57">
          <cell r="C57">
            <v>41</v>
          </cell>
          <cell r="D57" t="str">
            <v>AGUILARES - VILLA QUINTEROS</v>
          </cell>
          <cell r="E57">
            <v>132</v>
          </cell>
          <cell r="F57">
            <v>21</v>
          </cell>
        </row>
        <row r="58">
          <cell r="C58">
            <v>42</v>
          </cell>
          <cell r="D58" t="str">
            <v>C.H. PUEBLO VIEJO - VILLA QUINTEROS </v>
          </cell>
          <cell r="E58">
            <v>132</v>
          </cell>
          <cell r="F58">
            <v>24.5</v>
          </cell>
          <cell r="GG58">
            <v>1</v>
          </cell>
          <cell r="GK58">
            <v>1</v>
          </cell>
        </row>
        <row r="59">
          <cell r="C59">
            <v>43</v>
          </cell>
          <cell r="D59" t="str">
            <v>C.H. RIO HONDO - VILLA QUINTEROS</v>
          </cell>
          <cell r="E59">
            <v>132</v>
          </cell>
          <cell r="F59">
            <v>75.4</v>
          </cell>
          <cell r="GG59">
            <v>1</v>
          </cell>
          <cell r="GL59">
            <v>2</v>
          </cell>
        </row>
        <row r="60">
          <cell r="C60">
            <v>44</v>
          </cell>
          <cell r="D60" t="str">
            <v>C.H. RIO HONDO - SANTIAGO CENTRO</v>
          </cell>
          <cell r="E60">
            <v>132</v>
          </cell>
          <cell r="F60">
            <v>79</v>
          </cell>
          <cell r="GC60" t="str">
            <v>XXXX</v>
          </cell>
          <cell r="GD60" t="str">
            <v>XXXX</v>
          </cell>
          <cell r="GE60" t="str">
            <v>XXXX</v>
          </cell>
          <cell r="GF60" t="str">
            <v>XXXX</v>
          </cell>
          <cell r="GG60" t="str">
            <v>XXXX</v>
          </cell>
          <cell r="GH60" t="str">
            <v>XXXX</v>
          </cell>
          <cell r="GI60" t="str">
            <v>XXXX</v>
          </cell>
          <cell r="GJ60" t="str">
            <v>XXXX</v>
          </cell>
          <cell r="GK60" t="str">
            <v>XXXX</v>
          </cell>
          <cell r="GL60" t="str">
            <v>XXXX</v>
          </cell>
          <cell r="GM60" t="str">
            <v>XXXX</v>
          </cell>
          <cell r="GN60" t="str">
            <v>XXXX</v>
          </cell>
        </row>
        <row r="61">
          <cell r="C61">
            <v>45</v>
          </cell>
          <cell r="D61" t="str">
            <v>C.H. RIO HONDO - EL BRACHO</v>
          </cell>
          <cell r="E61">
            <v>132</v>
          </cell>
          <cell r="F61">
            <v>80.66</v>
          </cell>
          <cell r="GF61">
            <v>1</v>
          </cell>
          <cell r="GG61">
            <v>2</v>
          </cell>
        </row>
        <row r="62">
          <cell r="C62">
            <v>46</v>
          </cell>
          <cell r="D62" t="str">
            <v>SALTA SUR - SALTA NORTE</v>
          </cell>
          <cell r="E62">
            <v>132</v>
          </cell>
          <cell r="F62">
            <v>10</v>
          </cell>
        </row>
        <row r="63">
          <cell r="C63">
            <v>47</v>
          </cell>
          <cell r="D63" t="str">
            <v>PALPALA - JUJUY ESTE</v>
          </cell>
          <cell r="E63">
            <v>132</v>
          </cell>
          <cell r="F63">
            <v>12.25</v>
          </cell>
        </row>
        <row r="64">
          <cell r="C64">
            <v>48</v>
          </cell>
          <cell r="D64" t="str">
            <v>JUJUY ESTE - JUJUY SUR</v>
          </cell>
          <cell r="E64">
            <v>132</v>
          </cell>
          <cell r="F64">
            <v>4.25</v>
          </cell>
        </row>
        <row r="65">
          <cell r="C65">
            <v>49</v>
          </cell>
          <cell r="D65" t="str">
            <v>CEVIL POZO - GUEMES</v>
          </cell>
          <cell r="E65">
            <v>132</v>
          </cell>
          <cell r="F65">
            <v>291</v>
          </cell>
          <cell r="GC65" t="str">
            <v>XXXX</v>
          </cell>
          <cell r="GD65" t="str">
            <v>XXXX</v>
          </cell>
          <cell r="GE65" t="str">
            <v>XXXX</v>
          </cell>
          <cell r="GF65" t="str">
            <v>XXXX</v>
          </cell>
          <cell r="GG65" t="str">
            <v>XXXX</v>
          </cell>
          <cell r="GH65" t="str">
            <v>XXXX</v>
          </cell>
          <cell r="GI65" t="str">
            <v>XXXX</v>
          </cell>
          <cell r="GJ65" t="str">
            <v>XXXX</v>
          </cell>
          <cell r="GK65" t="str">
            <v>XXXX</v>
          </cell>
          <cell r="GL65" t="str">
            <v>XXXX</v>
          </cell>
          <cell r="GM65" t="str">
            <v>XXXX</v>
          </cell>
          <cell r="GN65" t="str">
            <v>XXXX</v>
          </cell>
        </row>
        <row r="66">
          <cell r="C66">
            <v>50</v>
          </cell>
          <cell r="D66" t="str">
            <v>CEVIL POZO - EL BRACHO</v>
          </cell>
          <cell r="E66">
            <v>132</v>
          </cell>
          <cell r="F66">
            <v>17</v>
          </cell>
        </row>
        <row r="68">
          <cell r="C68">
            <v>51</v>
          </cell>
          <cell r="D68" t="str">
            <v>METAN - EL TUNAL</v>
          </cell>
          <cell r="E68">
            <v>132</v>
          </cell>
          <cell r="F68">
            <v>75.6</v>
          </cell>
        </row>
        <row r="69">
          <cell r="C69">
            <v>52</v>
          </cell>
          <cell r="D69" t="str">
            <v>EL TUNAL - J.V. GONZALEZ</v>
          </cell>
          <cell r="E69">
            <v>132</v>
          </cell>
          <cell r="F69">
            <v>41.4</v>
          </cell>
        </row>
        <row r="71">
          <cell r="C71">
            <v>53</v>
          </cell>
          <cell r="D71" t="str">
            <v>LOS PIZARROS - ESCABA</v>
          </cell>
          <cell r="E71">
            <v>132</v>
          </cell>
          <cell r="F71">
            <v>21.4</v>
          </cell>
        </row>
        <row r="72">
          <cell r="C72">
            <v>54</v>
          </cell>
          <cell r="D72" t="str">
            <v>LOS PIZARROS - LA COCHA</v>
          </cell>
          <cell r="E72">
            <v>132</v>
          </cell>
          <cell r="F72">
            <v>6.5</v>
          </cell>
        </row>
        <row r="73">
          <cell r="C73">
            <v>55</v>
          </cell>
          <cell r="D73" t="str">
            <v>HUACRA - LOS PIZARROS</v>
          </cell>
          <cell r="E73">
            <v>132</v>
          </cell>
          <cell r="F73">
            <v>28.5</v>
          </cell>
        </row>
        <row r="74">
          <cell r="C74">
            <v>56</v>
          </cell>
          <cell r="D74" t="str">
            <v>CEVIL POZO - AVELLANEDA</v>
          </cell>
          <cell r="E74">
            <v>132</v>
          </cell>
          <cell r="F74">
            <v>8</v>
          </cell>
        </row>
        <row r="75">
          <cell r="C75">
            <v>57</v>
          </cell>
          <cell r="D75" t="str">
            <v>CABRA CORRAL - SALTA ESTE</v>
          </cell>
          <cell r="E75">
            <v>132</v>
          </cell>
          <cell r="F75">
            <v>55</v>
          </cell>
          <cell r="GD75">
            <v>1</v>
          </cell>
          <cell r="GH75">
            <v>3</v>
          </cell>
          <cell r="GM75">
            <v>1</v>
          </cell>
        </row>
        <row r="76">
          <cell r="C76">
            <v>58</v>
          </cell>
          <cell r="D76" t="str">
            <v>SALTA ESTE - SALTA SUR</v>
          </cell>
          <cell r="E76">
            <v>132</v>
          </cell>
          <cell r="F76">
            <v>7</v>
          </cell>
        </row>
        <row r="77">
          <cell r="C77">
            <v>59</v>
          </cell>
          <cell r="D77" t="str">
            <v>V. QUINTEROS - ACONQUIJA - ANDALGALA</v>
          </cell>
          <cell r="E77">
            <v>132</v>
          </cell>
          <cell r="F77">
            <v>102</v>
          </cell>
          <cell r="GE77">
            <v>1</v>
          </cell>
        </row>
        <row r="78">
          <cell r="C78">
            <v>60</v>
          </cell>
          <cell r="D78" t="str">
            <v>ANDALGALA - BELEN</v>
          </cell>
          <cell r="E78">
            <v>132</v>
          </cell>
          <cell r="F78">
            <v>80.3</v>
          </cell>
        </row>
        <row r="79">
          <cell r="C79">
            <v>61</v>
          </cell>
          <cell r="D79" t="str">
            <v>TUCUMAN NORTE - TRANCAS</v>
          </cell>
          <cell r="E79">
            <v>132</v>
          </cell>
          <cell r="F79">
            <v>75</v>
          </cell>
        </row>
        <row r="80">
          <cell r="C80">
            <v>62</v>
          </cell>
          <cell r="D80" t="str">
            <v>CABRA CORRAL - TRANCAS</v>
          </cell>
          <cell r="E80">
            <v>132</v>
          </cell>
          <cell r="F80">
            <v>115</v>
          </cell>
          <cell r="GC80" t="str">
            <v>XXXX</v>
          </cell>
          <cell r="GD80" t="str">
            <v>XXXX</v>
          </cell>
          <cell r="GE80" t="str">
            <v>XXXX</v>
          </cell>
          <cell r="GF80" t="str">
            <v>XXXX</v>
          </cell>
          <cell r="GG80" t="str">
            <v>XXXX</v>
          </cell>
          <cell r="GH80" t="str">
            <v>XXXX</v>
          </cell>
          <cell r="GI80" t="str">
            <v>XXXX</v>
          </cell>
          <cell r="GJ80" t="str">
            <v>XXXX</v>
          </cell>
          <cell r="GK80" t="str">
            <v>XXXX</v>
          </cell>
          <cell r="GL80" t="str">
            <v>XXXX</v>
          </cell>
          <cell r="GM80" t="str">
            <v>XXXX</v>
          </cell>
          <cell r="GN80" t="str">
            <v>XXXX</v>
          </cell>
        </row>
        <row r="81">
          <cell r="C81">
            <v>63</v>
          </cell>
          <cell r="D81" t="str">
            <v>LAS MADERAS - JUJUY SUR</v>
          </cell>
          <cell r="E81">
            <v>132</v>
          </cell>
          <cell r="F81">
            <v>29</v>
          </cell>
        </row>
        <row r="82">
          <cell r="C82">
            <v>64</v>
          </cell>
          <cell r="D82" t="str">
            <v>BELEN - TINOGASTA</v>
          </cell>
          <cell r="E82">
            <v>132</v>
          </cell>
          <cell r="F82">
            <v>72</v>
          </cell>
        </row>
        <row r="83">
          <cell r="C83">
            <v>65</v>
          </cell>
          <cell r="D83" t="str">
            <v>BURRUYACU - CEVIL POZO</v>
          </cell>
          <cell r="E83">
            <v>132</v>
          </cell>
          <cell r="F83">
            <v>56</v>
          </cell>
          <cell r="GI83">
            <v>1</v>
          </cell>
        </row>
        <row r="84">
          <cell r="C84">
            <v>66</v>
          </cell>
          <cell r="D84" t="str">
            <v>GÜEMES - BURRUYACU</v>
          </cell>
          <cell r="E84">
            <v>132</v>
          </cell>
          <cell r="F84">
            <v>235.1</v>
          </cell>
          <cell r="GC84" t="str">
            <v>XXXX</v>
          </cell>
          <cell r="GD84" t="str">
            <v>XXXX</v>
          </cell>
          <cell r="GE84" t="str">
            <v>XXXX</v>
          </cell>
          <cell r="GF84" t="str">
            <v>XXXX</v>
          </cell>
          <cell r="GG84" t="str">
            <v>XXXX</v>
          </cell>
          <cell r="GH84" t="str">
            <v>XXXX</v>
          </cell>
          <cell r="GI84" t="str">
            <v>XXXX</v>
          </cell>
          <cell r="GJ84" t="str">
            <v>XXXX</v>
          </cell>
          <cell r="GK84" t="str">
            <v>XXXX</v>
          </cell>
          <cell r="GL84" t="str">
            <v>XXXX</v>
          </cell>
          <cell r="GM84" t="str">
            <v>XXXX</v>
          </cell>
          <cell r="GN84" t="str">
            <v>XXXX</v>
          </cell>
        </row>
        <row r="85">
          <cell r="C85">
            <v>67</v>
          </cell>
          <cell r="D85" t="str">
            <v>FRIAS - RECREO</v>
          </cell>
          <cell r="E85">
            <v>132</v>
          </cell>
          <cell r="F85">
            <v>74.54</v>
          </cell>
          <cell r="GL85">
            <v>1</v>
          </cell>
        </row>
        <row r="86">
          <cell r="C86">
            <v>68</v>
          </cell>
          <cell r="D86" t="str">
            <v>RECREO - LA RIOJA 1</v>
          </cell>
          <cell r="E86">
            <v>132</v>
          </cell>
          <cell r="F86">
            <v>221</v>
          </cell>
          <cell r="GC86">
            <v>1</v>
          </cell>
          <cell r="GI86">
            <v>1</v>
          </cell>
          <cell r="GM86">
            <v>1</v>
          </cell>
        </row>
        <row r="87">
          <cell r="C87">
            <v>69</v>
          </cell>
          <cell r="D87" t="str">
            <v>RECREO - LA RIOJA 2</v>
          </cell>
          <cell r="E87">
            <v>132</v>
          </cell>
          <cell r="F87">
            <v>220</v>
          </cell>
        </row>
        <row r="88">
          <cell r="C88">
            <v>70</v>
          </cell>
          <cell r="D88" t="str">
            <v>RECREO - CATAMARCA</v>
          </cell>
          <cell r="E88">
            <v>132</v>
          </cell>
          <cell r="F88">
            <v>203</v>
          </cell>
          <cell r="GC88">
            <v>1</v>
          </cell>
          <cell r="GH88">
            <v>1</v>
          </cell>
          <cell r="GI88">
            <v>1</v>
          </cell>
          <cell r="GJ88">
            <v>2</v>
          </cell>
          <cell r="GK88">
            <v>1</v>
          </cell>
        </row>
        <row r="89">
          <cell r="C89">
            <v>71</v>
          </cell>
          <cell r="D89" t="str">
            <v>CABRA CORRAL - EL CARRIL</v>
          </cell>
          <cell r="E89">
            <v>132</v>
          </cell>
          <cell r="F89">
            <v>33.55</v>
          </cell>
        </row>
        <row r="90">
          <cell r="C90">
            <v>72</v>
          </cell>
          <cell r="D90" t="str">
            <v>PAMPA GRANDE - CABRA CORRAL</v>
          </cell>
          <cell r="E90">
            <v>132</v>
          </cell>
          <cell r="F90">
            <v>60</v>
          </cell>
          <cell r="GC90">
            <v>3</v>
          </cell>
          <cell r="GH90">
            <v>2</v>
          </cell>
          <cell r="GL90">
            <v>1</v>
          </cell>
        </row>
        <row r="91">
          <cell r="C91">
            <v>73</v>
          </cell>
          <cell r="D91" t="str">
            <v>PAMPA GRANDE - CAFAYATE</v>
          </cell>
          <cell r="E91">
            <v>132</v>
          </cell>
          <cell r="F91">
            <v>63</v>
          </cell>
        </row>
        <row r="92">
          <cell r="C92">
            <v>74</v>
          </cell>
          <cell r="D92" t="str">
            <v>PAMPA GRANDE - TRANCAS</v>
          </cell>
          <cell r="E92">
            <v>132</v>
          </cell>
          <cell r="F92">
            <v>55</v>
          </cell>
          <cell r="GC92">
            <v>1</v>
          </cell>
          <cell r="GD92">
            <v>1</v>
          </cell>
          <cell r="GE92">
            <v>1</v>
          </cell>
          <cell r="GG92">
            <v>2</v>
          </cell>
          <cell r="GH92">
            <v>3</v>
          </cell>
          <cell r="GI92">
            <v>1</v>
          </cell>
        </row>
        <row r="93">
          <cell r="C93">
            <v>75</v>
          </cell>
          <cell r="D93" t="str">
            <v>SANTIAGO CENTRO - SUNCHO CORRAL </v>
          </cell>
          <cell r="E93">
            <v>132</v>
          </cell>
          <cell r="F93">
            <v>103</v>
          </cell>
          <cell r="GG93">
            <v>1</v>
          </cell>
          <cell r="GI93">
            <v>1</v>
          </cell>
          <cell r="GJ93">
            <v>1</v>
          </cell>
        </row>
        <row r="94">
          <cell r="GH94">
            <v>1</v>
          </cell>
        </row>
        <row r="95">
          <cell r="GN95">
            <v>1</v>
          </cell>
        </row>
        <row r="96">
          <cell r="GE96">
            <v>1</v>
          </cell>
          <cell r="GJ96">
            <v>1</v>
          </cell>
          <cell r="GK96">
            <v>1</v>
          </cell>
          <cell r="GL96">
            <v>1</v>
          </cell>
        </row>
        <row r="97">
          <cell r="GC97">
            <v>1</v>
          </cell>
        </row>
        <row r="98">
          <cell r="GC98" t="str">
            <v>XXXX</v>
          </cell>
          <cell r="GD98" t="str">
            <v>XXXX</v>
          </cell>
          <cell r="GE98" t="str">
            <v>XXXX</v>
          </cell>
          <cell r="GF98" t="str">
            <v>XXXX</v>
          </cell>
          <cell r="GG98" t="str">
            <v>XXXX</v>
          </cell>
          <cell r="GH98" t="str">
            <v>XXXX</v>
          </cell>
          <cell r="GI98" t="str">
            <v>XXXX</v>
          </cell>
          <cell r="GJ98" t="str">
            <v>XXXX</v>
          </cell>
          <cell r="GK98" t="str">
            <v>XXXX</v>
          </cell>
          <cell r="GL98" t="str">
            <v>XXXX</v>
          </cell>
          <cell r="GM98" t="str">
            <v>XXXX</v>
          </cell>
          <cell r="GN98" t="str">
            <v>XXXX</v>
          </cell>
        </row>
        <row r="99">
          <cell r="GG99">
            <v>1</v>
          </cell>
        </row>
        <row r="126">
          <cell r="GC126">
            <v>3.65</v>
          </cell>
          <cell r="GD126">
            <v>3.76</v>
          </cell>
          <cell r="GE126">
            <v>3.49</v>
          </cell>
          <cell r="GF126">
            <v>3.44</v>
          </cell>
          <cell r="GG126">
            <v>3.31</v>
          </cell>
          <cell r="GH126">
            <v>3.36</v>
          </cell>
          <cell r="GI126">
            <v>3.49</v>
          </cell>
          <cell r="GJ126">
            <v>3.44</v>
          </cell>
          <cell r="GK126">
            <v>2.96</v>
          </cell>
          <cell r="GL126">
            <v>3.01</v>
          </cell>
          <cell r="GM126">
            <v>2.8</v>
          </cell>
          <cell r="GN126">
            <v>2.46</v>
          </cell>
          <cell r="GO126">
            <v>2.24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T47"/>
  <sheetViews>
    <sheetView zoomScale="70" zoomScaleNormal="70" workbookViewId="0" topLeftCell="A1">
      <selection activeCell="A13" sqref="A13"/>
    </sheetView>
  </sheetViews>
  <sheetFormatPr defaultColWidth="11.421875" defaultRowHeight="12.75"/>
  <cols>
    <col min="1" max="1" width="25.7109375" style="8" customWidth="1"/>
    <col min="2" max="2" width="7.7109375" style="8" customWidth="1"/>
    <col min="3" max="3" width="10.421875" style="8" customWidth="1"/>
    <col min="4" max="5" width="9.00390625" style="8" customWidth="1"/>
    <col min="6" max="6" width="3.7109375" style="8" customWidth="1"/>
    <col min="7" max="8" width="20.7109375" style="8" customWidth="1"/>
    <col min="9" max="9" width="6.28125" style="8" customWidth="1"/>
    <col min="10" max="10" width="15.7109375" style="8" customWidth="1"/>
    <col min="11" max="11" width="14.8515625" style="8" customWidth="1"/>
    <col min="12" max="12" width="15.7109375" style="8" customWidth="1"/>
    <col min="13" max="14" width="11.421875" style="8" customWidth="1"/>
    <col min="15" max="15" width="14.140625" style="8" customWidth="1"/>
    <col min="16" max="16" width="11.421875" style="8" customWidth="1"/>
    <col min="17" max="17" width="14.7109375" style="8" customWidth="1"/>
    <col min="18" max="18" width="11.421875" style="8" customWidth="1"/>
    <col min="19" max="19" width="12.00390625" style="8" customWidth="1"/>
    <col min="20" max="16384" width="11.421875" style="8" customWidth="1"/>
  </cols>
  <sheetData>
    <row r="1" spans="2:12" s="33" customFormat="1" ht="26.25">
      <c r="B1" s="34"/>
      <c r="L1" s="324"/>
    </row>
    <row r="2" spans="2:11" s="33" customFormat="1" ht="26.25">
      <c r="B2" s="34" t="s">
        <v>163</v>
      </c>
      <c r="C2" s="35"/>
      <c r="D2" s="36"/>
      <c r="E2" s="36"/>
      <c r="F2" s="36"/>
      <c r="G2" s="36"/>
      <c r="H2" s="36"/>
      <c r="I2" s="36"/>
      <c r="J2" s="36"/>
      <c r="K2" s="36"/>
    </row>
    <row r="3" spans="3:20" ht="15.75" customHeight="1">
      <c r="C3"/>
      <c r="D3" s="37"/>
      <c r="E3" s="37"/>
      <c r="F3" s="37"/>
      <c r="G3" s="37"/>
      <c r="H3" s="37"/>
      <c r="I3" s="37"/>
      <c r="J3" s="37"/>
      <c r="K3" s="37"/>
      <c r="Q3" s="7"/>
      <c r="R3" s="7"/>
      <c r="S3" s="7"/>
      <c r="T3" s="7"/>
    </row>
    <row r="4" spans="1:20" s="40" customFormat="1" ht="11.25">
      <c r="A4" s="38" t="s">
        <v>3</v>
      </c>
      <c r="B4" s="39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0" s="40" customFormat="1" ht="11.25">
      <c r="A5" s="38" t="s">
        <v>4</v>
      </c>
      <c r="B5" s="39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2:20" s="33" customFormat="1" ht="6" customHeight="1">
      <c r="B6" s="42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</row>
    <row r="7" spans="2:20" s="51" customFormat="1" ht="19.5">
      <c r="B7" s="108" t="s">
        <v>0</v>
      </c>
      <c r="C7" s="186"/>
      <c r="D7" s="187"/>
      <c r="E7" s="187"/>
      <c r="F7" s="187"/>
      <c r="G7" s="56"/>
      <c r="H7" s="56"/>
      <c r="I7" s="56"/>
      <c r="J7" s="56"/>
      <c r="K7" s="56"/>
      <c r="L7" s="58"/>
      <c r="M7" s="58"/>
      <c r="N7" s="58"/>
      <c r="O7" s="58"/>
      <c r="P7" s="58"/>
      <c r="Q7" s="58"/>
      <c r="R7" s="58"/>
      <c r="S7" s="58"/>
      <c r="T7" s="58"/>
    </row>
    <row r="8" spans="10:20" ht="12.75"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2:20" s="51" customFormat="1" ht="19.5">
      <c r="B9" s="108" t="s">
        <v>1</v>
      </c>
      <c r="C9" s="186"/>
      <c r="D9" s="187"/>
      <c r="E9" s="187"/>
      <c r="F9" s="187"/>
      <c r="G9" s="56"/>
      <c r="H9" s="56"/>
      <c r="I9" s="56"/>
      <c r="J9" s="56"/>
      <c r="K9" s="56"/>
      <c r="L9" s="58"/>
      <c r="M9" s="58"/>
      <c r="N9" s="58"/>
      <c r="O9" s="58"/>
      <c r="P9" s="58"/>
      <c r="Q9" s="58"/>
      <c r="R9" s="58"/>
      <c r="S9" s="58"/>
      <c r="T9" s="58"/>
    </row>
    <row r="10" spans="4:20" ht="12.75">
      <c r="D10" s="46"/>
      <c r="E10" s="46"/>
      <c r="F10" s="46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2:20" s="51" customFormat="1" ht="19.5">
      <c r="B11" s="108" t="s">
        <v>162</v>
      </c>
      <c r="C11" s="186"/>
      <c r="D11" s="187"/>
      <c r="E11" s="187"/>
      <c r="F11" s="187"/>
      <c r="G11" s="56"/>
      <c r="H11" s="56"/>
      <c r="I11" s="56"/>
      <c r="J11" s="56"/>
      <c r="K11" s="56"/>
      <c r="L11" s="58"/>
      <c r="M11" s="58"/>
      <c r="N11" s="58"/>
      <c r="O11" s="58"/>
      <c r="P11" s="58"/>
      <c r="Q11" s="58"/>
      <c r="R11" s="58"/>
      <c r="S11" s="58"/>
      <c r="T11" s="58"/>
    </row>
    <row r="12" spans="4:20" s="47" customFormat="1" ht="16.5" thickBot="1">
      <c r="D12" s="6"/>
      <c r="E12" s="6"/>
      <c r="F12" s="6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</row>
    <row r="13" spans="2:20" s="47" customFormat="1" ht="16.5" thickTop="1">
      <c r="B13" s="439">
        <v>1</v>
      </c>
      <c r="C13" s="399"/>
      <c r="D13" s="49"/>
      <c r="E13" s="49"/>
      <c r="F13" s="49"/>
      <c r="G13" s="49"/>
      <c r="H13" s="49"/>
      <c r="I13" s="49"/>
      <c r="J13" s="49"/>
      <c r="K13" s="50"/>
      <c r="L13" s="48"/>
      <c r="M13" s="48"/>
      <c r="N13" s="48"/>
      <c r="O13" s="48"/>
      <c r="P13" s="48"/>
      <c r="Q13" s="48"/>
      <c r="R13" s="48"/>
      <c r="S13" s="48"/>
      <c r="T13" s="48"/>
    </row>
    <row r="14" spans="2:20" s="51" customFormat="1" ht="19.5">
      <c r="B14" s="52" t="s">
        <v>69</v>
      </c>
      <c r="C14" s="53"/>
      <c r="D14" s="54"/>
      <c r="E14" s="55"/>
      <c r="F14" s="55"/>
      <c r="G14" s="55"/>
      <c r="H14" s="55"/>
      <c r="I14" s="55"/>
      <c r="J14" s="56"/>
      <c r="K14" s="57"/>
      <c r="L14" s="58"/>
      <c r="M14" s="58"/>
      <c r="N14" s="58"/>
      <c r="O14" s="58"/>
      <c r="P14" s="58"/>
      <c r="Q14" s="58"/>
      <c r="R14" s="58"/>
      <c r="S14" s="58"/>
      <c r="T14" s="58"/>
    </row>
    <row r="15" spans="2:20" s="51" customFormat="1" ht="19.5" hidden="1">
      <c r="B15" s="59"/>
      <c r="C15" s="60"/>
      <c r="D15" s="60"/>
      <c r="E15" s="58"/>
      <c r="F15" s="58"/>
      <c r="G15" s="61"/>
      <c r="H15" s="61"/>
      <c r="I15" s="61"/>
      <c r="J15" s="58"/>
      <c r="K15" s="62"/>
      <c r="L15" s="58"/>
      <c r="M15" s="58"/>
      <c r="N15" s="58"/>
      <c r="O15" s="58"/>
      <c r="P15" s="58"/>
      <c r="Q15" s="58"/>
      <c r="R15" s="58"/>
      <c r="S15" s="58"/>
      <c r="T15" s="58"/>
    </row>
    <row r="16" spans="2:20" s="51" customFormat="1" ht="19.5" hidden="1">
      <c r="B16" s="52" t="s">
        <v>5</v>
      </c>
      <c r="C16" s="184"/>
      <c r="D16" s="184"/>
      <c r="E16" s="56"/>
      <c r="F16" s="56"/>
      <c r="G16" s="55"/>
      <c r="H16" s="55"/>
      <c r="I16" s="55"/>
      <c r="J16" s="56"/>
      <c r="K16" s="57"/>
      <c r="L16"/>
      <c r="M16" s="58"/>
      <c r="N16" s="58"/>
      <c r="O16" s="58"/>
      <c r="P16" s="58"/>
      <c r="Q16" s="58"/>
      <c r="R16" s="58"/>
      <c r="S16" s="58"/>
      <c r="T16" s="58"/>
    </row>
    <row r="17" spans="2:20" s="51" customFormat="1" ht="19.5">
      <c r="B17" s="59"/>
      <c r="C17" s="60"/>
      <c r="D17" s="60"/>
      <c r="E17" s="58"/>
      <c r="F17" s="58"/>
      <c r="G17" s="61"/>
      <c r="H17" s="61"/>
      <c r="I17" s="61"/>
      <c r="J17" s="58"/>
      <c r="K17" s="62"/>
      <c r="L17"/>
      <c r="M17" s="58"/>
      <c r="N17" s="58"/>
      <c r="O17" s="58"/>
      <c r="P17" s="58"/>
      <c r="Q17" s="58"/>
      <c r="R17" s="58"/>
      <c r="S17" s="58"/>
      <c r="T17" s="58"/>
    </row>
    <row r="18" spans="2:20" s="51" customFormat="1" ht="19.5">
      <c r="B18" s="59"/>
      <c r="C18" s="63" t="s">
        <v>6</v>
      </c>
      <c r="D18" s="64" t="s">
        <v>2</v>
      </c>
      <c r="E18" s="58"/>
      <c r="F18" s="58"/>
      <c r="G18" s="61"/>
      <c r="H18" s="61"/>
      <c r="I18" s="61"/>
      <c r="J18" s="65"/>
      <c r="K18" s="62"/>
      <c r="L18" s="58"/>
      <c r="M18" s="58"/>
      <c r="N18" s="58"/>
      <c r="O18" s="58"/>
      <c r="P18" s="58"/>
      <c r="Q18" s="58"/>
      <c r="R18" s="58"/>
      <c r="S18" s="58"/>
      <c r="T18" s="58"/>
    </row>
    <row r="19" spans="2:20" s="51" customFormat="1" ht="19.5">
      <c r="B19" s="59"/>
      <c r="C19" s="63"/>
      <c r="D19" s="63" t="s">
        <v>7</v>
      </c>
      <c r="E19" s="72" t="s">
        <v>8</v>
      </c>
      <c r="F19" s="72"/>
      <c r="G19" s="61"/>
      <c r="H19" s="61"/>
      <c r="I19" s="61"/>
      <c r="J19" s="65">
        <f>'LI-04 (2)'!AA42</f>
        <v>32919.71</v>
      </c>
      <c r="K19" s="62"/>
      <c r="L19" s="58"/>
      <c r="M19" s="58"/>
      <c r="N19" s="58"/>
      <c r="O19" s="58"/>
      <c r="P19" s="58"/>
      <c r="Q19" s="58"/>
      <c r="R19" s="58"/>
      <c r="S19" s="58"/>
      <c r="T19" s="58"/>
    </row>
    <row r="20" spans="2:20" s="51" customFormat="1" ht="19.5">
      <c r="B20" s="59"/>
      <c r="C20" s="63"/>
      <c r="D20" s="63"/>
      <c r="E20" s="72"/>
      <c r="F20" s="72"/>
      <c r="G20" s="61"/>
      <c r="H20" s="61"/>
      <c r="I20" s="61"/>
      <c r="J20" s="65"/>
      <c r="K20" s="62"/>
      <c r="L20" s="58"/>
      <c r="M20" s="58"/>
      <c r="N20" s="58"/>
      <c r="O20" s="58"/>
      <c r="P20" s="58"/>
      <c r="Q20" s="58"/>
      <c r="R20" s="58"/>
      <c r="S20" s="58"/>
      <c r="T20" s="58"/>
    </row>
    <row r="21" spans="2:20" ht="7.5" customHeight="1">
      <c r="B21" s="66"/>
      <c r="C21" s="67"/>
      <c r="D21" s="68"/>
      <c r="E21" s="7"/>
      <c r="F21" s="7"/>
      <c r="G21" s="69"/>
      <c r="H21" s="69"/>
      <c r="I21" s="69"/>
      <c r="J21" s="70"/>
      <c r="K21" s="9"/>
      <c r="L21" s="7"/>
      <c r="M21" s="7"/>
      <c r="N21" s="7"/>
      <c r="O21" s="7"/>
      <c r="P21" s="7"/>
      <c r="Q21" s="7"/>
      <c r="R21" s="7"/>
      <c r="S21" s="7"/>
      <c r="T21" s="7"/>
    </row>
    <row r="22" spans="2:20" s="51" customFormat="1" ht="19.5">
      <c r="B22" s="59"/>
      <c r="C22" s="63" t="s">
        <v>9</v>
      </c>
      <c r="D22" s="64" t="s">
        <v>10</v>
      </c>
      <c r="E22" s="58"/>
      <c r="F22" s="58"/>
      <c r="G22" s="61"/>
      <c r="H22" s="61"/>
      <c r="I22" s="61"/>
      <c r="J22" s="65"/>
      <c r="K22" s="62"/>
      <c r="L22" s="58"/>
      <c r="M22" s="58"/>
      <c r="N22" s="58"/>
      <c r="O22" s="58"/>
      <c r="P22" s="58"/>
      <c r="Q22" s="58"/>
      <c r="R22" s="58"/>
      <c r="S22" s="58"/>
      <c r="T22" s="58"/>
    </row>
    <row r="23" spans="2:20" s="51" customFormat="1" ht="19.5">
      <c r="B23" s="59"/>
      <c r="C23" s="63"/>
      <c r="D23" s="63" t="s">
        <v>11</v>
      </c>
      <c r="E23" s="72" t="s">
        <v>12</v>
      </c>
      <c r="F23" s="72"/>
      <c r="G23" s="61"/>
      <c r="H23" s="61"/>
      <c r="I23" s="61"/>
      <c r="J23" s="65"/>
      <c r="K23" s="62"/>
      <c r="L23" s="58"/>
      <c r="M23" s="58"/>
      <c r="N23" s="58"/>
      <c r="O23" s="58"/>
      <c r="P23" s="58"/>
      <c r="Q23" s="58"/>
      <c r="R23" s="58"/>
      <c r="S23" s="58"/>
      <c r="T23" s="58"/>
    </row>
    <row r="24" spans="2:20" s="51" customFormat="1" ht="19.5">
      <c r="B24" s="59"/>
      <c r="C24" s="63"/>
      <c r="D24"/>
      <c r="E24" s="63" t="s">
        <v>13</v>
      </c>
      <c r="F24" s="72" t="s">
        <v>8</v>
      </c>
      <c r="G24"/>
      <c r="H24" s="61"/>
      <c r="I24" s="61"/>
      <c r="J24" s="65">
        <f>'T-04 (3)'!AC45</f>
        <v>4889.68</v>
      </c>
      <c r="K24" s="62"/>
      <c r="L24" s="58"/>
      <c r="M24" s="58"/>
      <c r="N24" s="58"/>
      <c r="O24" s="58"/>
      <c r="P24" s="58"/>
      <c r="Q24" s="58"/>
      <c r="R24" s="58"/>
      <c r="S24" s="58"/>
      <c r="T24" s="58"/>
    </row>
    <row r="25" spans="2:20" s="51" customFormat="1" ht="19.5">
      <c r="B25" s="59"/>
      <c r="C25" s="63"/>
      <c r="D25"/>
      <c r="E25" s="63"/>
      <c r="F25" s="72"/>
      <c r="G25"/>
      <c r="H25" s="61"/>
      <c r="I25" s="61"/>
      <c r="J25" s="65"/>
      <c r="K25" s="62"/>
      <c r="L25" s="58"/>
      <c r="M25" s="58"/>
      <c r="N25" s="58"/>
      <c r="O25" s="58"/>
      <c r="P25" s="58"/>
      <c r="Q25" s="58"/>
      <c r="R25" s="58"/>
      <c r="S25" s="58"/>
      <c r="T25" s="58"/>
    </row>
    <row r="26" spans="2:20" ht="8.25" customHeight="1">
      <c r="B26" s="66"/>
      <c r="C26" s="67"/>
      <c r="D26" s="67"/>
      <c r="E26" s="7"/>
      <c r="F26" s="7"/>
      <c r="G26" s="69"/>
      <c r="H26" s="69"/>
      <c r="I26" s="69"/>
      <c r="J26" s="71"/>
      <c r="K26" s="9"/>
      <c r="L26" s="7"/>
      <c r="M26" s="7"/>
      <c r="N26" s="7"/>
      <c r="O26" s="7"/>
      <c r="P26" s="7"/>
      <c r="Q26" s="7"/>
      <c r="R26" s="7"/>
      <c r="S26" s="7"/>
      <c r="T26" s="7"/>
    </row>
    <row r="27" spans="2:20" s="51" customFormat="1" ht="19.5">
      <c r="B27" s="59"/>
      <c r="C27" s="63"/>
      <c r="D27" s="63" t="s">
        <v>14</v>
      </c>
      <c r="E27" s="72" t="s">
        <v>15</v>
      </c>
      <c r="F27" s="72"/>
      <c r="G27" s="61"/>
      <c r="H27" s="61"/>
      <c r="I27" s="61"/>
      <c r="J27" s="65"/>
      <c r="K27" s="62"/>
      <c r="L27" s="58"/>
      <c r="M27" s="58"/>
      <c r="N27" s="58"/>
      <c r="O27" s="58"/>
      <c r="P27" s="58"/>
      <c r="Q27" s="58"/>
      <c r="R27" s="58"/>
      <c r="S27" s="58"/>
      <c r="T27" s="58"/>
    </row>
    <row r="28" spans="2:20" s="51" customFormat="1" ht="19.5">
      <c r="B28" s="59"/>
      <c r="C28" s="63"/>
      <c r="D28"/>
      <c r="E28" s="63" t="s">
        <v>16</v>
      </c>
      <c r="F28" s="72" t="s">
        <v>8</v>
      </c>
      <c r="G28"/>
      <c r="H28" s="61"/>
      <c r="I28" s="61"/>
      <c r="J28" s="65">
        <f>'SA-04 (1)'!V44</f>
        <v>140.04</v>
      </c>
      <c r="K28" s="62"/>
      <c r="L28" s="58"/>
      <c r="M28" s="58"/>
      <c r="N28" s="58"/>
      <c r="O28" s="58"/>
      <c r="P28" s="58"/>
      <c r="Q28" s="58"/>
      <c r="R28" s="58"/>
      <c r="S28" s="58"/>
      <c r="T28" s="58"/>
    </row>
    <row r="29" spans="2:20" s="51" customFormat="1" ht="19.5">
      <c r="B29" s="59"/>
      <c r="C29" s="63"/>
      <c r="D29"/>
      <c r="E29" s="63"/>
      <c r="F29" s="72"/>
      <c r="G29"/>
      <c r="H29" s="61"/>
      <c r="I29" s="61"/>
      <c r="J29" s="65"/>
      <c r="K29" s="62"/>
      <c r="L29" s="58"/>
      <c r="M29" s="58"/>
      <c r="N29" s="58"/>
      <c r="O29" s="58"/>
      <c r="P29" s="58"/>
      <c r="Q29" s="58"/>
      <c r="R29" s="58"/>
      <c r="S29" s="58"/>
      <c r="T29" s="58"/>
    </row>
    <row r="30" spans="2:20" s="51" customFormat="1" ht="6.75" customHeight="1">
      <c r="B30" s="59"/>
      <c r="C30" s="60"/>
      <c r="D30" s="60"/>
      <c r="E30" s="72"/>
      <c r="F30" s="72"/>
      <c r="G30" s="61"/>
      <c r="H30" s="61"/>
      <c r="I30" s="61"/>
      <c r="J30" s="65"/>
      <c r="K30" s="62"/>
      <c r="L30" s="58"/>
      <c r="M30" s="58"/>
      <c r="N30" s="58"/>
      <c r="O30" s="58"/>
      <c r="P30" s="58"/>
      <c r="Q30" s="58"/>
      <c r="R30" s="58"/>
      <c r="S30" s="58"/>
      <c r="T30" s="58"/>
    </row>
    <row r="31" spans="2:20" s="51" customFormat="1" ht="19.5">
      <c r="B31" s="59"/>
      <c r="C31" s="63"/>
      <c r="D31" s="63"/>
      <c r="E31" s="72"/>
      <c r="F31" s="72"/>
      <c r="G31" s="61"/>
      <c r="H31" s="61"/>
      <c r="I31" s="61"/>
      <c r="J31" s="65"/>
      <c r="K31" s="62"/>
      <c r="L31" s="58"/>
      <c r="M31" s="58"/>
      <c r="N31" s="58"/>
      <c r="O31" s="58"/>
      <c r="P31" s="58"/>
      <c r="Q31" s="58"/>
      <c r="R31" s="58"/>
      <c r="S31" s="58"/>
      <c r="T31" s="58"/>
    </row>
    <row r="32" spans="2:20" s="51" customFormat="1" ht="20.25" thickBot="1">
      <c r="B32" s="59"/>
      <c r="C32" s="60"/>
      <c r="D32" s="60"/>
      <c r="E32" s="58"/>
      <c r="F32" s="58"/>
      <c r="G32" s="61"/>
      <c r="H32" s="61"/>
      <c r="I32" s="61"/>
      <c r="J32" s="58"/>
      <c r="K32" s="62"/>
      <c r="L32" s="58"/>
      <c r="M32" s="58"/>
      <c r="N32" s="58"/>
      <c r="O32" s="58"/>
      <c r="P32" s="58"/>
      <c r="Q32" s="58"/>
      <c r="R32" s="58"/>
      <c r="S32" s="58"/>
      <c r="T32" s="58"/>
    </row>
    <row r="33" spans="2:20" s="51" customFormat="1" ht="20.25" thickBot="1" thickTop="1">
      <c r="B33" s="59"/>
      <c r="C33" s="63"/>
      <c r="D33" s="63"/>
      <c r="G33" s="73" t="s">
        <v>17</v>
      </c>
      <c r="H33" s="74">
        <f>SUM(J19:J28)</f>
        <v>37949.43</v>
      </c>
      <c r="I33" s="185"/>
      <c r="K33" s="62"/>
      <c r="L33" s="58"/>
      <c r="M33" s="58"/>
      <c r="N33" s="58"/>
      <c r="O33" s="58"/>
      <c r="P33" s="58"/>
      <c r="Q33" s="58"/>
      <c r="R33" s="58"/>
      <c r="S33" s="58"/>
      <c r="T33" s="58"/>
    </row>
    <row r="34" spans="2:20" s="51" customFormat="1" ht="13.5" customHeight="1" thickTop="1">
      <c r="B34" s="59"/>
      <c r="C34" s="63"/>
      <c r="D34" s="63"/>
      <c r="G34" s="397"/>
      <c r="H34" s="185"/>
      <c r="I34" s="185"/>
      <c r="K34" s="62"/>
      <c r="L34" s="58"/>
      <c r="M34" s="58"/>
      <c r="N34" s="58"/>
      <c r="O34" s="58"/>
      <c r="P34" s="58"/>
      <c r="Q34" s="58"/>
      <c r="R34" s="58"/>
      <c r="S34" s="58"/>
      <c r="T34" s="58"/>
    </row>
    <row r="35" spans="2:20" s="51" customFormat="1" ht="15.75" customHeight="1">
      <c r="B35" s="59"/>
      <c r="C35" s="398" t="s">
        <v>143</v>
      </c>
      <c r="D35" s="63"/>
      <c r="G35" s="397"/>
      <c r="H35" s="185"/>
      <c r="I35" s="185"/>
      <c r="K35" s="62"/>
      <c r="L35" s="58"/>
      <c r="M35" s="58"/>
      <c r="N35" s="58"/>
      <c r="O35" s="58"/>
      <c r="P35" s="58"/>
      <c r="Q35" s="58"/>
      <c r="R35" s="58"/>
      <c r="S35" s="58"/>
      <c r="T35" s="58"/>
    </row>
    <row r="36" spans="2:20" s="47" customFormat="1" ht="12.75" customHeight="1" thickBot="1">
      <c r="B36" s="75"/>
      <c r="C36" s="76"/>
      <c r="D36" s="76"/>
      <c r="E36" s="77"/>
      <c r="F36" s="77"/>
      <c r="G36" s="77"/>
      <c r="H36" s="77"/>
      <c r="I36" s="77"/>
      <c r="J36" s="77"/>
      <c r="K36" s="78"/>
      <c r="L36" s="48"/>
      <c r="M36" s="48"/>
      <c r="N36" s="79"/>
      <c r="O36" s="80"/>
      <c r="P36" s="80"/>
      <c r="Q36" s="81"/>
      <c r="R36" s="82"/>
      <c r="S36" s="48"/>
      <c r="T36" s="48"/>
    </row>
    <row r="37" spans="4:20" ht="13.5" thickTop="1">
      <c r="D37" s="7"/>
      <c r="G37" s="7"/>
      <c r="H37" s="7"/>
      <c r="I37" s="7"/>
      <c r="J37" s="7"/>
      <c r="K37" s="7"/>
      <c r="L37" s="7"/>
      <c r="M37" s="7"/>
      <c r="N37" s="25"/>
      <c r="O37" s="83"/>
      <c r="P37" s="83"/>
      <c r="Q37" s="7"/>
      <c r="R37" s="84"/>
      <c r="S37" s="7"/>
      <c r="T37" s="7"/>
    </row>
    <row r="38" spans="4:20" ht="12.75">
      <c r="D38" s="7"/>
      <c r="G38" s="7"/>
      <c r="H38" s="7"/>
      <c r="I38" s="7"/>
      <c r="J38" s="7"/>
      <c r="K38" s="7"/>
      <c r="L38" s="7"/>
      <c r="M38" s="7"/>
      <c r="N38" s="7"/>
      <c r="O38" s="85"/>
      <c r="P38" s="85"/>
      <c r="Q38" s="86"/>
      <c r="R38" s="84"/>
      <c r="S38" s="7"/>
      <c r="T38" s="7"/>
    </row>
    <row r="39" spans="4:20" ht="12.75"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85"/>
      <c r="P39" s="85"/>
      <c r="Q39" s="86"/>
      <c r="R39" s="84"/>
      <c r="S39" s="7"/>
      <c r="T39" s="7"/>
    </row>
    <row r="40" spans="4:20" ht="12.75">
      <c r="D40" s="7"/>
      <c r="E40" s="7"/>
      <c r="F40" s="7"/>
      <c r="M40" s="7"/>
      <c r="N40" s="7"/>
      <c r="O40" s="7"/>
      <c r="P40" s="7"/>
      <c r="Q40" s="7"/>
      <c r="R40" s="7"/>
      <c r="S40" s="7"/>
      <c r="T40" s="7"/>
    </row>
    <row r="41" spans="4:20" ht="12.75">
      <c r="D41" s="7"/>
      <c r="E41" s="7"/>
      <c r="F41" s="7"/>
      <c r="Q41" s="7"/>
      <c r="R41" s="7"/>
      <c r="S41" s="7"/>
      <c r="T41" s="7"/>
    </row>
    <row r="42" spans="4:20" ht="12.75">
      <c r="D42" s="7"/>
      <c r="E42" s="7"/>
      <c r="F42" s="7"/>
      <c r="Q42" s="7"/>
      <c r="R42" s="7"/>
      <c r="S42" s="7"/>
      <c r="T42" s="7"/>
    </row>
    <row r="43" spans="4:20" ht="12.75">
      <c r="D43" s="7"/>
      <c r="E43" s="7"/>
      <c r="F43" s="7"/>
      <c r="Q43" s="7"/>
      <c r="R43" s="7"/>
      <c r="S43" s="7"/>
      <c r="T43" s="7"/>
    </row>
    <row r="44" spans="4:20" ht="12.75">
      <c r="D44" s="7"/>
      <c r="E44" s="7"/>
      <c r="F44" s="7"/>
      <c r="Q44" s="7"/>
      <c r="R44" s="7"/>
      <c r="S44" s="7"/>
      <c r="T44" s="7"/>
    </row>
    <row r="45" spans="4:20" ht="12.75">
      <c r="D45" s="7"/>
      <c r="E45" s="7"/>
      <c r="F45" s="7"/>
      <c r="Q45" s="7"/>
      <c r="R45" s="7"/>
      <c r="S45" s="7"/>
      <c r="T45" s="7"/>
    </row>
    <row r="46" spans="17:20" ht="12.75">
      <c r="Q46" s="7"/>
      <c r="R46" s="7"/>
      <c r="S46" s="7"/>
      <c r="T46" s="7"/>
    </row>
    <row r="47" spans="17:20" ht="12.75">
      <c r="Q47" s="7"/>
      <c r="R47" s="7"/>
      <c r="S47" s="7"/>
      <c r="T47" s="7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9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AN45"/>
  <sheetViews>
    <sheetView zoomScale="75" zoomScaleNormal="75" workbookViewId="0" topLeftCell="A1">
      <selection activeCell="G16" sqref="G16"/>
    </sheetView>
  </sheetViews>
  <sheetFormatPr defaultColWidth="11.421875" defaultRowHeight="12.75"/>
  <cols>
    <col min="1" max="1" width="6.00390625" style="0" customWidth="1"/>
    <col min="2" max="2" width="4.140625" style="0" customWidth="1"/>
    <col min="3" max="3" width="4.8515625" style="0" customWidth="1"/>
    <col min="4" max="5" width="13.7109375" style="0" customWidth="1"/>
    <col min="6" max="6" width="40.7109375" style="0" customWidth="1"/>
    <col min="7" max="8" width="8.7109375" style="0" customWidth="1"/>
    <col min="9" max="9" width="13.140625" style="0" hidden="1" customWidth="1"/>
    <col min="10" max="11" width="15.7109375" style="0" customWidth="1"/>
    <col min="12" max="14" width="9.7109375" style="0" customWidth="1"/>
    <col min="15" max="15" width="7.7109375" style="0" customWidth="1"/>
    <col min="16" max="16" width="12.28125" style="0" hidden="1" customWidth="1"/>
    <col min="17" max="17" width="17.7109375" style="0" hidden="1" customWidth="1"/>
    <col min="18" max="18" width="11.421875" style="0" hidden="1" customWidth="1"/>
    <col min="19" max="19" width="13.140625" style="0" hidden="1" customWidth="1"/>
    <col min="20" max="20" width="11.7109375" style="0" hidden="1" customWidth="1"/>
    <col min="21" max="21" width="11.421875" style="0" hidden="1" customWidth="1"/>
    <col min="22" max="22" width="15.8515625" style="0" hidden="1" customWidth="1"/>
    <col min="23" max="23" width="12.57421875" style="0" hidden="1" customWidth="1"/>
    <col min="24" max="24" width="16.00390625" style="0" hidden="1" customWidth="1"/>
    <col min="25" max="25" width="14.7109375" style="0" hidden="1" customWidth="1"/>
    <col min="26" max="26" width="9.7109375" style="0" customWidth="1"/>
    <col min="27" max="27" width="15.7109375" style="0" customWidth="1"/>
    <col min="28" max="28" width="4.140625" style="0" customWidth="1"/>
  </cols>
  <sheetData>
    <row r="1" spans="5:40" s="33" customFormat="1" ht="26.25"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2:28" s="33" customFormat="1" ht="26.25">
      <c r="B2" s="402" t="str">
        <f>+'TOT-0410'!B2</f>
        <v>ANEXO I al Memorandum D.T.E.E.  N° 928 /2011  </v>
      </c>
      <c r="C2" s="36"/>
      <c r="D2" s="36"/>
      <c r="E2" s="36"/>
      <c r="F2" s="36"/>
      <c r="G2" s="111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112"/>
    </row>
    <row r="3" s="8" customFormat="1" ht="12.75">
      <c r="AB3" s="7"/>
    </row>
    <row r="4" spans="1:28" s="40" customFormat="1" ht="21.75" customHeight="1">
      <c r="A4" s="403" t="s">
        <v>67</v>
      </c>
      <c r="B4" s="113"/>
      <c r="C4" s="403"/>
      <c r="AB4" s="41"/>
    </row>
    <row r="5" spans="1:28" s="40" customFormat="1" ht="11.25">
      <c r="A5" s="403" t="s">
        <v>68</v>
      </c>
      <c r="B5" s="113"/>
      <c r="C5" s="113"/>
      <c r="AB5" s="41"/>
    </row>
    <row r="6" spans="1:28" s="8" customFormat="1" ht="17.25" customHeight="1" thickBot="1">
      <c r="A6" s="7"/>
      <c r="B6" s="7"/>
      <c r="AB6" s="7"/>
    </row>
    <row r="7" spans="1:28" s="8" customFormat="1" ht="13.5" thickTop="1">
      <c r="A7" s="7"/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9"/>
    </row>
    <row r="8" spans="1:28" s="44" customFormat="1" ht="20.25">
      <c r="A8" s="45"/>
      <c r="B8" s="100"/>
      <c r="C8" s="45"/>
      <c r="D8" s="45"/>
      <c r="E8" s="45"/>
      <c r="F8" s="17" t="s">
        <v>18</v>
      </c>
      <c r="G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101"/>
    </row>
    <row r="9" spans="1:28" s="8" customFormat="1" ht="12.75">
      <c r="A9" s="7"/>
      <c r="B9" s="66"/>
      <c r="C9" s="7"/>
      <c r="D9" s="7"/>
      <c r="E9" s="7"/>
      <c r="F9" s="97"/>
      <c r="G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9"/>
    </row>
    <row r="10" spans="1:28" s="44" customFormat="1" ht="20.25">
      <c r="A10" s="45"/>
      <c r="B10" s="100"/>
      <c r="C10" s="45"/>
      <c r="D10" s="45"/>
      <c r="E10" s="45"/>
      <c r="F10" s="17" t="s">
        <v>19</v>
      </c>
      <c r="G10" s="17"/>
      <c r="H10" s="45"/>
      <c r="I10" s="102"/>
      <c r="J10" s="102"/>
      <c r="K10" s="102"/>
      <c r="L10" s="102"/>
      <c r="M10" s="102"/>
      <c r="N10" s="102"/>
      <c r="O10" s="102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101"/>
    </row>
    <row r="11" spans="1:28" s="8" customFormat="1" ht="12.75">
      <c r="A11" s="7"/>
      <c r="B11" s="66"/>
      <c r="C11" s="7"/>
      <c r="D11" s="7"/>
      <c r="E11" s="7"/>
      <c r="F11" s="97"/>
      <c r="G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9"/>
    </row>
    <row r="12" spans="1:28" s="44" customFormat="1" ht="20.25">
      <c r="A12" s="45"/>
      <c r="B12" s="100"/>
      <c r="C12" s="45"/>
      <c r="D12" s="45"/>
      <c r="E12" s="45"/>
      <c r="F12" s="17" t="s">
        <v>20</v>
      </c>
      <c r="G12" s="17"/>
      <c r="H12" s="45"/>
      <c r="I12" s="102"/>
      <c r="J12" s="102"/>
      <c r="K12" s="102"/>
      <c r="L12" s="102"/>
      <c r="M12" s="102"/>
      <c r="N12" s="102"/>
      <c r="O12" s="102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101"/>
    </row>
    <row r="13" spans="1:28" s="8" customFormat="1" ht="12.75">
      <c r="A13" s="7"/>
      <c r="B13" s="66"/>
      <c r="C13" s="7"/>
      <c r="D13" s="7"/>
      <c r="E13" s="7"/>
      <c r="F13" s="98"/>
      <c r="G13" s="96"/>
      <c r="H13" s="7"/>
      <c r="I13" s="90"/>
      <c r="J13" s="90"/>
      <c r="K13" s="90"/>
      <c r="L13" s="90"/>
      <c r="M13" s="90"/>
      <c r="N13" s="90"/>
      <c r="O13" s="90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9"/>
    </row>
    <row r="14" spans="1:28" s="51" customFormat="1" ht="19.5">
      <c r="A14" s="58"/>
      <c r="B14" s="356" t="str">
        <f>'TOT-0410'!B14</f>
        <v>Desde el 01 al 30 de abril de 2010</v>
      </c>
      <c r="C14" s="56"/>
      <c r="D14" s="56"/>
      <c r="E14" s="56"/>
      <c r="F14" s="56"/>
      <c r="G14" s="108"/>
      <c r="H14" s="109"/>
      <c r="I14" s="110"/>
      <c r="J14" s="110"/>
      <c r="K14" s="110"/>
      <c r="L14" s="110"/>
      <c r="M14" s="110"/>
      <c r="N14" s="110"/>
      <c r="O14" s="110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7"/>
    </row>
    <row r="15" spans="1:28" s="8" customFormat="1" ht="13.5" thickBot="1">
      <c r="A15" s="7"/>
      <c r="B15" s="66"/>
      <c r="C15" s="7"/>
      <c r="D15" s="7"/>
      <c r="E15" s="7"/>
      <c r="F15" s="7"/>
      <c r="G15" s="7"/>
      <c r="H15" s="99"/>
      <c r="I15" s="90"/>
      <c r="J15" s="90"/>
      <c r="K15" s="90"/>
      <c r="L15" s="90"/>
      <c r="M15" s="90"/>
      <c r="N15" s="90"/>
      <c r="O15" s="90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9"/>
    </row>
    <row r="16" spans="1:28" s="8" customFormat="1" ht="14.25" thickBot="1" thickTop="1">
      <c r="A16" s="7"/>
      <c r="B16" s="66"/>
      <c r="C16" s="7"/>
      <c r="D16" s="7"/>
      <c r="E16" s="7"/>
      <c r="F16" s="103" t="s">
        <v>21</v>
      </c>
      <c r="G16" s="323">
        <v>104.731</v>
      </c>
      <c r="H16" s="213"/>
      <c r="I16" s="7"/>
      <c r="J16"/>
      <c r="K16" s="104" t="s">
        <v>22</v>
      </c>
      <c r="L16" s="105">
        <f>30*'TOT-0410'!B13</f>
        <v>30</v>
      </c>
      <c r="M16" s="196" t="str">
        <f>IF(L16=30," ",IF(L16=60,"Coeficiente duplicado por tasa de falla &gt;4 Sal. x año/100 km.","REVISAR COEFICIENTE"))</f>
        <v> 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9"/>
    </row>
    <row r="17" spans="1:28" s="8" customFormat="1" ht="14.25" thickBot="1" thickTop="1">
      <c r="A17" s="7"/>
      <c r="B17" s="66"/>
      <c r="C17" s="7"/>
      <c r="D17" s="7"/>
      <c r="E17" s="7"/>
      <c r="F17" s="7"/>
      <c r="G17" s="7"/>
      <c r="H17" s="7"/>
      <c r="I17" s="7"/>
      <c r="J17" s="92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9"/>
    </row>
    <row r="18" spans="1:28" s="8" customFormat="1" ht="33.75" customHeight="1" thickBot="1" thickTop="1">
      <c r="A18" s="7"/>
      <c r="B18" s="66"/>
      <c r="C18" s="114" t="s">
        <v>23</v>
      </c>
      <c r="D18" s="114" t="s">
        <v>66</v>
      </c>
      <c r="E18" s="114" t="s">
        <v>65</v>
      </c>
      <c r="F18" s="115" t="s">
        <v>2</v>
      </c>
      <c r="G18" s="116" t="s">
        <v>24</v>
      </c>
      <c r="H18" s="117" t="s">
        <v>25</v>
      </c>
      <c r="I18" s="200" t="s">
        <v>26</v>
      </c>
      <c r="J18" s="115" t="s">
        <v>27</v>
      </c>
      <c r="K18" s="115" t="s">
        <v>28</v>
      </c>
      <c r="L18" s="116" t="s">
        <v>29</v>
      </c>
      <c r="M18" s="116" t="s">
        <v>30</v>
      </c>
      <c r="N18" s="118" t="s">
        <v>31</v>
      </c>
      <c r="O18" s="116" t="s">
        <v>32</v>
      </c>
      <c r="P18" s="215" t="s">
        <v>33</v>
      </c>
      <c r="Q18" s="220" t="s">
        <v>34</v>
      </c>
      <c r="R18" s="225" t="s">
        <v>35</v>
      </c>
      <c r="S18" s="226"/>
      <c r="T18" s="227"/>
      <c r="U18" s="238" t="s">
        <v>36</v>
      </c>
      <c r="V18" s="239"/>
      <c r="W18" s="240"/>
      <c r="X18" s="253" t="s">
        <v>37</v>
      </c>
      <c r="Y18" s="258" t="s">
        <v>38</v>
      </c>
      <c r="Z18" s="119" t="s">
        <v>39</v>
      </c>
      <c r="AA18" s="211" t="s">
        <v>40</v>
      </c>
      <c r="AB18" s="9"/>
    </row>
    <row r="19" spans="1:28" s="8" customFormat="1" ht="15.75" thickTop="1">
      <c r="A19" s="7"/>
      <c r="B19" s="66"/>
      <c r="C19" s="332"/>
      <c r="D19" s="400"/>
      <c r="E19" s="400"/>
      <c r="F19" s="333"/>
      <c r="G19" s="340"/>
      <c r="H19" s="341"/>
      <c r="I19" s="214"/>
      <c r="J19" s="346"/>
      <c r="K19" s="346"/>
      <c r="L19" s="10"/>
      <c r="M19" s="10"/>
      <c r="N19" s="333"/>
      <c r="O19" s="336"/>
      <c r="P19" s="216"/>
      <c r="Q19" s="221"/>
      <c r="R19" s="228"/>
      <c r="S19" s="234"/>
      <c r="T19" s="235"/>
      <c r="U19" s="241"/>
      <c r="V19" s="245"/>
      <c r="W19" s="249"/>
      <c r="X19" s="254"/>
      <c r="Y19" s="259"/>
      <c r="Z19" s="352"/>
      <c r="AA19" s="212"/>
      <c r="AB19" s="9"/>
    </row>
    <row r="20" spans="1:28" s="8" customFormat="1" ht="15">
      <c r="A20" s="7"/>
      <c r="B20" s="66"/>
      <c r="C20" s="334"/>
      <c r="D20" s="335"/>
      <c r="E20" s="335"/>
      <c r="F20" s="335"/>
      <c r="G20" s="334"/>
      <c r="H20" s="334"/>
      <c r="I20" s="201"/>
      <c r="J20" s="334"/>
      <c r="K20" s="342"/>
      <c r="L20" s="11"/>
      <c r="M20" s="11"/>
      <c r="N20" s="335"/>
      <c r="O20" s="334"/>
      <c r="P20" s="217"/>
      <c r="Q20" s="222"/>
      <c r="R20" s="228"/>
      <c r="S20" s="234"/>
      <c r="T20" s="235"/>
      <c r="U20" s="242"/>
      <c r="V20" s="246"/>
      <c r="W20" s="250"/>
      <c r="X20" s="255"/>
      <c r="Y20" s="260"/>
      <c r="Z20" s="353"/>
      <c r="AA20" s="106"/>
      <c r="AB20" s="9"/>
    </row>
    <row r="21" spans="1:28" s="8" customFormat="1" ht="15">
      <c r="A21" s="7"/>
      <c r="B21" s="66"/>
      <c r="C21" s="336">
        <v>1</v>
      </c>
      <c r="D21" s="333">
        <v>220358</v>
      </c>
      <c r="E21" s="333">
        <v>275</v>
      </c>
      <c r="F21" s="337" t="s">
        <v>70</v>
      </c>
      <c r="G21" s="342">
        <v>132</v>
      </c>
      <c r="H21" s="343">
        <v>14.5</v>
      </c>
      <c r="I21" s="202">
        <f aca="true" t="shared" si="0" ref="I21:I40">$G$16/100*IF(H21&gt;25,H21,25)</f>
        <v>26.18275</v>
      </c>
      <c r="J21" s="347">
        <v>40272.375</v>
      </c>
      <c r="K21" s="347">
        <v>40272.584027777775</v>
      </c>
      <c r="L21" s="12">
        <f aca="true" t="shared" si="1" ref="L21:L40">IF(F21="","",(K21-J21)*24)</f>
        <v>5.0166666666045785</v>
      </c>
      <c r="M21" s="13">
        <f aca="true" t="shared" si="2" ref="M21:M40">IF(F21="","",ROUND((K21-J21)*24*60,0))</f>
        <v>301</v>
      </c>
      <c r="N21" s="349" t="s">
        <v>71</v>
      </c>
      <c r="O21" s="350" t="str">
        <f aca="true" t="shared" si="3" ref="O21:O40">IF(F21="","","--")</f>
        <v>--</v>
      </c>
      <c r="P21" s="218">
        <f aca="true" t="shared" si="4" ref="P21:P40">IF(N21="P",ROUND(M21/60,2)*I21*$L$16*0.01,"--")</f>
        <v>39.4312215</v>
      </c>
      <c r="Q21" s="223" t="str">
        <f aca="true" t="shared" si="5" ref="Q21:Q40">IF(N21="RP",I21*O21*ROUND(L21/60,2)*0.01*M21/100,"--")</f>
        <v>--</v>
      </c>
      <c r="R21" s="228" t="str">
        <f aca="true" t="shared" si="6" ref="R21:R40">IF(N21="F",I21*$L$16,"--")</f>
        <v>--</v>
      </c>
      <c r="S21" s="229" t="str">
        <f aca="true" t="shared" si="7" ref="S21:S40">IF(AND(M21&gt;10,N21="F"),I21*$L$16*IF(M21&gt;180,3,ROUND((M21)/60,2)),"--")</f>
        <v>--</v>
      </c>
      <c r="T21" s="230" t="str">
        <f aca="true" t="shared" si="8" ref="T21:T40">IF(AND(M21&gt;180,N21="F"),(ROUND(M21/60,2)-3)*I21*$L$16*0.1,"--")</f>
        <v>--</v>
      </c>
      <c r="U21" s="243" t="str">
        <f aca="true" t="shared" si="9" ref="U21:U40">IF(N21="R",I21*$L$16*O21/100,"--")</f>
        <v>--</v>
      </c>
      <c r="V21" s="247" t="str">
        <f aca="true" t="shared" si="10" ref="V21:V40">IF(AND(M21&gt;10,N21="R"),I21*$L$16*O21/100*IF(M21&gt;180,3,ROUND(M21/60,2)),"--")</f>
        <v>--</v>
      </c>
      <c r="W21" s="251" t="str">
        <f aca="true" t="shared" si="11" ref="W21:W40">IF(AND(M21&gt;180,N21="R"),(ROUND(M21/60,2)-3)*I21*$L$16*0.1*O21/100,"--")</f>
        <v>--</v>
      </c>
      <c r="X21" s="256" t="str">
        <f aca="true" t="shared" si="12" ref="X21:X40">IF(N21="RF",ROUND(M21/60,2)*I21*$L$16*0.1,"--")</f>
        <v>--</v>
      </c>
      <c r="Y21" s="261" t="str">
        <f aca="true" t="shared" si="13" ref="Y21:Y40">IF(N21="RR",ROUND(M21/60,2)*I21*$L$16*0.1*O21/100,"--")</f>
        <v>--</v>
      </c>
      <c r="Z21" s="354" t="s">
        <v>72</v>
      </c>
      <c r="AA21" s="29">
        <f aca="true" t="shared" si="14" ref="AA21:AA40">IF(F21="","",SUM(P21:Y21)*IF(Z21="SI",1,2))</f>
        <v>39.4312215</v>
      </c>
      <c r="AB21" s="321"/>
    </row>
    <row r="22" spans="1:28" s="8" customFormat="1" ht="15">
      <c r="A22" s="7"/>
      <c r="B22" s="66"/>
      <c r="C22" s="336">
        <v>2</v>
      </c>
      <c r="D22" s="333">
        <v>220441</v>
      </c>
      <c r="E22" s="333">
        <v>4226</v>
      </c>
      <c r="F22" s="337" t="s">
        <v>73</v>
      </c>
      <c r="G22" s="342">
        <v>132</v>
      </c>
      <c r="H22" s="343">
        <v>103</v>
      </c>
      <c r="I22" s="202">
        <f t="shared" si="0"/>
        <v>107.87293</v>
      </c>
      <c r="J22" s="347">
        <v>40273.379166666666</v>
      </c>
      <c r="K22" s="347">
        <v>40273.381944444445</v>
      </c>
      <c r="L22" s="12">
        <f t="shared" si="1"/>
        <v>0.06666666670935228</v>
      </c>
      <c r="M22" s="13">
        <f t="shared" si="2"/>
        <v>4</v>
      </c>
      <c r="N22" s="349" t="s">
        <v>74</v>
      </c>
      <c r="O22" s="350" t="str">
        <f t="shared" si="3"/>
        <v>--</v>
      </c>
      <c r="P22" s="218" t="str">
        <f t="shared" si="4"/>
        <v>--</v>
      </c>
      <c r="Q22" s="223" t="str">
        <f t="shared" si="5"/>
        <v>--</v>
      </c>
      <c r="R22" s="228">
        <f t="shared" si="6"/>
        <v>3236.1879</v>
      </c>
      <c r="S22" s="229" t="str">
        <f t="shared" si="7"/>
        <v>--</v>
      </c>
      <c r="T22" s="230" t="str">
        <f t="shared" si="8"/>
        <v>--</v>
      </c>
      <c r="U22" s="243" t="str">
        <f t="shared" si="9"/>
        <v>--</v>
      </c>
      <c r="V22" s="247" t="str">
        <f t="shared" si="10"/>
        <v>--</v>
      </c>
      <c r="W22" s="251" t="str">
        <f t="shared" si="11"/>
        <v>--</v>
      </c>
      <c r="X22" s="256" t="str">
        <f t="shared" si="12"/>
        <v>--</v>
      </c>
      <c r="Y22" s="261" t="str">
        <f t="shared" si="13"/>
        <v>--</v>
      </c>
      <c r="Z22" s="354" t="s">
        <v>72</v>
      </c>
      <c r="AA22" s="29">
        <f t="shared" si="14"/>
        <v>3236.1879</v>
      </c>
      <c r="AB22" s="321"/>
    </row>
    <row r="23" spans="1:28" s="8" customFormat="1" ht="15">
      <c r="A23" s="7"/>
      <c r="B23" s="66"/>
      <c r="C23" s="336">
        <v>3</v>
      </c>
      <c r="D23" s="333">
        <v>220444</v>
      </c>
      <c r="E23" s="333">
        <v>4764</v>
      </c>
      <c r="F23" s="337" t="s">
        <v>127</v>
      </c>
      <c r="G23" s="342">
        <v>132</v>
      </c>
      <c r="H23" s="343">
        <v>133.5</v>
      </c>
      <c r="I23" s="202">
        <f t="shared" si="0"/>
        <v>139.815885</v>
      </c>
      <c r="J23" s="347">
        <v>40276.395833333336</v>
      </c>
      <c r="K23" s="347">
        <v>40276.740277777775</v>
      </c>
      <c r="L23" s="12">
        <f t="shared" si="1"/>
        <v>8.26666666654637</v>
      </c>
      <c r="M23" s="13">
        <f t="shared" si="2"/>
        <v>496</v>
      </c>
      <c r="N23" s="349" t="s">
        <v>71</v>
      </c>
      <c r="O23" s="350" t="str">
        <f t="shared" si="3"/>
        <v>--</v>
      </c>
      <c r="P23" s="218">
        <f t="shared" si="4"/>
        <v>346.883210685</v>
      </c>
      <c r="Q23" s="223" t="str">
        <f t="shared" si="5"/>
        <v>--</v>
      </c>
      <c r="R23" s="228" t="str">
        <f t="shared" si="6"/>
        <v>--</v>
      </c>
      <c r="S23" s="229" t="str">
        <f t="shared" si="7"/>
        <v>--</v>
      </c>
      <c r="T23" s="230" t="str">
        <f t="shared" si="8"/>
        <v>--</v>
      </c>
      <c r="U23" s="243" t="str">
        <f t="shared" si="9"/>
        <v>--</v>
      </c>
      <c r="V23" s="247" t="str">
        <f t="shared" si="10"/>
        <v>--</v>
      </c>
      <c r="W23" s="251" t="str">
        <f t="shared" si="11"/>
        <v>--</v>
      </c>
      <c r="X23" s="256" t="str">
        <f t="shared" si="12"/>
        <v>--</v>
      </c>
      <c r="Y23" s="261" t="str">
        <f t="shared" si="13"/>
        <v>--</v>
      </c>
      <c r="Z23" s="354" t="s">
        <v>72</v>
      </c>
      <c r="AA23" s="29">
        <f t="shared" si="14"/>
        <v>346.883210685</v>
      </c>
      <c r="AB23" s="321"/>
    </row>
    <row r="24" spans="1:28" s="8" customFormat="1" ht="15">
      <c r="A24" s="7"/>
      <c r="B24" s="66"/>
      <c r="C24" s="336">
        <v>4</v>
      </c>
      <c r="D24" s="333">
        <v>220442</v>
      </c>
      <c r="E24" s="333">
        <v>3565</v>
      </c>
      <c r="F24" s="337" t="s">
        <v>75</v>
      </c>
      <c r="G24" s="342">
        <v>132</v>
      </c>
      <c r="H24" s="343">
        <v>55</v>
      </c>
      <c r="I24" s="202">
        <f t="shared" si="0"/>
        <v>57.60205</v>
      </c>
      <c r="J24" s="347">
        <v>40277.07430555556</v>
      </c>
      <c r="K24" s="347">
        <v>40277.07708333333</v>
      </c>
      <c r="L24" s="12">
        <f t="shared" si="1"/>
        <v>0.0666666665347293</v>
      </c>
      <c r="M24" s="13">
        <f t="shared" si="2"/>
        <v>4</v>
      </c>
      <c r="N24" s="349" t="s">
        <v>74</v>
      </c>
      <c r="O24" s="350" t="str">
        <f t="shared" si="3"/>
        <v>--</v>
      </c>
      <c r="P24" s="218" t="str">
        <f t="shared" si="4"/>
        <v>--</v>
      </c>
      <c r="Q24" s="223" t="str">
        <f t="shared" si="5"/>
        <v>--</v>
      </c>
      <c r="R24" s="228">
        <f t="shared" si="6"/>
        <v>1728.0615</v>
      </c>
      <c r="S24" s="229" t="str">
        <f t="shared" si="7"/>
        <v>--</v>
      </c>
      <c r="T24" s="230" t="str">
        <f t="shared" si="8"/>
        <v>--</v>
      </c>
      <c r="U24" s="243" t="str">
        <f t="shared" si="9"/>
        <v>--</v>
      </c>
      <c r="V24" s="247" t="str">
        <f t="shared" si="10"/>
        <v>--</v>
      </c>
      <c r="W24" s="251" t="str">
        <f t="shared" si="11"/>
        <v>--</v>
      </c>
      <c r="X24" s="256" t="str">
        <f t="shared" si="12"/>
        <v>--</v>
      </c>
      <c r="Y24" s="261" t="str">
        <f t="shared" si="13"/>
        <v>--</v>
      </c>
      <c r="Z24" s="354" t="s">
        <v>72</v>
      </c>
      <c r="AA24" s="29">
        <f t="shared" si="14"/>
        <v>1728.0615</v>
      </c>
      <c r="AB24" s="321"/>
    </row>
    <row r="25" spans="1:28" s="8" customFormat="1" ht="15">
      <c r="A25" s="7"/>
      <c r="B25" s="66"/>
      <c r="C25" s="336">
        <v>5</v>
      </c>
      <c r="D25" s="333">
        <v>220445</v>
      </c>
      <c r="E25" s="333">
        <v>4902</v>
      </c>
      <c r="F25" s="337" t="s">
        <v>128</v>
      </c>
      <c r="G25" s="342">
        <v>132</v>
      </c>
      <c r="H25" s="343">
        <v>76</v>
      </c>
      <c r="I25" s="202">
        <f t="shared" si="0"/>
        <v>79.59555999999999</v>
      </c>
      <c r="J25" s="347">
        <v>40277.625</v>
      </c>
      <c r="K25" s="347">
        <v>40277.78958333333</v>
      </c>
      <c r="L25" s="12">
        <f t="shared" si="1"/>
        <v>3.949999999953434</v>
      </c>
      <c r="M25" s="13">
        <f t="shared" si="2"/>
        <v>237</v>
      </c>
      <c r="N25" s="349" t="s">
        <v>71</v>
      </c>
      <c r="O25" s="350" t="str">
        <f t="shared" si="3"/>
        <v>--</v>
      </c>
      <c r="P25" s="218">
        <f t="shared" si="4"/>
        <v>94.32073859999998</v>
      </c>
      <c r="Q25" s="223" t="str">
        <f t="shared" si="5"/>
        <v>--</v>
      </c>
      <c r="R25" s="228" t="str">
        <f t="shared" si="6"/>
        <v>--</v>
      </c>
      <c r="S25" s="229" t="str">
        <f t="shared" si="7"/>
        <v>--</v>
      </c>
      <c r="T25" s="230" t="str">
        <f t="shared" si="8"/>
        <v>--</v>
      </c>
      <c r="U25" s="243" t="str">
        <f t="shared" si="9"/>
        <v>--</v>
      </c>
      <c r="V25" s="247" t="str">
        <f t="shared" si="10"/>
        <v>--</v>
      </c>
      <c r="W25" s="251" t="str">
        <f t="shared" si="11"/>
        <v>--</v>
      </c>
      <c r="X25" s="256" t="str">
        <f t="shared" si="12"/>
        <v>--</v>
      </c>
      <c r="Y25" s="261" t="str">
        <f t="shared" si="13"/>
        <v>--</v>
      </c>
      <c r="Z25" s="354" t="s">
        <v>72</v>
      </c>
      <c r="AA25" s="29">
        <f t="shared" si="14"/>
        <v>94.32073859999998</v>
      </c>
      <c r="AB25" s="321"/>
    </row>
    <row r="26" spans="1:28" s="8" customFormat="1" ht="15">
      <c r="A26" s="7"/>
      <c r="B26" s="66"/>
      <c r="C26" s="336">
        <v>6</v>
      </c>
      <c r="D26" s="333">
        <v>220443</v>
      </c>
      <c r="E26" s="333">
        <v>3565</v>
      </c>
      <c r="F26" s="337" t="s">
        <v>75</v>
      </c>
      <c r="G26" s="342">
        <v>132</v>
      </c>
      <c r="H26" s="343">
        <v>55</v>
      </c>
      <c r="I26" s="202">
        <f t="shared" si="0"/>
        <v>57.60205</v>
      </c>
      <c r="J26" s="347">
        <v>40279.05347222222</v>
      </c>
      <c r="K26" s="347">
        <v>40279.05763888889</v>
      </c>
      <c r="L26" s="12">
        <f t="shared" si="1"/>
        <v>0.09999999997671694</v>
      </c>
      <c r="M26" s="13">
        <f t="shared" si="2"/>
        <v>6</v>
      </c>
      <c r="N26" s="349" t="s">
        <v>74</v>
      </c>
      <c r="O26" s="350" t="str">
        <f t="shared" si="3"/>
        <v>--</v>
      </c>
      <c r="P26" s="218" t="str">
        <f t="shared" si="4"/>
        <v>--</v>
      </c>
      <c r="Q26" s="223" t="str">
        <f t="shared" si="5"/>
        <v>--</v>
      </c>
      <c r="R26" s="228">
        <f t="shared" si="6"/>
        <v>1728.0615</v>
      </c>
      <c r="S26" s="229" t="str">
        <f t="shared" si="7"/>
        <v>--</v>
      </c>
      <c r="T26" s="230" t="str">
        <f t="shared" si="8"/>
        <v>--</v>
      </c>
      <c r="U26" s="243" t="str">
        <f t="shared" si="9"/>
        <v>--</v>
      </c>
      <c r="V26" s="247" t="str">
        <f t="shared" si="10"/>
        <v>--</v>
      </c>
      <c r="W26" s="251" t="str">
        <f t="shared" si="11"/>
        <v>--</v>
      </c>
      <c r="X26" s="256" t="str">
        <f t="shared" si="12"/>
        <v>--</v>
      </c>
      <c r="Y26" s="261" t="str">
        <f t="shared" si="13"/>
        <v>--</v>
      </c>
      <c r="Z26" s="354" t="s">
        <v>72</v>
      </c>
      <c r="AA26" s="29">
        <f t="shared" si="14"/>
        <v>1728.0615</v>
      </c>
      <c r="AB26" s="321"/>
    </row>
    <row r="27" spans="1:28" s="8" customFormat="1" ht="15">
      <c r="A27" s="7"/>
      <c r="B27" s="66"/>
      <c r="C27" s="336">
        <v>7</v>
      </c>
      <c r="D27" s="333">
        <v>220646</v>
      </c>
      <c r="E27" s="333">
        <v>275</v>
      </c>
      <c r="F27" s="337" t="s">
        <v>70</v>
      </c>
      <c r="G27" s="342">
        <v>132</v>
      </c>
      <c r="H27" s="343">
        <v>14.5</v>
      </c>
      <c r="I27" s="202">
        <f t="shared" si="0"/>
        <v>26.18275</v>
      </c>
      <c r="J27" s="347">
        <v>40281.3125</v>
      </c>
      <c r="K27" s="347">
        <v>40281.65138888889</v>
      </c>
      <c r="L27" s="12">
        <f t="shared" si="1"/>
        <v>8.13333333330229</v>
      </c>
      <c r="M27" s="13">
        <f t="shared" si="2"/>
        <v>488</v>
      </c>
      <c r="N27" s="349" t="s">
        <v>71</v>
      </c>
      <c r="O27" s="350" t="str">
        <f t="shared" si="3"/>
        <v>--</v>
      </c>
      <c r="P27" s="218">
        <f t="shared" si="4"/>
        <v>63.85972725</v>
      </c>
      <c r="Q27" s="223" t="str">
        <f t="shared" si="5"/>
        <v>--</v>
      </c>
      <c r="R27" s="228" t="str">
        <f t="shared" si="6"/>
        <v>--</v>
      </c>
      <c r="S27" s="229" t="str">
        <f t="shared" si="7"/>
        <v>--</v>
      </c>
      <c r="T27" s="230" t="str">
        <f t="shared" si="8"/>
        <v>--</v>
      </c>
      <c r="U27" s="243" t="str">
        <f t="shared" si="9"/>
        <v>--</v>
      </c>
      <c r="V27" s="247" t="str">
        <f t="shared" si="10"/>
        <v>--</v>
      </c>
      <c r="W27" s="251" t="str">
        <f t="shared" si="11"/>
        <v>--</v>
      </c>
      <c r="X27" s="256" t="str">
        <f t="shared" si="12"/>
        <v>--</v>
      </c>
      <c r="Y27" s="261" t="str">
        <f t="shared" si="13"/>
        <v>--</v>
      </c>
      <c r="Z27" s="354" t="s">
        <v>72</v>
      </c>
      <c r="AA27" s="29">
        <f t="shared" si="14"/>
        <v>63.85972725</v>
      </c>
      <c r="AB27" s="321"/>
    </row>
    <row r="28" spans="1:28" s="8" customFormat="1" ht="15">
      <c r="A28" s="7"/>
      <c r="B28" s="66"/>
      <c r="C28" s="336">
        <v>8</v>
      </c>
      <c r="D28" s="333">
        <v>220635</v>
      </c>
      <c r="E28" s="333">
        <v>4543</v>
      </c>
      <c r="F28" s="337" t="s">
        <v>76</v>
      </c>
      <c r="G28" s="342">
        <v>132</v>
      </c>
      <c r="H28" s="343">
        <v>42</v>
      </c>
      <c r="I28" s="202">
        <f t="shared" si="0"/>
        <v>43.98702</v>
      </c>
      <c r="J28" s="347">
        <v>40281.51736111111</v>
      </c>
      <c r="K28" s="347">
        <v>40281.525</v>
      </c>
      <c r="L28" s="12">
        <f t="shared" si="1"/>
        <v>0.18333333340706304</v>
      </c>
      <c r="M28" s="13">
        <f t="shared" si="2"/>
        <v>11</v>
      </c>
      <c r="N28" s="349" t="s">
        <v>74</v>
      </c>
      <c r="O28" s="350" t="str">
        <f t="shared" si="3"/>
        <v>--</v>
      </c>
      <c r="P28" s="218" t="str">
        <f t="shared" si="4"/>
        <v>--</v>
      </c>
      <c r="Q28" s="223" t="str">
        <f t="shared" si="5"/>
        <v>--</v>
      </c>
      <c r="R28" s="228">
        <f t="shared" si="6"/>
        <v>1319.6106</v>
      </c>
      <c r="S28" s="229">
        <f t="shared" si="7"/>
        <v>237.52990799999998</v>
      </c>
      <c r="T28" s="230" t="str">
        <f t="shared" si="8"/>
        <v>--</v>
      </c>
      <c r="U28" s="243" t="str">
        <f t="shared" si="9"/>
        <v>--</v>
      </c>
      <c r="V28" s="247" t="str">
        <f t="shared" si="10"/>
        <v>--</v>
      </c>
      <c r="W28" s="251" t="str">
        <f t="shared" si="11"/>
        <v>--</v>
      </c>
      <c r="X28" s="256" t="str">
        <f t="shared" si="12"/>
        <v>--</v>
      </c>
      <c r="Y28" s="261" t="str">
        <f t="shared" si="13"/>
        <v>--</v>
      </c>
      <c r="Z28" s="354" t="s">
        <v>72</v>
      </c>
      <c r="AA28" s="29">
        <f t="shared" si="14"/>
        <v>1557.140508</v>
      </c>
      <c r="AB28" s="9"/>
    </row>
    <row r="29" spans="1:28" s="8" customFormat="1" ht="15">
      <c r="A29" s="7"/>
      <c r="B29" s="66"/>
      <c r="C29" s="336">
        <v>9</v>
      </c>
      <c r="D29" s="333">
        <v>220636</v>
      </c>
      <c r="E29" s="333">
        <v>3714</v>
      </c>
      <c r="F29" s="337" t="s">
        <v>77</v>
      </c>
      <c r="G29" s="342">
        <v>132</v>
      </c>
      <c r="H29" s="343">
        <v>27.600000381469727</v>
      </c>
      <c r="I29" s="202">
        <f t="shared" si="0"/>
        <v>28.90575639951706</v>
      </c>
      <c r="J29" s="347">
        <v>40281.51736111111</v>
      </c>
      <c r="K29" s="347">
        <v>40281.52638888889</v>
      </c>
      <c r="L29" s="12">
        <f t="shared" si="1"/>
        <v>0.2166666666744277</v>
      </c>
      <c r="M29" s="13">
        <f t="shared" si="2"/>
        <v>13</v>
      </c>
      <c r="N29" s="349" t="s">
        <v>74</v>
      </c>
      <c r="O29" s="350" t="str">
        <f t="shared" si="3"/>
        <v>--</v>
      </c>
      <c r="P29" s="218" t="str">
        <f t="shared" si="4"/>
        <v>--</v>
      </c>
      <c r="Q29" s="223" t="str">
        <f t="shared" si="5"/>
        <v>--</v>
      </c>
      <c r="R29" s="228">
        <f t="shared" si="6"/>
        <v>867.1726919855118</v>
      </c>
      <c r="S29" s="229">
        <f t="shared" si="7"/>
        <v>190.7779922368126</v>
      </c>
      <c r="T29" s="230" t="str">
        <f t="shared" si="8"/>
        <v>--</v>
      </c>
      <c r="U29" s="243" t="str">
        <f t="shared" si="9"/>
        <v>--</v>
      </c>
      <c r="V29" s="247" t="str">
        <f t="shared" si="10"/>
        <v>--</v>
      </c>
      <c r="W29" s="251" t="str">
        <f t="shared" si="11"/>
        <v>--</v>
      </c>
      <c r="X29" s="256" t="str">
        <f t="shared" si="12"/>
        <v>--</v>
      </c>
      <c r="Y29" s="261" t="str">
        <f t="shared" si="13"/>
        <v>--</v>
      </c>
      <c r="Z29" s="354" t="s">
        <v>72</v>
      </c>
      <c r="AA29" s="29">
        <f t="shared" si="14"/>
        <v>1057.9506842223245</v>
      </c>
      <c r="AB29" s="9"/>
    </row>
    <row r="30" spans="1:28" s="8" customFormat="1" ht="15">
      <c r="A30" s="7"/>
      <c r="B30" s="66"/>
      <c r="C30" s="336">
        <v>10</v>
      </c>
      <c r="D30" s="333">
        <v>220637</v>
      </c>
      <c r="E30" s="333">
        <v>299</v>
      </c>
      <c r="F30" s="337" t="s">
        <v>78</v>
      </c>
      <c r="G30" s="342">
        <v>132</v>
      </c>
      <c r="H30" s="343">
        <v>23.899999618530273</v>
      </c>
      <c r="I30" s="202">
        <f t="shared" si="0"/>
        <v>26.18275</v>
      </c>
      <c r="J30" s="347">
        <v>40281.51736111111</v>
      </c>
      <c r="K30" s="347">
        <v>40281.52777777778</v>
      </c>
      <c r="L30" s="12">
        <f t="shared" si="1"/>
        <v>0.2500000001164153</v>
      </c>
      <c r="M30" s="13">
        <f t="shared" si="2"/>
        <v>15</v>
      </c>
      <c r="N30" s="349" t="s">
        <v>74</v>
      </c>
      <c r="O30" s="350" t="str">
        <f t="shared" si="3"/>
        <v>--</v>
      </c>
      <c r="P30" s="218" t="str">
        <f t="shared" si="4"/>
        <v>--</v>
      </c>
      <c r="Q30" s="223" t="str">
        <f t="shared" si="5"/>
        <v>--</v>
      </c>
      <c r="R30" s="228">
        <f t="shared" si="6"/>
        <v>785.4825</v>
      </c>
      <c r="S30" s="229">
        <f t="shared" si="7"/>
        <v>196.370625</v>
      </c>
      <c r="T30" s="230" t="str">
        <f t="shared" si="8"/>
        <v>--</v>
      </c>
      <c r="U30" s="243" t="str">
        <f t="shared" si="9"/>
        <v>--</v>
      </c>
      <c r="V30" s="247" t="str">
        <f t="shared" si="10"/>
        <v>--</v>
      </c>
      <c r="W30" s="251" t="str">
        <f t="shared" si="11"/>
        <v>--</v>
      </c>
      <c r="X30" s="256" t="str">
        <f t="shared" si="12"/>
        <v>--</v>
      </c>
      <c r="Y30" s="261" t="str">
        <f t="shared" si="13"/>
        <v>--</v>
      </c>
      <c r="Z30" s="354" t="s">
        <v>72</v>
      </c>
      <c r="AA30" s="29">
        <f t="shared" si="14"/>
        <v>981.853125</v>
      </c>
      <c r="AB30" s="9"/>
    </row>
    <row r="31" spans="1:28" s="8" customFormat="1" ht="15">
      <c r="A31" s="7"/>
      <c r="B31" s="66"/>
      <c r="C31" s="336">
        <v>11</v>
      </c>
      <c r="D31" s="333">
        <v>220638</v>
      </c>
      <c r="E31" s="333">
        <v>4634</v>
      </c>
      <c r="F31" s="337" t="s">
        <v>129</v>
      </c>
      <c r="G31" s="342">
        <v>132</v>
      </c>
      <c r="H31" s="343">
        <v>12.1</v>
      </c>
      <c r="I31" s="202">
        <f t="shared" si="0"/>
        <v>26.18275</v>
      </c>
      <c r="J31" s="347">
        <v>40281.51736111111</v>
      </c>
      <c r="K31" s="347">
        <v>40281.52222222222</v>
      </c>
      <c r="L31" s="12">
        <f t="shared" si="1"/>
        <v>0.11666666669771075</v>
      </c>
      <c r="M31" s="13">
        <f t="shared" si="2"/>
        <v>7</v>
      </c>
      <c r="N31" s="349" t="s">
        <v>74</v>
      </c>
      <c r="O31" s="350" t="str">
        <f t="shared" si="3"/>
        <v>--</v>
      </c>
      <c r="P31" s="218" t="str">
        <f t="shared" si="4"/>
        <v>--</v>
      </c>
      <c r="Q31" s="223" t="str">
        <f t="shared" si="5"/>
        <v>--</v>
      </c>
      <c r="R31" s="228">
        <f t="shared" si="6"/>
        <v>785.4825</v>
      </c>
      <c r="S31" s="229" t="str">
        <f t="shared" si="7"/>
        <v>--</v>
      </c>
      <c r="T31" s="230" t="str">
        <f t="shared" si="8"/>
        <v>--</v>
      </c>
      <c r="U31" s="243" t="str">
        <f t="shared" si="9"/>
        <v>--</v>
      </c>
      <c r="V31" s="247" t="str">
        <f t="shared" si="10"/>
        <v>--</v>
      </c>
      <c r="W31" s="251" t="str">
        <f t="shared" si="11"/>
        <v>--</v>
      </c>
      <c r="X31" s="256" t="str">
        <f t="shared" si="12"/>
        <v>--</v>
      </c>
      <c r="Y31" s="261" t="str">
        <f t="shared" si="13"/>
        <v>--</v>
      </c>
      <c r="Z31" s="354" t="s">
        <v>72</v>
      </c>
      <c r="AA31" s="29">
        <f t="shared" si="14"/>
        <v>785.4825</v>
      </c>
      <c r="AB31" s="9"/>
    </row>
    <row r="32" spans="1:28" s="8" customFormat="1" ht="15">
      <c r="A32" s="7"/>
      <c r="B32" s="66"/>
      <c r="C32" s="336">
        <v>12</v>
      </c>
      <c r="D32" s="333">
        <v>220639</v>
      </c>
      <c r="E32" s="333">
        <v>2623</v>
      </c>
      <c r="F32" s="337" t="s">
        <v>79</v>
      </c>
      <c r="G32" s="342">
        <v>132</v>
      </c>
      <c r="H32" s="343">
        <v>12.25</v>
      </c>
      <c r="I32" s="202">
        <f t="shared" si="0"/>
        <v>26.18275</v>
      </c>
      <c r="J32" s="347">
        <v>40281.51736111111</v>
      </c>
      <c r="K32" s="347">
        <v>40281.52847222222</v>
      </c>
      <c r="L32" s="12">
        <f t="shared" si="1"/>
        <v>0.26666666666278616</v>
      </c>
      <c r="M32" s="13">
        <f t="shared" si="2"/>
        <v>16</v>
      </c>
      <c r="N32" s="349" t="s">
        <v>74</v>
      </c>
      <c r="O32" s="350" t="str">
        <f t="shared" si="3"/>
        <v>--</v>
      </c>
      <c r="P32" s="218" t="str">
        <f t="shared" si="4"/>
        <v>--</v>
      </c>
      <c r="Q32" s="223" t="str">
        <f t="shared" si="5"/>
        <v>--</v>
      </c>
      <c r="R32" s="228">
        <f t="shared" si="6"/>
        <v>785.4825</v>
      </c>
      <c r="S32" s="229">
        <f t="shared" si="7"/>
        <v>212.080275</v>
      </c>
      <c r="T32" s="230" t="str">
        <f t="shared" si="8"/>
        <v>--</v>
      </c>
      <c r="U32" s="243" t="str">
        <f t="shared" si="9"/>
        <v>--</v>
      </c>
      <c r="V32" s="247" t="str">
        <f t="shared" si="10"/>
        <v>--</v>
      </c>
      <c r="W32" s="251" t="str">
        <f t="shared" si="11"/>
        <v>--</v>
      </c>
      <c r="X32" s="256" t="str">
        <f t="shared" si="12"/>
        <v>--</v>
      </c>
      <c r="Y32" s="261" t="str">
        <f t="shared" si="13"/>
        <v>--</v>
      </c>
      <c r="Z32" s="354" t="s">
        <v>72</v>
      </c>
      <c r="AA32" s="29">
        <f t="shared" si="14"/>
        <v>997.562775</v>
      </c>
      <c r="AB32" s="9"/>
    </row>
    <row r="33" spans="1:28" s="8" customFormat="1" ht="15">
      <c r="A33" s="7"/>
      <c r="B33" s="66"/>
      <c r="C33" s="336">
        <v>13</v>
      </c>
      <c r="D33" s="333">
        <v>220640</v>
      </c>
      <c r="E33" s="333">
        <v>2622</v>
      </c>
      <c r="F33" s="337" t="s">
        <v>80</v>
      </c>
      <c r="G33" s="342">
        <v>132</v>
      </c>
      <c r="H33" s="343">
        <v>4.25</v>
      </c>
      <c r="I33" s="202">
        <f t="shared" si="0"/>
        <v>26.18275</v>
      </c>
      <c r="J33" s="347">
        <v>40281.51736111111</v>
      </c>
      <c r="K33" s="347">
        <v>40281.52916666667</v>
      </c>
      <c r="L33" s="12">
        <f t="shared" si="1"/>
        <v>0.28333333338378</v>
      </c>
      <c r="M33" s="13">
        <f t="shared" si="2"/>
        <v>17</v>
      </c>
      <c r="N33" s="349" t="s">
        <v>74</v>
      </c>
      <c r="O33" s="350" t="str">
        <f t="shared" si="3"/>
        <v>--</v>
      </c>
      <c r="P33" s="218" t="str">
        <f t="shared" si="4"/>
        <v>--</v>
      </c>
      <c r="Q33" s="223" t="str">
        <f t="shared" si="5"/>
        <v>--</v>
      </c>
      <c r="R33" s="228">
        <f t="shared" si="6"/>
        <v>785.4825</v>
      </c>
      <c r="S33" s="229">
        <f t="shared" si="7"/>
        <v>219.9351</v>
      </c>
      <c r="T33" s="230" t="str">
        <f t="shared" si="8"/>
        <v>--</v>
      </c>
      <c r="U33" s="243" t="str">
        <f t="shared" si="9"/>
        <v>--</v>
      </c>
      <c r="V33" s="247" t="str">
        <f t="shared" si="10"/>
        <v>--</v>
      </c>
      <c r="W33" s="251" t="str">
        <f t="shared" si="11"/>
        <v>--</v>
      </c>
      <c r="X33" s="256" t="str">
        <f t="shared" si="12"/>
        <v>--</v>
      </c>
      <c r="Y33" s="261" t="str">
        <f t="shared" si="13"/>
        <v>--</v>
      </c>
      <c r="Z33" s="354" t="s">
        <v>72</v>
      </c>
      <c r="AA33" s="29">
        <f t="shared" si="14"/>
        <v>1005.4176</v>
      </c>
      <c r="AB33" s="9"/>
    </row>
    <row r="34" spans="1:28" s="8" customFormat="1" ht="15">
      <c r="A34" s="7"/>
      <c r="B34" s="66"/>
      <c r="C34" s="336">
        <v>14</v>
      </c>
      <c r="D34" s="333">
        <v>220641</v>
      </c>
      <c r="E34" s="333">
        <v>286</v>
      </c>
      <c r="F34" s="337" t="s">
        <v>81</v>
      </c>
      <c r="G34" s="342">
        <v>132</v>
      </c>
      <c r="H34" s="343">
        <v>17.100000381469727</v>
      </c>
      <c r="I34" s="202">
        <f t="shared" si="0"/>
        <v>26.18275</v>
      </c>
      <c r="J34" s="347">
        <v>40281.729166666664</v>
      </c>
      <c r="K34" s="347">
        <v>40281.763194444444</v>
      </c>
      <c r="L34" s="12">
        <f t="shared" si="1"/>
        <v>0.8166666667093523</v>
      </c>
      <c r="M34" s="13">
        <f t="shared" si="2"/>
        <v>49</v>
      </c>
      <c r="N34" s="349" t="s">
        <v>74</v>
      </c>
      <c r="O34" s="350" t="str">
        <f t="shared" si="3"/>
        <v>--</v>
      </c>
      <c r="P34" s="218" t="str">
        <f t="shared" si="4"/>
        <v>--</v>
      </c>
      <c r="Q34" s="223" t="str">
        <f t="shared" si="5"/>
        <v>--</v>
      </c>
      <c r="R34" s="228">
        <f t="shared" si="6"/>
        <v>785.4825</v>
      </c>
      <c r="S34" s="229">
        <f t="shared" si="7"/>
        <v>644.09565</v>
      </c>
      <c r="T34" s="230" t="str">
        <f t="shared" si="8"/>
        <v>--</v>
      </c>
      <c r="U34" s="243" t="str">
        <f t="shared" si="9"/>
        <v>--</v>
      </c>
      <c r="V34" s="247" t="str">
        <f t="shared" si="10"/>
        <v>--</v>
      </c>
      <c r="W34" s="251" t="str">
        <f t="shared" si="11"/>
        <v>--</v>
      </c>
      <c r="X34" s="256" t="str">
        <f t="shared" si="12"/>
        <v>--</v>
      </c>
      <c r="Y34" s="261" t="str">
        <f t="shared" si="13"/>
        <v>--</v>
      </c>
      <c r="Z34" s="354" t="s">
        <v>72</v>
      </c>
      <c r="AA34" s="29">
        <f t="shared" si="14"/>
        <v>1429.5781499999998</v>
      </c>
      <c r="AB34" s="9"/>
    </row>
    <row r="35" spans="1:28" s="8" customFormat="1" ht="15">
      <c r="A35" s="7"/>
      <c r="B35" s="66"/>
      <c r="C35" s="336">
        <v>15</v>
      </c>
      <c r="D35" s="333">
        <v>220642</v>
      </c>
      <c r="E35" s="333">
        <v>4570</v>
      </c>
      <c r="F35" s="337" t="s">
        <v>82</v>
      </c>
      <c r="G35" s="342">
        <v>132</v>
      </c>
      <c r="H35" s="343">
        <v>17.100000381469727</v>
      </c>
      <c r="I35" s="202">
        <f t="shared" si="0"/>
        <v>26.18275</v>
      </c>
      <c r="J35" s="347">
        <v>40281.729166666664</v>
      </c>
      <c r="K35" s="347">
        <v>40281.763194444444</v>
      </c>
      <c r="L35" s="12">
        <f t="shared" si="1"/>
        <v>0.8166666667093523</v>
      </c>
      <c r="M35" s="13">
        <f t="shared" si="2"/>
        <v>49</v>
      </c>
      <c r="N35" s="349" t="s">
        <v>74</v>
      </c>
      <c r="O35" s="350" t="str">
        <f t="shared" si="3"/>
        <v>--</v>
      </c>
      <c r="P35" s="218" t="str">
        <f t="shared" si="4"/>
        <v>--</v>
      </c>
      <c r="Q35" s="223" t="str">
        <f t="shared" si="5"/>
        <v>--</v>
      </c>
      <c r="R35" s="228">
        <f t="shared" si="6"/>
        <v>785.4825</v>
      </c>
      <c r="S35" s="229">
        <f t="shared" si="7"/>
        <v>644.09565</v>
      </c>
      <c r="T35" s="230" t="str">
        <f t="shared" si="8"/>
        <v>--</v>
      </c>
      <c r="U35" s="243" t="str">
        <f t="shared" si="9"/>
        <v>--</v>
      </c>
      <c r="V35" s="247" t="str">
        <f t="shared" si="10"/>
        <v>--</v>
      </c>
      <c r="W35" s="251" t="str">
        <f t="shared" si="11"/>
        <v>--</v>
      </c>
      <c r="X35" s="256" t="str">
        <f t="shared" si="12"/>
        <v>--</v>
      </c>
      <c r="Y35" s="261" t="str">
        <f t="shared" si="13"/>
        <v>--</v>
      </c>
      <c r="Z35" s="354" t="s">
        <v>72</v>
      </c>
      <c r="AA35" s="29">
        <f t="shared" si="14"/>
        <v>1429.5781499999998</v>
      </c>
      <c r="AB35" s="9"/>
    </row>
    <row r="36" spans="1:28" s="8" customFormat="1" ht="15">
      <c r="A36" s="7"/>
      <c r="B36" s="66"/>
      <c r="C36" s="336">
        <v>16</v>
      </c>
      <c r="D36" s="333">
        <v>220643</v>
      </c>
      <c r="E36" s="333">
        <v>287</v>
      </c>
      <c r="F36" s="337" t="s">
        <v>83</v>
      </c>
      <c r="G36" s="342">
        <v>132</v>
      </c>
      <c r="H36" s="343">
        <v>34.13999938964844</v>
      </c>
      <c r="I36" s="202">
        <f t="shared" si="0"/>
        <v>35.755162760772706</v>
      </c>
      <c r="J36" s="347">
        <v>40281.729166666664</v>
      </c>
      <c r="K36" s="347">
        <v>40281.76458333333</v>
      </c>
      <c r="L36" s="12">
        <f t="shared" si="1"/>
        <v>0.8499999999767169</v>
      </c>
      <c r="M36" s="13">
        <f t="shared" si="2"/>
        <v>51</v>
      </c>
      <c r="N36" s="349" t="s">
        <v>74</v>
      </c>
      <c r="O36" s="350" t="str">
        <f t="shared" si="3"/>
        <v>--</v>
      </c>
      <c r="P36" s="218" t="str">
        <f t="shared" si="4"/>
        <v>--</v>
      </c>
      <c r="Q36" s="223" t="str">
        <f t="shared" si="5"/>
        <v>--</v>
      </c>
      <c r="R36" s="228">
        <f t="shared" si="6"/>
        <v>1072.6548828231812</v>
      </c>
      <c r="S36" s="229">
        <f t="shared" si="7"/>
        <v>911.756650399704</v>
      </c>
      <c r="T36" s="230" t="str">
        <f t="shared" si="8"/>
        <v>--</v>
      </c>
      <c r="U36" s="243" t="str">
        <f t="shared" si="9"/>
        <v>--</v>
      </c>
      <c r="V36" s="247" t="str">
        <f t="shared" si="10"/>
        <v>--</v>
      </c>
      <c r="W36" s="251" t="str">
        <f t="shared" si="11"/>
        <v>--</v>
      </c>
      <c r="X36" s="256" t="str">
        <f t="shared" si="12"/>
        <v>--</v>
      </c>
      <c r="Y36" s="261" t="str">
        <f t="shared" si="13"/>
        <v>--</v>
      </c>
      <c r="Z36" s="354" t="s">
        <v>72</v>
      </c>
      <c r="AA36" s="29">
        <f t="shared" si="14"/>
        <v>1984.4115332228853</v>
      </c>
      <c r="AB36" s="9"/>
    </row>
    <row r="37" spans="1:28" s="8" customFormat="1" ht="15">
      <c r="A37" s="7"/>
      <c r="B37" s="66"/>
      <c r="C37" s="336">
        <v>17</v>
      </c>
      <c r="D37" s="333">
        <v>220647</v>
      </c>
      <c r="E37" s="333">
        <v>311</v>
      </c>
      <c r="F37" s="337" t="s">
        <v>84</v>
      </c>
      <c r="G37" s="342">
        <v>132</v>
      </c>
      <c r="H37" s="343">
        <v>21</v>
      </c>
      <c r="I37" s="202">
        <f t="shared" si="0"/>
        <v>26.18275</v>
      </c>
      <c r="J37" s="347">
        <v>40283.39513888889</v>
      </c>
      <c r="K37" s="347">
        <v>40283.70347222222</v>
      </c>
      <c r="L37" s="12">
        <f t="shared" si="1"/>
        <v>7.400000000023283</v>
      </c>
      <c r="M37" s="13">
        <f t="shared" si="2"/>
        <v>444</v>
      </c>
      <c r="N37" s="349" t="s">
        <v>71</v>
      </c>
      <c r="O37" s="350" t="str">
        <f t="shared" si="3"/>
        <v>--</v>
      </c>
      <c r="P37" s="218">
        <f t="shared" si="4"/>
        <v>58.125704999999996</v>
      </c>
      <c r="Q37" s="223" t="str">
        <f t="shared" si="5"/>
        <v>--</v>
      </c>
      <c r="R37" s="228" t="str">
        <f t="shared" si="6"/>
        <v>--</v>
      </c>
      <c r="S37" s="229" t="str">
        <f t="shared" si="7"/>
        <v>--</v>
      </c>
      <c r="T37" s="230" t="str">
        <f t="shared" si="8"/>
        <v>--</v>
      </c>
      <c r="U37" s="243" t="str">
        <f t="shared" si="9"/>
        <v>--</v>
      </c>
      <c r="V37" s="247" t="str">
        <f t="shared" si="10"/>
        <v>--</v>
      </c>
      <c r="W37" s="251" t="str">
        <f t="shared" si="11"/>
        <v>--</v>
      </c>
      <c r="X37" s="256" t="str">
        <f t="shared" si="12"/>
        <v>--</v>
      </c>
      <c r="Y37" s="261" t="str">
        <f t="shared" si="13"/>
        <v>--</v>
      </c>
      <c r="Z37" s="354" t="s">
        <v>72</v>
      </c>
      <c r="AA37" s="29">
        <f t="shared" si="14"/>
        <v>58.125704999999996</v>
      </c>
      <c r="AB37" s="9"/>
    </row>
    <row r="38" spans="1:28" s="8" customFormat="1" ht="15">
      <c r="A38" s="7"/>
      <c r="B38" s="66"/>
      <c r="C38" s="336">
        <v>18</v>
      </c>
      <c r="D38" s="333">
        <v>220648</v>
      </c>
      <c r="E38" s="333">
        <v>4558</v>
      </c>
      <c r="F38" s="337" t="s">
        <v>85</v>
      </c>
      <c r="G38" s="342">
        <v>132</v>
      </c>
      <c r="H38" s="343">
        <v>81</v>
      </c>
      <c r="I38" s="202">
        <f t="shared" si="0"/>
        <v>84.83211</v>
      </c>
      <c r="J38" s="347">
        <v>40283.59027777778</v>
      </c>
      <c r="K38" s="347">
        <v>40283.72083333333</v>
      </c>
      <c r="L38" s="12">
        <f t="shared" si="1"/>
        <v>3.1333333332440816</v>
      </c>
      <c r="M38" s="13">
        <f t="shared" si="2"/>
        <v>188</v>
      </c>
      <c r="N38" s="349" t="s">
        <v>71</v>
      </c>
      <c r="O38" s="350" t="str">
        <f t="shared" si="3"/>
        <v>--</v>
      </c>
      <c r="P38" s="218">
        <f t="shared" si="4"/>
        <v>79.65735129</v>
      </c>
      <c r="Q38" s="223" t="str">
        <f t="shared" si="5"/>
        <v>--</v>
      </c>
      <c r="R38" s="228" t="str">
        <f t="shared" si="6"/>
        <v>--</v>
      </c>
      <c r="S38" s="229" t="str">
        <f t="shared" si="7"/>
        <v>--</v>
      </c>
      <c r="T38" s="230" t="str">
        <f t="shared" si="8"/>
        <v>--</v>
      </c>
      <c r="U38" s="243" t="str">
        <f t="shared" si="9"/>
        <v>--</v>
      </c>
      <c r="V38" s="247" t="str">
        <f t="shared" si="10"/>
        <v>--</v>
      </c>
      <c r="W38" s="251" t="str">
        <f t="shared" si="11"/>
        <v>--</v>
      </c>
      <c r="X38" s="256" t="str">
        <f t="shared" si="12"/>
        <v>--</v>
      </c>
      <c r="Y38" s="261" t="str">
        <f t="shared" si="13"/>
        <v>--</v>
      </c>
      <c r="Z38" s="354" t="s">
        <v>72</v>
      </c>
      <c r="AA38" s="29">
        <f t="shared" si="14"/>
        <v>79.65735129</v>
      </c>
      <c r="AB38" s="9"/>
    </row>
    <row r="39" spans="1:28" s="8" customFormat="1" ht="15">
      <c r="A39" s="7"/>
      <c r="B39" s="66"/>
      <c r="C39" s="336">
        <v>19</v>
      </c>
      <c r="D39" s="333">
        <v>220659</v>
      </c>
      <c r="E39" s="333">
        <v>4895</v>
      </c>
      <c r="F39" s="337" t="s">
        <v>130</v>
      </c>
      <c r="G39" s="342">
        <v>132</v>
      </c>
      <c r="H39" s="343">
        <v>76</v>
      </c>
      <c r="I39" s="202">
        <f t="shared" si="0"/>
        <v>79.59555999999999</v>
      </c>
      <c r="J39" s="347">
        <v>40283.59027777778</v>
      </c>
      <c r="K39" s="347">
        <v>40283.72083333333</v>
      </c>
      <c r="L39" s="12">
        <f t="shared" si="1"/>
        <v>3.1333333332440816</v>
      </c>
      <c r="M39" s="13">
        <f t="shared" si="2"/>
        <v>188</v>
      </c>
      <c r="N39" s="349" t="s">
        <v>71</v>
      </c>
      <c r="O39" s="350" t="str">
        <f t="shared" si="3"/>
        <v>--</v>
      </c>
      <c r="P39" s="218">
        <f t="shared" si="4"/>
        <v>74.74023083999998</v>
      </c>
      <c r="Q39" s="223" t="str">
        <f t="shared" si="5"/>
        <v>--</v>
      </c>
      <c r="R39" s="228" t="str">
        <f t="shared" si="6"/>
        <v>--</v>
      </c>
      <c r="S39" s="229" t="str">
        <f t="shared" si="7"/>
        <v>--</v>
      </c>
      <c r="T39" s="230" t="str">
        <f t="shared" si="8"/>
        <v>--</v>
      </c>
      <c r="U39" s="243" t="str">
        <f t="shared" si="9"/>
        <v>--</v>
      </c>
      <c r="V39" s="247" t="str">
        <f t="shared" si="10"/>
        <v>--</v>
      </c>
      <c r="W39" s="251" t="str">
        <f t="shared" si="11"/>
        <v>--</v>
      </c>
      <c r="X39" s="256" t="str">
        <f t="shared" si="12"/>
        <v>--</v>
      </c>
      <c r="Y39" s="261" t="str">
        <f t="shared" si="13"/>
        <v>--</v>
      </c>
      <c r="Z39" s="354" t="s">
        <v>72</v>
      </c>
      <c r="AA39" s="29">
        <f t="shared" si="14"/>
        <v>74.74023083999998</v>
      </c>
      <c r="AB39" s="9"/>
    </row>
    <row r="40" spans="1:28" s="8" customFormat="1" ht="15">
      <c r="A40" s="7"/>
      <c r="B40" s="66"/>
      <c r="C40" s="336"/>
      <c r="D40" s="333"/>
      <c r="E40" s="333"/>
      <c r="F40" s="337"/>
      <c r="G40" s="342"/>
      <c r="H40" s="343"/>
      <c r="I40" s="202">
        <f t="shared" si="0"/>
        <v>26.18275</v>
      </c>
      <c r="J40" s="347"/>
      <c r="K40" s="347"/>
      <c r="L40" s="12">
        <f t="shared" si="1"/>
      </c>
      <c r="M40" s="13">
        <f t="shared" si="2"/>
      </c>
      <c r="N40" s="349"/>
      <c r="O40" s="350">
        <f t="shared" si="3"/>
      </c>
      <c r="P40" s="218" t="str">
        <f t="shared" si="4"/>
        <v>--</v>
      </c>
      <c r="Q40" s="223" t="str">
        <f t="shared" si="5"/>
        <v>--</v>
      </c>
      <c r="R40" s="228" t="str">
        <f t="shared" si="6"/>
        <v>--</v>
      </c>
      <c r="S40" s="229" t="str">
        <f t="shared" si="7"/>
        <v>--</v>
      </c>
      <c r="T40" s="230" t="str">
        <f t="shared" si="8"/>
        <v>--</v>
      </c>
      <c r="U40" s="243" t="str">
        <f t="shared" si="9"/>
        <v>--</v>
      </c>
      <c r="V40" s="247" t="str">
        <f t="shared" si="10"/>
        <v>--</v>
      </c>
      <c r="W40" s="251" t="str">
        <f t="shared" si="11"/>
        <v>--</v>
      </c>
      <c r="X40" s="256" t="str">
        <f t="shared" si="12"/>
        <v>--</v>
      </c>
      <c r="Y40" s="261" t="str">
        <f t="shared" si="13"/>
        <v>--</v>
      </c>
      <c r="Z40" s="354">
        <f>IF(F40="","","SI")</f>
      </c>
      <c r="AA40" s="29">
        <f t="shared" si="14"/>
      </c>
      <c r="AB40" s="9"/>
    </row>
    <row r="41" spans="1:28" s="8" customFormat="1" ht="15.75" thickBot="1">
      <c r="A41" s="7"/>
      <c r="B41" s="66"/>
      <c r="C41" s="338"/>
      <c r="D41" s="338"/>
      <c r="E41" s="338"/>
      <c r="F41" s="339"/>
      <c r="G41" s="344"/>
      <c r="H41" s="345"/>
      <c r="I41" s="203"/>
      <c r="J41" s="348"/>
      <c r="K41" s="348"/>
      <c r="L41" s="14"/>
      <c r="M41" s="14"/>
      <c r="N41" s="348"/>
      <c r="O41" s="351"/>
      <c r="P41" s="219"/>
      <c r="Q41" s="224"/>
      <c r="R41" s="231"/>
      <c r="S41" s="232"/>
      <c r="T41" s="233"/>
      <c r="U41" s="244"/>
      <c r="V41" s="248"/>
      <c r="W41" s="252"/>
      <c r="X41" s="257"/>
      <c r="Y41" s="262"/>
      <c r="Z41" s="355"/>
      <c r="AA41" s="107"/>
      <c r="AB41" s="9"/>
    </row>
    <row r="42" spans="1:28" s="8" customFormat="1" ht="17.25" thickBot="1" thickTop="1">
      <c r="A42" s="7"/>
      <c r="B42" s="66"/>
      <c r="C42" s="188" t="s">
        <v>41</v>
      </c>
      <c r="D42" s="437" t="s">
        <v>144</v>
      </c>
      <c r="E42" s="190"/>
      <c r="F42" s="189"/>
      <c r="G42" s="7"/>
      <c r="H42" s="7"/>
      <c r="I42" s="7"/>
      <c r="J42" s="7"/>
      <c r="K42" s="7"/>
      <c r="L42" s="7"/>
      <c r="M42" s="7"/>
      <c r="N42" s="7"/>
      <c r="O42" s="7"/>
      <c r="P42" s="236">
        <f aca="true" t="shared" si="15" ref="P42:Y42">SUM(P19:P41)</f>
        <v>757.018185165</v>
      </c>
      <c r="Q42" s="237">
        <f t="shared" si="15"/>
        <v>0</v>
      </c>
      <c r="R42" s="263">
        <f t="shared" si="15"/>
        <v>14664.644074808692</v>
      </c>
      <c r="S42" s="263">
        <f t="shared" si="15"/>
        <v>3256.6418506365167</v>
      </c>
      <c r="T42" s="263">
        <f t="shared" si="15"/>
        <v>0</v>
      </c>
      <c r="U42" s="264">
        <f t="shared" si="15"/>
        <v>0</v>
      </c>
      <c r="V42" s="264">
        <f t="shared" si="15"/>
        <v>0</v>
      </c>
      <c r="W42" s="264">
        <f t="shared" si="15"/>
        <v>0</v>
      </c>
      <c r="X42" s="265">
        <f t="shared" si="15"/>
        <v>0</v>
      </c>
      <c r="Y42" s="266">
        <f t="shared" si="15"/>
        <v>0</v>
      </c>
      <c r="Z42" s="7"/>
      <c r="AA42" s="199">
        <f>ROUND(SUM(AA19:AA41),2)</f>
        <v>18678.3</v>
      </c>
      <c r="AB42" s="9"/>
    </row>
    <row r="43" spans="1:28" s="194" customFormat="1" ht="13.5" thickTop="1">
      <c r="A43" s="192"/>
      <c r="B43" s="193"/>
      <c r="C43" s="190"/>
      <c r="D43" s="190"/>
      <c r="E43" s="190"/>
      <c r="F43" s="191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5"/>
    </row>
    <row r="44" spans="1:28" s="8" customFormat="1" ht="13.5" thickBot="1">
      <c r="A44" s="7"/>
      <c r="B44" s="93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5"/>
    </row>
    <row r="45" spans="1:2" ht="13.5" thickTop="1">
      <c r="A45" s="1"/>
      <c r="B45" s="1"/>
    </row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1" r:id="rId3"/>
  <headerFooter alignWithMargins="0">
    <oddFooter>&amp;L&amp;F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AN45"/>
  <sheetViews>
    <sheetView zoomScale="75" zoomScaleNormal="75" workbookViewId="0" topLeftCell="A1">
      <selection activeCell="H31" sqref="H31"/>
    </sheetView>
  </sheetViews>
  <sheetFormatPr defaultColWidth="11.421875" defaultRowHeight="12.75"/>
  <cols>
    <col min="1" max="1" width="6.00390625" style="0" customWidth="1"/>
    <col min="2" max="2" width="4.140625" style="0" customWidth="1"/>
    <col min="3" max="3" width="4.8515625" style="0" customWidth="1"/>
    <col min="4" max="5" width="13.7109375" style="0" customWidth="1"/>
    <col min="6" max="6" width="40.7109375" style="0" customWidth="1"/>
    <col min="7" max="8" width="8.7109375" style="0" customWidth="1"/>
    <col min="9" max="9" width="13.140625" style="0" hidden="1" customWidth="1"/>
    <col min="10" max="11" width="15.7109375" style="0" customWidth="1"/>
    <col min="12" max="14" width="9.7109375" style="0" customWidth="1"/>
    <col min="15" max="15" width="7.7109375" style="0" customWidth="1"/>
    <col min="16" max="16" width="12.28125" style="0" hidden="1" customWidth="1"/>
    <col min="17" max="17" width="17.7109375" style="0" hidden="1" customWidth="1"/>
    <col min="18" max="18" width="11.421875" style="0" hidden="1" customWidth="1"/>
    <col min="19" max="19" width="13.140625" style="0" hidden="1" customWidth="1"/>
    <col min="20" max="20" width="11.7109375" style="0" hidden="1" customWidth="1"/>
    <col min="21" max="21" width="11.421875" style="0" hidden="1" customWidth="1"/>
    <col min="22" max="22" width="15.8515625" style="0" hidden="1" customWidth="1"/>
    <col min="23" max="23" width="12.57421875" style="0" hidden="1" customWidth="1"/>
    <col min="24" max="24" width="16.00390625" style="0" hidden="1" customWidth="1"/>
    <col min="25" max="25" width="14.7109375" style="0" hidden="1" customWidth="1"/>
    <col min="26" max="26" width="9.7109375" style="0" customWidth="1"/>
    <col min="27" max="27" width="15.7109375" style="0" customWidth="1"/>
    <col min="28" max="28" width="4.140625" style="0" customWidth="1"/>
  </cols>
  <sheetData>
    <row r="1" spans="5:40" s="33" customFormat="1" ht="26.25"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2:28" s="33" customFormat="1" ht="26.25">
      <c r="B2" s="402" t="str">
        <f>+'TOT-0410'!B2</f>
        <v>ANEXO I al Memorandum D.T.E.E.  N° 928 /2011  </v>
      </c>
      <c r="C2" s="36"/>
      <c r="D2" s="36"/>
      <c r="E2" s="36"/>
      <c r="F2" s="36"/>
      <c r="G2" s="111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112"/>
    </row>
    <row r="3" s="8" customFormat="1" ht="18.75" customHeight="1">
      <c r="AB3" s="7"/>
    </row>
    <row r="4" spans="1:28" s="40" customFormat="1" ht="11.25">
      <c r="A4" s="403" t="s">
        <v>67</v>
      </c>
      <c r="B4" s="113"/>
      <c r="C4" s="403"/>
      <c r="AB4" s="41"/>
    </row>
    <row r="5" spans="1:28" s="40" customFormat="1" ht="11.25">
      <c r="A5" s="403" t="s">
        <v>68</v>
      </c>
      <c r="B5" s="113"/>
      <c r="C5" s="113"/>
      <c r="AB5" s="41"/>
    </row>
    <row r="6" spans="1:28" s="8" customFormat="1" ht="17.25" customHeight="1" thickBot="1">
      <c r="A6" s="7"/>
      <c r="B6" s="7"/>
      <c r="AB6" s="7"/>
    </row>
    <row r="7" spans="1:28" s="8" customFormat="1" ht="13.5" thickTop="1">
      <c r="A7" s="7"/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9"/>
    </row>
    <row r="8" spans="1:28" s="44" customFormat="1" ht="20.25">
      <c r="A8" s="45"/>
      <c r="B8" s="100"/>
      <c r="C8" s="45"/>
      <c r="D8" s="45"/>
      <c r="E8" s="45"/>
      <c r="F8" s="17" t="s">
        <v>18</v>
      </c>
      <c r="G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101"/>
    </row>
    <row r="9" spans="1:28" s="8" customFormat="1" ht="12.75">
      <c r="A9" s="7"/>
      <c r="B9" s="66"/>
      <c r="C9" s="7"/>
      <c r="D9" s="7"/>
      <c r="E9" s="7"/>
      <c r="F9" s="97"/>
      <c r="G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9"/>
    </row>
    <row r="10" spans="1:28" s="44" customFormat="1" ht="20.25">
      <c r="A10" s="45"/>
      <c r="B10" s="100"/>
      <c r="C10" s="45"/>
      <c r="D10" s="45"/>
      <c r="E10" s="45"/>
      <c r="F10" s="17" t="s">
        <v>19</v>
      </c>
      <c r="G10" s="17"/>
      <c r="H10" s="45"/>
      <c r="I10" s="102"/>
      <c r="J10" s="102"/>
      <c r="K10" s="102"/>
      <c r="L10" s="102"/>
      <c r="M10" s="102"/>
      <c r="N10" s="102"/>
      <c r="O10" s="102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101"/>
    </row>
    <row r="11" spans="1:28" s="8" customFormat="1" ht="12.75">
      <c r="A11" s="7"/>
      <c r="B11" s="66"/>
      <c r="C11" s="7"/>
      <c r="D11" s="7"/>
      <c r="E11" s="7"/>
      <c r="F11" s="97"/>
      <c r="G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9"/>
    </row>
    <row r="12" spans="1:28" s="44" customFormat="1" ht="20.25">
      <c r="A12" s="45"/>
      <c r="B12" s="100"/>
      <c r="C12" s="45"/>
      <c r="D12" s="45"/>
      <c r="E12" s="45"/>
      <c r="F12" s="17" t="s">
        <v>20</v>
      </c>
      <c r="G12" s="17"/>
      <c r="H12" s="45"/>
      <c r="I12" s="102"/>
      <c r="J12" s="102"/>
      <c r="K12" s="102"/>
      <c r="L12" s="102"/>
      <c r="M12" s="102"/>
      <c r="N12" s="102"/>
      <c r="O12" s="102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101"/>
    </row>
    <row r="13" spans="1:28" s="8" customFormat="1" ht="12.75">
      <c r="A13" s="7"/>
      <c r="B13" s="66"/>
      <c r="C13" s="7"/>
      <c r="D13" s="7"/>
      <c r="E13" s="7"/>
      <c r="F13" s="98"/>
      <c r="G13" s="96"/>
      <c r="H13" s="7"/>
      <c r="I13" s="90"/>
      <c r="J13" s="90"/>
      <c r="K13" s="90"/>
      <c r="L13" s="90"/>
      <c r="M13" s="90"/>
      <c r="N13" s="90"/>
      <c r="O13" s="90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9"/>
    </row>
    <row r="14" spans="1:28" s="51" customFormat="1" ht="19.5">
      <c r="A14" s="58"/>
      <c r="B14" s="356" t="str">
        <f>'TOT-0410'!B14</f>
        <v>Desde el 01 al 30 de abril de 2010</v>
      </c>
      <c r="C14" s="56"/>
      <c r="D14" s="56"/>
      <c r="E14" s="56"/>
      <c r="F14" s="56"/>
      <c r="G14" s="108"/>
      <c r="H14" s="109"/>
      <c r="I14" s="110"/>
      <c r="J14" s="110"/>
      <c r="K14" s="110"/>
      <c r="L14" s="110"/>
      <c r="M14" s="110"/>
      <c r="N14" s="110"/>
      <c r="O14" s="110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7"/>
    </row>
    <row r="15" spans="1:28" s="8" customFormat="1" ht="13.5" thickBot="1">
      <c r="A15" s="7"/>
      <c r="B15" s="66"/>
      <c r="C15" s="7"/>
      <c r="D15" s="7"/>
      <c r="E15" s="7"/>
      <c r="F15" s="7"/>
      <c r="G15" s="7"/>
      <c r="H15" s="99"/>
      <c r="I15" s="90"/>
      <c r="J15" s="90"/>
      <c r="K15" s="90"/>
      <c r="L15" s="90"/>
      <c r="M15" s="90"/>
      <c r="N15" s="90"/>
      <c r="O15" s="90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9"/>
    </row>
    <row r="16" spans="1:28" s="8" customFormat="1" ht="14.25" thickBot="1" thickTop="1">
      <c r="A16" s="7"/>
      <c r="B16" s="66"/>
      <c r="C16" s="7"/>
      <c r="D16" s="7"/>
      <c r="E16" s="7"/>
      <c r="F16" s="103" t="s">
        <v>21</v>
      </c>
      <c r="G16" s="323">
        <v>104.731</v>
      </c>
      <c r="H16" s="213"/>
      <c r="I16" s="7"/>
      <c r="J16"/>
      <c r="K16" s="104" t="s">
        <v>22</v>
      </c>
      <c r="L16" s="105">
        <f>30*'TOT-0410'!B13</f>
        <v>30</v>
      </c>
      <c r="M16" s="196" t="str">
        <f>IF(L16=30," ",IF(L16=60,"Coeficiente duplicado por tasa de falla &gt;4 Sal. x año/100 km.","REVISAR COEFICIENTE"))</f>
        <v> 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9"/>
    </row>
    <row r="17" spans="1:28" s="8" customFormat="1" ht="14.25" thickBot="1" thickTop="1">
      <c r="A17" s="7"/>
      <c r="B17" s="66"/>
      <c r="C17" s="7"/>
      <c r="D17" s="7"/>
      <c r="E17" s="7"/>
      <c r="F17" s="7"/>
      <c r="G17" s="7"/>
      <c r="H17" s="7"/>
      <c r="I17" s="7"/>
      <c r="J17" s="92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9"/>
    </row>
    <row r="18" spans="1:28" s="8" customFormat="1" ht="33.75" customHeight="1" thickBot="1" thickTop="1">
      <c r="A18" s="7"/>
      <c r="B18" s="66"/>
      <c r="C18" s="114" t="s">
        <v>23</v>
      </c>
      <c r="D18" s="114" t="s">
        <v>66</v>
      </c>
      <c r="E18" s="114" t="s">
        <v>65</v>
      </c>
      <c r="F18" s="115" t="s">
        <v>2</v>
      </c>
      <c r="G18" s="116" t="s">
        <v>24</v>
      </c>
      <c r="H18" s="117" t="s">
        <v>25</v>
      </c>
      <c r="I18" s="200" t="s">
        <v>26</v>
      </c>
      <c r="J18" s="115" t="s">
        <v>27</v>
      </c>
      <c r="K18" s="115" t="s">
        <v>28</v>
      </c>
      <c r="L18" s="116" t="s">
        <v>29</v>
      </c>
      <c r="M18" s="116" t="s">
        <v>30</v>
      </c>
      <c r="N18" s="118" t="s">
        <v>31</v>
      </c>
      <c r="O18" s="116" t="s">
        <v>32</v>
      </c>
      <c r="P18" s="215" t="s">
        <v>33</v>
      </c>
      <c r="Q18" s="220" t="s">
        <v>34</v>
      </c>
      <c r="R18" s="225" t="s">
        <v>35</v>
      </c>
      <c r="S18" s="226"/>
      <c r="T18" s="227"/>
      <c r="U18" s="238" t="s">
        <v>36</v>
      </c>
      <c r="V18" s="239"/>
      <c r="W18" s="240"/>
      <c r="X18" s="253" t="s">
        <v>37</v>
      </c>
      <c r="Y18" s="258" t="s">
        <v>38</v>
      </c>
      <c r="Z18" s="119" t="s">
        <v>39</v>
      </c>
      <c r="AA18" s="211" t="s">
        <v>40</v>
      </c>
      <c r="AB18" s="9"/>
    </row>
    <row r="19" spans="1:28" s="8" customFormat="1" ht="15.75" thickTop="1">
      <c r="A19" s="7"/>
      <c r="B19" s="66"/>
      <c r="C19" s="332"/>
      <c r="D19" s="400"/>
      <c r="E19" s="400"/>
      <c r="F19" s="333"/>
      <c r="G19" s="340"/>
      <c r="H19" s="341"/>
      <c r="I19" s="214"/>
      <c r="J19" s="346"/>
      <c r="K19" s="346"/>
      <c r="L19" s="10"/>
      <c r="M19" s="10"/>
      <c r="N19" s="333"/>
      <c r="O19" s="336"/>
      <c r="P19" s="216"/>
      <c r="Q19" s="221"/>
      <c r="R19" s="228"/>
      <c r="S19" s="234"/>
      <c r="T19" s="235"/>
      <c r="U19" s="241"/>
      <c r="V19" s="245"/>
      <c r="W19" s="249"/>
      <c r="X19" s="254"/>
      <c r="Y19" s="404">
        <f>'LI-04 (1)'!Y42</f>
        <v>0</v>
      </c>
      <c r="Z19" s="352"/>
      <c r="AA19" s="212"/>
      <c r="AB19" s="9"/>
    </row>
    <row r="20" spans="1:28" s="8" customFormat="1" ht="15">
      <c r="A20" s="7"/>
      <c r="B20" s="66"/>
      <c r="C20" s="334"/>
      <c r="D20" s="335"/>
      <c r="E20" s="335"/>
      <c r="F20" s="335"/>
      <c r="G20" s="334"/>
      <c r="H20" s="334"/>
      <c r="I20" s="201"/>
      <c r="J20" s="334"/>
      <c r="K20" s="342"/>
      <c r="L20" s="11"/>
      <c r="M20" s="11"/>
      <c r="N20" s="335"/>
      <c r="O20" s="334"/>
      <c r="P20" s="217"/>
      <c r="Q20" s="222"/>
      <c r="R20" s="228"/>
      <c r="S20" s="234"/>
      <c r="T20" s="235"/>
      <c r="U20" s="242"/>
      <c r="V20" s="246"/>
      <c r="W20" s="250"/>
      <c r="X20" s="255"/>
      <c r="Y20" s="260"/>
      <c r="Z20" s="353"/>
      <c r="AA20" s="407">
        <f>'LI-04 (1)'!AA42</f>
        <v>18678.3</v>
      </c>
      <c r="AB20" s="9"/>
    </row>
    <row r="21" spans="1:28" s="8" customFormat="1" ht="15">
      <c r="A21" s="7"/>
      <c r="B21" s="66"/>
      <c r="C21" s="336">
        <v>20</v>
      </c>
      <c r="D21" s="333">
        <v>220644</v>
      </c>
      <c r="E21" s="333">
        <v>283</v>
      </c>
      <c r="F21" s="337" t="s">
        <v>86</v>
      </c>
      <c r="G21" s="342">
        <v>132</v>
      </c>
      <c r="H21" s="343">
        <v>91.19999694824219</v>
      </c>
      <c r="I21" s="202">
        <f aca="true" t="shared" si="0" ref="I21:I40">$G$16/100*IF(H21&gt;25,H21,25)</f>
        <v>95.51466880386353</v>
      </c>
      <c r="J21" s="347">
        <v>40284.316666666666</v>
      </c>
      <c r="K21" s="347">
        <v>40284.32638888889</v>
      </c>
      <c r="L21" s="12">
        <f aca="true" t="shared" si="1" ref="L21:L40">IF(F21="","",(K21-J21)*24)</f>
        <v>0.2333333333954215</v>
      </c>
      <c r="M21" s="13">
        <f aca="true" t="shared" si="2" ref="M21:M40">IF(F21="","",ROUND((K21-J21)*24*60,0))</f>
        <v>14</v>
      </c>
      <c r="N21" s="349" t="s">
        <v>74</v>
      </c>
      <c r="O21" s="350" t="str">
        <f aca="true" t="shared" si="3" ref="O21:O40">IF(F21="","","--")</f>
        <v>--</v>
      </c>
      <c r="P21" s="218" t="str">
        <f aca="true" t="shared" si="4" ref="P21:P40">IF(N21="P",ROUND(M21/60,2)*I21*$L$16*0.01,"--")</f>
        <v>--</v>
      </c>
      <c r="Q21" s="223" t="str">
        <f aca="true" t="shared" si="5" ref="Q21:Q40">IF(N21="RP",I21*O21*ROUND(L21/60,2)*0.01*M21/100,"--")</f>
        <v>--</v>
      </c>
      <c r="R21" s="228">
        <f aca="true" t="shared" si="6" ref="R21:R40">IF(N21="F",I21*$L$16,"--")</f>
        <v>2865.440064115906</v>
      </c>
      <c r="S21" s="229">
        <f aca="true" t="shared" si="7" ref="S21:S40">IF(AND(M21&gt;10,N21="F"),I21*$L$16*IF(M21&gt;180,3,ROUND((M21)/60,2)),"--")</f>
        <v>659.0512147466584</v>
      </c>
      <c r="T21" s="230" t="str">
        <f aca="true" t="shared" si="8" ref="T21:T40">IF(AND(M21&gt;180,N21="F"),(ROUND(M21/60,2)-3)*I21*$L$16*0.1,"--")</f>
        <v>--</v>
      </c>
      <c r="U21" s="243" t="str">
        <f aca="true" t="shared" si="9" ref="U21:U40">IF(N21="R",I21*$L$16*O21/100,"--")</f>
        <v>--</v>
      </c>
      <c r="V21" s="247" t="str">
        <f aca="true" t="shared" si="10" ref="V21:V40">IF(AND(M21&gt;10,N21="R"),I21*$L$16*O21/100*IF(M21&gt;180,3,ROUND(M21/60,2)),"--")</f>
        <v>--</v>
      </c>
      <c r="W21" s="251" t="str">
        <f aca="true" t="shared" si="11" ref="W21:W40">IF(AND(M21&gt;180,N21="R"),(ROUND(M21/60,2)-3)*I21*$L$16*0.1*O21/100,"--")</f>
        <v>--</v>
      </c>
      <c r="X21" s="256" t="str">
        <f aca="true" t="shared" si="12" ref="X21:X40">IF(N21="RF",ROUND(M21/60,2)*I21*$L$16*0.1,"--")</f>
        <v>--</v>
      </c>
      <c r="Y21" s="261" t="str">
        <f aca="true" t="shared" si="13" ref="Y21:Y40">IF(N21="RR",ROUND(M21/60,2)*I21*$L$16*0.1*O21/100,"--")</f>
        <v>--</v>
      </c>
      <c r="Z21" s="354" t="s">
        <v>72</v>
      </c>
      <c r="AA21" s="29">
        <f aca="true" t="shared" si="14" ref="AA21:AA40">IF(F21="","",SUM(P21:Y21)*IF(Z21="SI",1,2))</f>
        <v>3524.4912788625643</v>
      </c>
      <c r="AB21" s="321"/>
    </row>
    <row r="22" spans="1:28" s="8" customFormat="1" ht="15">
      <c r="A22" s="7"/>
      <c r="B22" s="66"/>
      <c r="C22" s="336">
        <v>21</v>
      </c>
      <c r="D22" s="333">
        <v>220645</v>
      </c>
      <c r="E22" s="333">
        <v>2905</v>
      </c>
      <c r="F22" s="337" t="s">
        <v>87</v>
      </c>
      <c r="G22" s="342">
        <v>132</v>
      </c>
      <c r="H22" s="343">
        <v>28.5</v>
      </c>
      <c r="I22" s="202">
        <f t="shared" si="0"/>
        <v>29.848335</v>
      </c>
      <c r="J22" s="347">
        <v>40284.316666666666</v>
      </c>
      <c r="K22" s="347">
        <v>40284.40347222222</v>
      </c>
      <c r="L22" s="12">
        <f t="shared" si="1"/>
        <v>2.083333333313931</v>
      </c>
      <c r="M22" s="13">
        <f t="shared" si="2"/>
        <v>125</v>
      </c>
      <c r="N22" s="349" t="s">
        <v>74</v>
      </c>
      <c r="O22" s="350" t="str">
        <f t="shared" si="3"/>
        <v>--</v>
      </c>
      <c r="P22" s="218" t="str">
        <f t="shared" si="4"/>
        <v>--</v>
      </c>
      <c r="Q22" s="223" t="str">
        <f t="shared" si="5"/>
        <v>--</v>
      </c>
      <c r="R22" s="228">
        <f t="shared" si="6"/>
        <v>895.4500499999999</v>
      </c>
      <c r="S22" s="229">
        <f t="shared" si="7"/>
        <v>1862.5361039999998</v>
      </c>
      <c r="T22" s="230" t="str">
        <f t="shared" si="8"/>
        <v>--</v>
      </c>
      <c r="U22" s="243" t="str">
        <f t="shared" si="9"/>
        <v>--</v>
      </c>
      <c r="V22" s="247" t="str">
        <f t="shared" si="10"/>
        <v>--</v>
      </c>
      <c r="W22" s="251" t="str">
        <f t="shared" si="11"/>
        <v>--</v>
      </c>
      <c r="X22" s="256" t="str">
        <f t="shared" si="12"/>
        <v>--</v>
      </c>
      <c r="Y22" s="261" t="str">
        <f t="shared" si="13"/>
        <v>--</v>
      </c>
      <c r="Z22" s="354" t="s">
        <v>72</v>
      </c>
      <c r="AA22" s="29">
        <f t="shared" si="14"/>
        <v>2757.9861539999997</v>
      </c>
      <c r="AB22" s="321"/>
    </row>
    <row r="23" spans="1:28" s="8" customFormat="1" ht="15">
      <c r="A23" s="7"/>
      <c r="B23" s="66"/>
      <c r="C23" s="336">
        <v>22</v>
      </c>
      <c r="D23" s="333">
        <v>220649</v>
      </c>
      <c r="E23" s="333">
        <v>311</v>
      </c>
      <c r="F23" s="337" t="s">
        <v>84</v>
      </c>
      <c r="G23" s="342">
        <v>132</v>
      </c>
      <c r="H23" s="343">
        <v>21</v>
      </c>
      <c r="I23" s="202">
        <f t="shared" si="0"/>
        <v>26.18275</v>
      </c>
      <c r="J23" s="347">
        <v>40284.40555555555</v>
      </c>
      <c r="K23" s="347">
        <v>40284.7</v>
      </c>
      <c r="L23" s="12">
        <f t="shared" si="1"/>
        <v>7.066666666651145</v>
      </c>
      <c r="M23" s="13">
        <f t="shared" si="2"/>
        <v>424</v>
      </c>
      <c r="N23" s="349" t="s">
        <v>71</v>
      </c>
      <c r="O23" s="350" t="str">
        <f t="shared" si="3"/>
        <v>--</v>
      </c>
      <c r="P23" s="218">
        <f t="shared" si="4"/>
        <v>55.53361275</v>
      </c>
      <c r="Q23" s="223" t="str">
        <f t="shared" si="5"/>
        <v>--</v>
      </c>
      <c r="R23" s="228" t="str">
        <f t="shared" si="6"/>
        <v>--</v>
      </c>
      <c r="S23" s="229" t="str">
        <f t="shared" si="7"/>
        <v>--</v>
      </c>
      <c r="T23" s="230" t="str">
        <f t="shared" si="8"/>
        <v>--</v>
      </c>
      <c r="U23" s="243" t="str">
        <f t="shared" si="9"/>
        <v>--</v>
      </c>
      <c r="V23" s="247" t="str">
        <f t="shared" si="10"/>
        <v>--</v>
      </c>
      <c r="W23" s="251" t="str">
        <f t="shared" si="11"/>
        <v>--</v>
      </c>
      <c r="X23" s="256" t="str">
        <f t="shared" si="12"/>
        <v>--</v>
      </c>
      <c r="Y23" s="261" t="str">
        <f t="shared" si="13"/>
        <v>--</v>
      </c>
      <c r="Z23" s="354" t="s">
        <v>72</v>
      </c>
      <c r="AA23" s="29">
        <f t="shared" si="14"/>
        <v>55.53361275</v>
      </c>
      <c r="AB23" s="321"/>
    </row>
    <row r="24" spans="1:28" s="8" customFormat="1" ht="15">
      <c r="A24" s="7"/>
      <c r="B24" s="66"/>
      <c r="C24" s="336">
        <v>23</v>
      </c>
      <c r="D24" s="333">
        <v>220976</v>
      </c>
      <c r="E24" s="333">
        <v>299</v>
      </c>
      <c r="F24" s="337" t="s">
        <v>78</v>
      </c>
      <c r="G24" s="342">
        <v>132</v>
      </c>
      <c r="H24" s="343">
        <v>23.899999618530273</v>
      </c>
      <c r="I24" s="202">
        <f t="shared" si="0"/>
        <v>26.18275</v>
      </c>
      <c r="J24" s="347">
        <v>40287.55902777778</v>
      </c>
      <c r="K24" s="347">
        <v>40287.5625</v>
      </c>
      <c r="L24" s="12">
        <f t="shared" si="1"/>
        <v>0.08333333325572312</v>
      </c>
      <c r="M24" s="13">
        <f t="shared" si="2"/>
        <v>5</v>
      </c>
      <c r="N24" s="349" t="s">
        <v>74</v>
      </c>
      <c r="O24" s="350" t="str">
        <f t="shared" si="3"/>
        <v>--</v>
      </c>
      <c r="P24" s="218" t="str">
        <f t="shared" si="4"/>
        <v>--</v>
      </c>
      <c r="Q24" s="223" t="str">
        <f t="shared" si="5"/>
        <v>--</v>
      </c>
      <c r="R24" s="228">
        <f t="shared" si="6"/>
        <v>785.4825</v>
      </c>
      <c r="S24" s="229" t="str">
        <f t="shared" si="7"/>
        <v>--</v>
      </c>
      <c r="T24" s="230" t="str">
        <f t="shared" si="8"/>
        <v>--</v>
      </c>
      <c r="U24" s="243" t="str">
        <f t="shared" si="9"/>
        <v>--</v>
      </c>
      <c r="V24" s="247" t="str">
        <f t="shared" si="10"/>
        <v>--</v>
      </c>
      <c r="W24" s="251" t="str">
        <f t="shared" si="11"/>
        <v>--</v>
      </c>
      <c r="X24" s="256" t="str">
        <f t="shared" si="12"/>
        <v>--</v>
      </c>
      <c r="Y24" s="261" t="str">
        <f t="shared" si="13"/>
        <v>--</v>
      </c>
      <c r="Z24" s="354" t="s">
        <v>72</v>
      </c>
      <c r="AA24" s="29">
        <f t="shared" si="14"/>
        <v>785.4825</v>
      </c>
      <c r="AB24" s="321"/>
    </row>
    <row r="25" spans="1:28" s="8" customFormat="1" ht="15">
      <c r="A25" s="7"/>
      <c r="B25" s="66"/>
      <c r="C25" s="336">
        <v>24</v>
      </c>
      <c r="D25" s="333">
        <v>220977</v>
      </c>
      <c r="E25" s="333">
        <v>2623</v>
      </c>
      <c r="F25" s="337" t="s">
        <v>79</v>
      </c>
      <c r="G25" s="342">
        <v>132</v>
      </c>
      <c r="H25" s="343">
        <v>12.25</v>
      </c>
      <c r="I25" s="202">
        <f t="shared" si="0"/>
        <v>26.18275</v>
      </c>
      <c r="J25" s="347">
        <v>40287.55902777778</v>
      </c>
      <c r="K25" s="347">
        <v>40287.5625</v>
      </c>
      <c r="L25" s="12">
        <f t="shared" si="1"/>
        <v>0.08333333325572312</v>
      </c>
      <c r="M25" s="13">
        <f t="shared" si="2"/>
        <v>5</v>
      </c>
      <c r="N25" s="349" t="s">
        <v>74</v>
      </c>
      <c r="O25" s="350" t="str">
        <f t="shared" si="3"/>
        <v>--</v>
      </c>
      <c r="P25" s="218" t="str">
        <f t="shared" si="4"/>
        <v>--</v>
      </c>
      <c r="Q25" s="223" t="str">
        <f t="shared" si="5"/>
        <v>--</v>
      </c>
      <c r="R25" s="228">
        <f t="shared" si="6"/>
        <v>785.4825</v>
      </c>
      <c r="S25" s="229" t="str">
        <f t="shared" si="7"/>
        <v>--</v>
      </c>
      <c r="T25" s="230" t="str">
        <f t="shared" si="8"/>
        <v>--</v>
      </c>
      <c r="U25" s="243" t="str">
        <f t="shared" si="9"/>
        <v>--</v>
      </c>
      <c r="V25" s="247" t="str">
        <f t="shared" si="10"/>
        <v>--</v>
      </c>
      <c r="W25" s="251" t="str">
        <f t="shared" si="11"/>
        <v>--</v>
      </c>
      <c r="X25" s="256" t="str">
        <f t="shared" si="12"/>
        <v>--</v>
      </c>
      <c r="Y25" s="261" t="str">
        <f t="shared" si="13"/>
        <v>--</v>
      </c>
      <c r="Z25" s="354" t="s">
        <v>72</v>
      </c>
      <c r="AA25" s="29">
        <f t="shared" si="14"/>
        <v>785.4825</v>
      </c>
      <c r="AB25" s="321"/>
    </row>
    <row r="26" spans="1:28" s="8" customFormat="1" ht="15">
      <c r="A26" s="7"/>
      <c r="B26" s="66"/>
      <c r="C26" s="336">
        <v>25</v>
      </c>
      <c r="D26" s="333">
        <v>220979</v>
      </c>
      <c r="E26" s="333">
        <v>3714</v>
      </c>
      <c r="F26" s="337" t="s">
        <v>77</v>
      </c>
      <c r="G26" s="342">
        <v>132</v>
      </c>
      <c r="H26" s="343">
        <v>27.600000381469727</v>
      </c>
      <c r="I26" s="202">
        <f t="shared" si="0"/>
        <v>28.90575639951706</v>
      </c>
      <c r="J26" s="347">
        <v>40287.55902777778</v>
      </c>
      <c r="K26" s="347">
        <v>40287.56458333333</v>
      </c>
      <c r="L26" s="12">
        <f t="shared" si="1"/>
        <v>0.1333333332440816</v>
      </c>
      <c r="M26" s="13">
        <f t="shared" si="2"/>
        <v>8</v>
      </c>
      <c r="N26" s="349" t="s">
        <v>74</v>
      </c>
      <c r="O26" s="350" t="str">
        <f t="shared" si="3"/>
        <v>--</v>
      </c>
      <c r="P26" s="218" t="str">
        <f t="shared" si="4"/>
        <v>--</v>
      </c>
      <c r="Q26" s="223" t="str">
        <f t="shared" si="5"/>
        <v>--</v>
      </c>
      <c r="R26" s="228">
        <f t="shared" si="6"/>
        <v>867.1726919855118</v>
      </c>
      <c r="S26" s="229" t="str">
        <f t="shared" si="7"/>
        <v>--</v>
      </c>
      <c r="T26" s="230" t="str">
        <f t="shared" si="8"/>
        <v>--</v>
      </c>
      <c r="U26" s="243" t="str">
        <f t="shared" si="9"/>
        <v>--</v>
      </c>
      <c r="V26" s="247" t="str">
        <f t="shared" si="10"/>
        <v>--</v>
      </c>
      <c r="W26" s="251" t="str">
        <f t="shared" si="11"/>
        <v>--</v>
      </c>
      <c r="X26" s="256" t="str">
        <f t="shared" si="12"/>
        <v>--</v>
      </c>
      <c r="Y26" s="261" t="str">
        <f t="shared" si="13"/>
        <v>--</v>
      </c>
      <c r="Z26" s="354" t="s">
        <v>72</v>
      </c>
      <c r="AA26" s="29">
        <f t="shared" si="14"/>
        <v>867.1726919855118</v>
      </c>
      <c r="AB26" s="321"/>
    </row>
    <row r="27" spans="1:28" s="8" customFormat="1" ht="15">
      <c r="A27" s="7"/>
      <c r="B27" s="66"/>
      <c r="C27" s="336">
        <v>26</v>
      </c>
      <c r="D27" s="333">
        <v>220980</v>
      </c>
      <c r="E27" s="333">
        <v>4543</v>
      </c>
      <c r="F27" s="337" t="s">
        <v>76</v>
      </c>
      <c r="G27" s="342">
        <v>132</v>
      </c>
      <c r="H27" s="343">
        <v>42</v>
      </c>
      <c r="I27" s="202">
        <f t="shared" si="0"/>
        <v>43.98702</v>
      </c>
      <c r="J27" s="347">
        <v>40287.55902777778</v>
      </c>
      <c r="K27" s="347">
        <v>40287.56458333333</v>
      </c>
      <c r="L27" s="12">
        <f t="shared" si="1"/>
        <v>0.1333333332440816</v>
      </c>
      <c r="M27" s="13">
        <f t="shared" si="2"/>
        <v>8</v>
      </c>
      <c r="N27" s="349" t="s">
        <v>74</v>
      </c>
      <c r="O27" s="350" t="str">
        <f t="shared" si="3"/>
        <v>--</v>
      </c>
      <c r="P27" s="218" t="str">
        <f t="shared" si="4"/>
        <v>--</v>
      </c>
      <c r="Q27" s="223" t="str">
        <f t="shared" si="5"/>
        <v>--</v>
      </c>
      <c r="R27" s="228">
        <f t="shared" si="6"/>
        <v>1319.6106</v>
      </c>
      <c r="S27" s="229" t="str">
        <f t="shared" si="7"/>
        <v>--</v>
      </c>
      <c r="T27" s="230" t="str">
        <f t="shared" si="8"/>
        <v>--</v>
      </c>
      <c r="U27" s="243" t="str">
        <f t="shared" si="9"/>
        <v>--</v>
      </c>
      <c r="V27" s="247" t="str">
        <f t="shared" si="10"/>
        <v>--</v>
      </c>
      <c r="W27" s="251" t="str">
        <f t="shared" si="11"/>
        <v>--</v>
      </c>
      <c r="X27" s="256" t="str">
        <f t="shared" si="12"/>
        <v>--</v>
      </c>
      <c r="Y27" s="261" t="str">
        <f t="shared" si="13"/>
        <v>--</v>
      </c>
      <c r="Z27" s="354" t="s">
        <v>72</v>
      </c>
      <c r="AA27" s="29">
        <f t="shared" si="14"/>
        <v>1319.6106</v>
      </c>
      <c r="AB27" s="321"/>
    </row>
    <row r="28" spans="1:28" s="8" customFormat="1" ht="15">
      <c r="A28" s="7"/>
      <c r="B28" s="66"/>
      <c r="C28" s="336">
        <v>27</v>
      </c>
      <c r="D28" s="333">
        <v>220982</v>
      </c>
      <c r="E28" s="333">
        <v>299</v>
      </c>
      <c r="F28" s="337" t="s">
        <v>78</v>
      </c>
      <c r="G28" s="342">
        <v>132</v>
      </c>
      <c r="H28" s="343">
        <v>23.899999618530273</v>
      </c>
      <c r="I28" s="202">
        <f t="shared" si="0"/>
        <v>26.18275</v>
      </c>
      <c r="J28" s="347">
        <v>40288.49722222222</v>
      </c>
      <c r="K28" s="347">
        <v>40288.615277777775</v>
      </c>
      <c r="L28" s="12">
        <f t="shared" si="1"/>
        <v>2.833333333313931</v>
      </c>
      <c r="M28" s="13">
        <f t="shared" si="2"/>
        <v>170</v>
      </c>
      <c r="N28" s="349" t="s">
        <v>71</v>
      </c>
      <c r="O28" s="350" t="str">
        <f t="shared" si="3"/>
        <v>--</v>
      </c>
      <c r="P28" s="218">
        <f t="shared" si="4"/>
        <v>22.229154750000003</v>
      </c>
      <c r="Q28" s="223" t="str">
        <f t="shared" si="5"/>
        <v>--</v>
      </c>
      <c r="R28" s="228" t="str">
        <f t="shared" si="6"/>
        <v>--</v>
      </c>
      <c r="S28" s="229" t="str">
        <f t="shared" si="7"/>
        <v>--</v>
      </c>
      <c r="T28" s="230" t="str">
        <f t="shared" si="8"/>
        <v>--</v>
      </c>
      <c r="U28" s="243" t="str">
        <f t="shared" si="9"/>
        <v>--</v>
      </c>
      <c r="V28" s="247" t="str">
        <f t="shared" si="10"/>
        <v>--</v>
      </c>
      <c r="W28" s="251" t="str">
        <f t="shared" si="11"/>
        <v>--</v>
      </c>
      <c r="X28" s="256" t="str">
        <f t="shared" si="12"/>
        <v>--</v>
      </c>
      <c r="Y28" s="261" t="str">
        <f t="shared" si="13"/>
        <v>--</v>
      </c>
      <c r="Z28" s="354" t="s">
        <v>72</v>
      </c>
      <c r="AA28" s="29">
        <f t="shared" si="14"/>
        <v>22.229154750000003</v>
      </c>
      <c r="AB28" s="9"/>
    </row>
    <row r="29" spans="1:28" s="8" customFormat="1" ht="15">
      <c r="A29" s="7"/>
      <c r="B29" s="66"/>
      <c r="C29" s="336">
        <v>28</v>
      </c>
      <c r="D29" s="333">
        <v>220983</v>
      </c>
      <c r="E29" s="333">
        <v>2623</v>
      </c>
      <c r="F29" s="337" t="s">
        <v>79</v>
      </c>
      <c r="G29" s="342">
        <v>132</v>
      </c>
      <c r="H29" s="343">
        <v>12.25</v>
      </c>
      <c r="I29" s="202">
        <f t="shared" si="0"/>
        <v>26.18275</v>
      </c>
      <c r="J29" s="347">
        <v>40289.436111111114</v>
      </c>
      <c r="K29" s="347">
        <v>40289.71944444445</v>
      </c>
      <c r="L29" s="12">
        <f t="shared" si="1"/>
        <v>6.7999999999883585</v>
      </c>
      <c r="M29" s="13">
        <f t="shared" si="2"/>
        <v>408</v>
      </c>
      <c r="N29" s="349" t="s">
        <v>71</v>
      </c>
      <c r="O29" s="350" t="str">
        <f t="shared" si="3"/>
        <v>--</v>
      </c>
      <c r="P29" s="218">
        <f t="shared" si="4"/>
        <v>53.41281</v>
      </c>
      <c r="Q29" s="223" t="str">
        <f t="shared" si="5"/>
        <v>--</v>
      </c>
      <c r="R29" s="228" t="str">
        <f t="shared" si="6"/>
        <v>--</v>
      </c>
      <c r="S29" s="229" t="str">
        <f t="shared" si="7"/>
        <v>--</v>
      </c>
      <c r="T29" s="230" t="str">
        <f t="shared" si="8"/>
        <v>--</v>
      </c>
      <c r="U29" s="243" t="str">
        <f t="shared" si="9"/>
        <v>--</v>
      </c>
      <c r="V29" s="247" t="str">
        <f t="shared" si="10"/>
        <v>--</v>
      </c>
      <c r="W29" s="251" t="str">
        <f t="shared" si="11"/>
        <v>--</v>
      </c>
      <c r="X29" s="256" t="str">
        <f t="shared" si="12"/>
        <v>--</v>
      </c>
      <c r="Y29" s="261" t="str">
        <f t="shared" si="13"/>
        <v>--</v>
      </c>
      <c r="Z29" s="354" t="s">
        <v>72</v>
      </c>
      <c r="AA29" s="29">
        <f t="shared" si="14"/>
        <v>53.41281</v>
      </c>
      <c r="AB29" s="9"/>
    </row>
    <row r="30" spans="1:28" s="8" customFormat="1" ht="15">
      <c r="A30" s="7"/>
      <c r="B30" s="66"/>
      <c r="C30" s="336">
        <v>29</v>
      </c>
      <c r="D30" s="333">
        <v>220981</v>
      </c>
      <c r="E30" s="333">
        <v>3565</v>
      </c>
      <c r="F30" s="337" t="s">
        <v>75</v>
      </c>
      <c r="G30" s="342">
        <v>132</v>
      </c>
      <c r="H30" s="343">
        <v>55</v>
      </c>
      <c r="I30" s="202">
        <f t="shared" si="0"/>
        <v>57.60205</v>
      </c>
      <c r="J30" s="347">
        <v>40291.05763888889</v>
      </c>
      <c r="K30" s="347">
        <v>40291.061111111114</v>
      </c>
      <c r="L30" s="12">
        <f t="shared" si="1"/>
        <v>0.0833333334303461</v>
      </c>
      <c r="M30" s="13">
        <f t="shared" si="2"/>
        <v>5</v>
      </c>
      <c r="N30" s="349" t="s">
        <v>74</v>
      </c>
      <c r="O30" s="350" t="str">
        <f t="shared" si="3"/>
        <v>--</v>
      </c>
      <c r="P30" s="218" t="str">
        <f t="shared" si="4"/>
        <v>--</v>
      </c>
      <c r="Q30" s="223" t="str">
        <f t="shared" si="5"/>
        <v>--</v>
      </c>
      <c r="R30" s="228">
        <f t="shared" si="6"/>
        <v>1728.0615</v>
      </c>
      <c r="S30" s="229" t="str">
        <f t="shared" si="7"/>
        <v>--</v>
      </c>
      <c r="T30" s="230" t="str">
        <f t="shared" si="8"/>
        <v>--</v>
      </c>
      <c r="U30" s="243" t="str">
        <f t="shared" si="9"/>
        <v>--</v>
      </c>
      <c r="V30" s="247" t="str">
        <f t="shared" si="10"/>
        <v>--</v>
      </c>
      <c r="W30" s="251" t="str">
        <f t="shared" si="11"/>
        <v>--</v>
      </c>
      <c r="X30" s="256" t="str">
        <f t="shared" si="12"/>
        <v>--</v>
      </c>
      <c r="Y30" s="261" t="str">
        <f t="shared" si="13"/>
        <v>--</v>
      </c>
      <c r="Z30" s="354" t="s">
        <v>72</v>
      </c>
      <c r="AA30" s="29">
        <f t="shared" si="14"/>
        <v>1728.0615</v>
      </c>
      <c r="AB30" s="9"/>
    </row>
    <row r="31" spans="1:28" s="8" customFormat="1" ht="15">
      <c r="A31" s="7"/>
      <c r="B31" s="66"/>
      <c r="C31" s="336">
        <v>30</v>
      </c>
      <c r="D31" s="333">
        <v>221304</v>
      </c>
      <c r="E31" s="333">
        <v>272</v>
      </c>
      <c r="F31" s="337" t="s">
        <v>88</v>
      </c>
      <c r="G31" s="342">
        <v>132</v>
      </c>
      <c r="H31" s="343">
        <v>27.600000381469727</v>
      </c>
      <c r="I31" s="202">
        <f t="shared" si="0"/>
        <v>28.90575639951706</v>
      </c>
      <c r="J31" s="347">
        <v>40294.54791666667</v>
      </c>
      <c r="K31" s="347">
        <v>40294.71041666667</v>
      </c>
      <c r="L31" s="12">
        <f t="shared" si="1"/>
        <v>3.8999999999650754</v>
      </c>
      <c r="M31" s="13">
        <f t="shared" si="2"/>
        <v>234</v>
      </c>
      <c r="N31" s="349" t="s">
        <v>71</v>
      </c>
      <c r="O31" s="350" t="str">
        <f t="shared" si="3"/>
        <v>--</v>
      </c>
      <c r="P31" s="218">
        <f t="shared" si="4"/>
        <v>33.819734987434956</v>
      </c>
      <c r="Q31" s="223" t="str">
        <f t="shared" si="5"/>
        <v>--</v>
      </c>
      <c r="R31" s="228" t="str">
        <f t="shared" si="6"/>
        <v>--</v>
      </c>
      <c r="S31" s="229" t="str">
        <f t="shared" si="7"/>
        <v>--</v>
      </c>
      <c r="T31" s="230" t="str">
        <f t="shared" si="8"/>
        <v>--</v>
      </c>
      <c r="U31" s="243" t="str">
        <f t="shared" si="9"/>
        <v>--</v>
      </c>
      <c r="V31" s="247" t="str">
        <f t="shared" si="10"/>
        <v>--</v>
      </c>
      <c r="W31" s="251" t="str">
        <f t="shared" si="11"/>
        <v>--</v>
      </c>
      <c r="X31" s="256" t="str">
        <f t="shared" si="12"/>
        <v>--</v>
      </c>
      <c r="Y31" s="261" t="str">
        <f t="shared" si="13"/>
        <v>--</v>
      </c>
      <c r="Z31" s="354" t="s">
        <v>72</v>
      </c>
      <c r="AA31" s="29">
        <f t="shared" si="14"/>
        <v>33.819734987434956</v>
      </c>
      <c r="AB31" s="9"/>
    </row>
    <row r="32" spans="1:28" s="8" customFormat="1" ht="15">
      <c r="A32" s="7"/>
      <c r="B32" s="66"/>
      <c r="C32" s="336">
        <v>31</v>
      </c>
      <c r="D32" s="333">
        <v>221305</v>
      </c>
      <c r="E32" s="333">
        <v>272</v>
      </c>
      <c r="F32" s="337" t="s">
        <v>88</v>
      </c>
      <c r="G32" s="342">
        <v>132</v>
      </c>
      <c r="H32" s="343">
        <v>27.600000381469727</v>
      </c>
      <c r="I32" s="202">
        <f t="shared" si="0"/>
        <v>28.90575639951706</v>
      </c>
      <c r="J32" s="347">
        <v>40295.33819444444</v>
      </c>
      <c r="K32" s="347">
        <v>40295.717361111114</v>
      </c>
      <c r="L32" s="12">
        <f t="shared" si="1"/>
        <v>9.10000000015134</v>
      </c>
      <c r="M32" s="13">
        <f t="shared" si="2"/>
        <v>546</v>
      </c>
      <c r="N32" s="349" t="s">
        <v>71</v>
      </c>
      <c r="O32" s="350" t="str">
        <f t="shared" si="3"/>
        <v>--</v>
      </c>
      <c r="P32" s="218">
        <f t="shared" si="4"/>
        <v>78.91271497068158</v>
      </c>
      <c r="Q32" s="223" t="str">
        <f t="shared" si="5"/>
        <v>--</v>
      </c>
      <c r="R32" s="228" t="str">
        <f t="shared" si="6"/>
        <v>--</v>
      </c>
      <c r="S32" s="229" t="str">
        <f t="shared" si="7"/>
        <v>--</v>
      </c>
      <c r="T32" s="230" t="str">
        <f t="shared" si="8"/>
        <v>--</v>
      </c>
      <c r="U32" s="243" t="str">
        <f t="shared" si="9"/>
        <v>--</v>
      </c>
      <c r="V32" s="247" t="str">
        <f t="shared" si="10"/>
        <v>--</v>
      </c>
      <c r="W32" s="251" t="str">
        <f t="shared" si="11"/>
        <v>--</v>
      </c>
      <c r="X32" s="256" t="str">
        <f t="shared" si="12"/>
        <v>--</v>
      </c>
      <c r="Y32" s="261" t="str">
        <f t="shared" si="13"/>
        <v>--</v>
      </c>
      <c r="Z32" s="354" t="s">
        <v>72</v>
      </c>
      <c r="AA32" s="29">
        <f t="shared" si="14"/>
        <v>78.91271497068158</v>
      </c>
      <c r="AB32" s="9"/>
    </row>
    <row r="33" spans="1:28" s="8" customFormat="1" ht="15">
      <c r="A33" s="7"/>
      <c r="B33" s="66"/>
      <c r="C33" s="336">
        <v>32</v>
      </c>
      <c r="D33" s="333">
        <v>221306</v>
      </c>
      <c r="E33" s="333">
        <v>4677</v>
      </c>
      <c r="F33" s="337" t="s">
        <v>89</v>
      </c>
      <c r="G33" s="342">
        <v>132</v>
      </c>
      <c r="H33" s="343">
        <v>36.099998474121094</v>
      </c>
      <c r="I33" s="202">
        <f t="shared" si="0"/>
        <v>37.80788940193176</v>
      </c>
      <c r="J33" s="347">
        <v>40295.37847222222</v>
      </c>
      <c r="K33" s="347">
        <v>40295.60902777778</v>
      </c>
      <c r="L33" s="12">
        <f t="shared" si="1"/>
        <v>5.53333333338378</v>
      </c>
      <c r="M33" s="13">
        <f t="shared" si="2"/>
        <v>332</v>
      </c>
      <c r="N33" s="349" t="s">
        <v>71</v>
      </c>
      <c r="O33" s="350" t="str">
        <f t="shared" si="3"/>
        <v>--</v>
      </c>
      <c r="P33" s="218">
        <f t="shared" si="4"/>
        <v>62.7232885178048</v>
      </c>
      <c r="Q33" s="223" t="str">
        <f t="shared" si="5"/>
        <v>--</v>
      </c>
      <c r="R33" s="228" t="str">
        <f t="shared" si="6"/>
        <v>--</v>
      </c>
      <c r="S33" s="229" t="str">
        <f t="shared" si="7"/>
        <v>--</v>
      </c>
      <c r="T33" s="230" t="str">
        <f t="shared" si="8"/>
        <v>--</v>
      </c>
      <c r="U33" s="243" t="str">
        <f t="shared" si="9"/>
        <v>--</v>
      </c>
      <c r="V33" s="247" t="str">
        <f t="shared" si="10"/>
        <v>--</v>
      </c>
      <c r="W33" s="251" t="str">
        <f t="shared" si="11"/>
        <v>--</v>
      </c>
      <c r="X33" s="256" t="str">
        <f t="shared" si="12"/>
        <v>--</v>
      </c>
      <c r="Y33" s="261" t="str">
        <f t="shared" si="13"/>
        <v>--</v>
      </c>
      <c r="Z33" s="354" t="s">
        <v>72</v>
      </c>
      <c r="AA33" s="29">
        <f t="shared" si="14"/>
        <v>62.7232885178048</v>
      </c>
      <c r="AB33" s="9"/>
    </row>
    <row r="34" spans="1:28" s="8" customFormat="1" ht="15">
      <c r="A34" s="7"/>
      <c r="B34" s="66"/>
      <c r="C34" s="336">
        <v>33</v>
      </c>
      <c r="D34" s="333">
        <v>221303</v>
      </c>
      <c r="E34" s="333">
        <v>3565</v>
      </c>
      <c r="F34" s="337" t="s">
        <v>75</v>
      </c>
      <c r="G34" s="342">
        <v>132</v>
      </c>
      <c r="H34" s="343">
        <v>55</v>
      </c>
      <c r="I34" s="202">
        <f t="shared" si="0"/>
        <v>57.60205</v>
      </c>
      <c r="J34" s="347">
        <v>40296.16458333333</v>
      </c>
      <c r="K34" s="347">
        <v>40296.16736111111</v>
      </c>
      <c r="L34" s="12">
        <f t="shared" si="1"/>
        <v>0.06666666670935228</v>
      </c>
      <c r="M34" s="13">
        <f t="shared" si="2"/>
        <v>4</v>
      </c>
      <c r="N34" s="349" t="s">
        <v>74</v>
      </c>
      <c r="O34" s="350" t="str">
        <f t="shared" si="3"/>
        <v>--</v>
      </c>
      <c r="P34" s="218" t="str">
        <f t="shared" si="4"/>
        <v>--</v>
      </c>
      <c r="Q34" s="223" t="str">
        <f t="shared" si="5"/>
        <v>--</v>
      </c>
      <c r="R34" s="228">
        <f t="shared" si="6"/>
        <v>1728.0615</v>
      </c>
      <c r="S34" s="229" t="str">
        <f t="shared" si="7"/>
        <v>--</v>
      </c>
      <c r="T34" s="230" t="str">
        <f t="shared" si="8"/>
        <v>--</v>
      </c>
      <c r="U34" s="243" t="str">
        <f t="shared" si="9"/>
        <v>--</v>
      </c>
      <c r="V34" s="247" t="str">
        <f t="shared" si="10"/>
        <v>--</v>
      </c>
      <c r="W34" s="251" t="str">
        <f t="shared" si="11"/>
        <v>--</v>
      </c>
      <c r="X34" s="256" t="str">
        <f t="shared" si="12"/>
        <v>--</v>
      </c>
      <c r="Y34" s="261" t="str">
        <f t="shared" si="13"/>
        <v>--</v>
      </c>
      <c r="Z34" s="354" t="s">
        <v>72</v>
      </c>
      <c r="AA34" s="29">
        <f t="shared" si="14"/>
        <v>1728.0615</v>
      </c>
      <c r="AB34" s="9"/>
    </row>
    <row r="35" spans="1:28" s="8" customFormat="1" ht="15">
      <c r="A35" s="7"/>
      <c r="B35" s="66"/>
      <c r="C35" s="336">
        <v>34</v>
      </c>
      <c r="D35" s="333">
        <v>221307</v>
      </c>
      <c r="E35" s="333">
        <v>272</v>
      </c>
      <c r="F35" s="337" t="s">
        <v>88</v>
      </c>
      <c r="G35" s="342">
        <v>132</v>
      </c>
      <c r="H35" s="343">
        <v>27.600000381469727</v>
      </c>
      <c r="I35" s="202">
        <f t="shared" si="0"/>
        <v>28.90575639951706</v>
      </c>
      <c r="J35" s="347">
        <v>40296.350694444445</v>
      </c>
      <c r="K35" s="347">
        <v>40296.72222222222</v>
      </c>
      <c r="L35" s="12">
        <f t="shared" si="1"/>
        <v>8.916666666569654</v>
      </c>
      <c r="M35" s="13">
        <f t="shared" si="2"/>
        <v>535</v>
      </c>
      <c r="N35" s="349" t="s">
        <v>71</v>
      </c>
      <c r="O35" s="350" t="str">
        <f t="shared" si="3"/>
        <v>--</v>
      </c>
      <c r="P35" s="218">
        <f t="shared" si="4"/>
        <v>77.35180412510766</v>
      </c>
      <c r="Q35" s="223" t="str">
        <f t="shared" si="5"/>
        <v>--</v>
      </c>
      <c r="R35" s="228" t="str">
        <f t="shared" si="6"/>
        <v>--</v>
      </c>
      <c r="S35" s="229" t="str">
        <f t="shared" si="7"/>
        <v>--</v>
      </c>
      <c r="T35" s="230" t="str">
        <f t="shared" si="8"/>
        <v>--</v>
      </c>
      <c r="U35" s="243" t="str">
        <f t="shared" si="9"/>
        <v>--</v>
      </c>
      <c r="V35" s="247" t="str">
        <f t="shared" si="10"/>
        <v>--</v>
      </c>
      <c r="W35" s="251" t="str">
        <f t="shared" si="11"/>
        <v>--</v>
      </c>
      <c r="X35" s="256" t="str">
        <f t="shared" si="12"/>
        <v>--</v>
      </c>
      <c r="Y35" s="261" t="str">
        <f t="shared" si="13"/>
        <v>--</v>
      </c>
      <c r="Z35" s="354" t="s">
        <v>72</v>
      </c>
      <c r="AA35" s="29">
        <f t="shared" si="14"/>
        <v>77.35180412510766</v>
      </c>
      <c r="AB35" s="9"/>
    </row>
    <row r="36" spans="1:28" s="8" customFormat="1" ht="15">
      <c r="A36" s="7"/>
      <c r="B36" s="66"/>
      <c r="C36" s="336">
        <v>35</v>
      </c>
      <c r="D36" s="333">
        <v>221308</v>
      </c>
      <c r="E36" s="333">
        <v>299</v>
      </c>
      <c r="F36" s="337" t="s">
        <v>78</v>
      </c>
      <c r="G36" s="342">
        <v>132</v>
      </c>
      <c r="H36" s="343">
        <v>23.899999618530273</v>
      </c>
      <c r="I36" s="202">
        <f t="shared" si="0"/>
        <v>26.18275</v>
      </c>
      <c r="J36" s="347">
        <v>40296.46111111111</v>
      </c>
      <c r="K36" s="347">
        <v>40296.66805555556</v>
      </c>
      <c r="L36" s="12">
        <f t="shared" si="1"/>
        <v>4.966666666790843</v>
      </c>
      <c r="M36" s="13">
        <f t="shared" si="2"/>
        <v>298</v>
      </c>
      <c r="N36" s="349" t="s">
        <v>71</v>
      </c>
      <c r="O36" s="350" t="str">
        <f t="shared" si="3"/>
        <v>--</v>
      </c>
      <c r="P36" s="218">
        <f t="shared" si="4"/>
        <v>39.03848025</v>
      </c>
      <c r="Q36" s="223" t="str">
        <f t="shared" si="5"/>
        <v>--</v>
      </c>
      <c r="R36" s="228" t="str">
        <f t="shared" si="6"/>
        <v>--</v>
      </c>
      <c r="S36" s="229" t="str">
        <f t="shared" si="7"/>
        <v>--</v>
      </c>
      <c r="T36" s="230" t="str">
        <f t="shared" si="8"/>
        <v>--</v>
      </c>
      <c r="U36" s="243" t="str">
        <f t="shared" si="9"/>
        <v>--</v>
      </c>
      <c r="V36" s="247" t="str">
        <f t="shared" si="10"/>
        <v>--</v>
      </c>
      <c r="W36" s="251" t="str">
        <f t="shared" si="11"/>
        <v>--</v>
      </c>
      <c r="X36" s="256" t="str">
        <f t="shared" si="12"/>
        <v>--</v>
      </c>
      <c r="Y36" s="261" t="str">
        <f t="shared" si="13"/>
        <v>--</v>
      </c>
      <c r="Z36" s="354" t="s">
        <v>72</v>
      </c>
      <c r="AA36" s="29">
        <f t="shared" si="14"/>
        <v>39.03848025</v>
      </c>
      <c r="AB36" s="9"/>
    </row>
    <row r="37" spans="1:28" s="8" customFormat="1" ht="15">
      <c r="A37" s="7"/>
      <c r="B37" s="66"/>
      <c r="C37" s="336">
        <v>36</v>
      </c>
      <c r="D37" s="333">
        <v>221309</v>
      </c>
      <c r="E37" s="333">
        <v>284</v>
      </c>
      <c r="F37" s="337" t="s">
        <v>90</v>
      </c>
      <c r="G37" s="342">
        <v>132</v>
      </c>
      <c r="H37" s="343">
        <v>67.30000305175781</v>
      </c>
      <c r="I37" s="202">
        <f t="shared" si="0"/>
        <v>70.48396619613648</v>
      </c>
      <c r="J37" s="347">
        <v>40297.34097222222</v>
      </c>
      <c r="K37" s="347">
        <v>40297.72430555556</v>
      </c>
      <c r="L37" s="12">
        <f t="shared" si="1"/>
        <v>9.200000000128057</v>
      </c>
      <c r="M37" s="13">
        <f t="shared" si="2"/>
        <v>552</v>
      </c>
      <c r="N37" s="349" t="s">
        <v>71</v>
      </c>
      <c r="O37" s="350" t="str">
        <f t="shared" si="3"/>
        <v>--</v>
      </c>
      <c r="P37" s="218">
        <f t="shared" si="4"/>
        <v>194.53574670133665</v>
      </c>
      <c r="Q37" s="223" t="str">
        <f t="shared" si="5"/>
        <v>--</v>
      </c>
      <c r="R37" s="228" t="str">
        <f t="shared" si="6"/>
        <v>--</v>
      </c>
      <c r="S37" s="229" t="str">
        <f t="shared" si="7"/>
        <v>--</v>
      </c>
      <c r="T37" s="230" t="str">
        <f t="shared" si="8"/>
        <v>--</v>
      </c>
      <c r="U37" s="243" t="str">
        <f t="shared" si="9"/>
        <v>--</v>
      </c>
      <c r="V37" s="247" t="str">
        <f t="shared" si="10"/>
        <v>--</v>
      </c>
      <c r="W37" s="251" t="str">
        <f t="shared" si="11"/>
        <v>--</v>
      </c>
      <c r="X37" s="256" t="str">
        <f t="shared" si="12"/>
        <v>--</v>
      </c>
      <c r="Y37" s="261" t="str">
        <f t="shared" si="13"/>
        <v>--</v>
      </c>
      <c r="Z37" s="354" t="s">
        <v>72</v>
      </c>
      <c r="AA37" s="29">
        <f t="shared" si="14"/>
        <v>194.53574670133665</v>
      </c>
      <c r="AB37" s="9"/>
    </row>
    <row r="38" spans="1:28" s="8" customFormat="1" ht="15">
      <c r="A38" s="7"/>
      <c r="B38" s="66"/>
      <c r="C38" s="336">
        <v>37</v>
      </c>
      <c r="D38" s="333">
        <v>221310</v>
      </c>
      <c r="E38" s="333">
        <v>284</v>
      </c>
      <c r="F38" s="337" t="s">
        <v>90</v>
      </c>
      <c r="G38" s="342">
        <v>132</v>
      </c>
      <c r="H38" s="343">
        <v>67.30000305175781</v>
      </c>
      <c r="I38" s="202">
        <f t="shared" si="0"/>
        <v>70.48396619613648</v>
      </c>
      <c r="J38" s="347">
        <v>40298.32708333333</v>
      </c>
      <c r="K38" s="347">
        <v>40298.57847222222</v>
      </c>
      <c r="L38" s="12">
        <f t="shared" si="1"/>
        <v>6.033333333441988</v>
      </c>
      <c r="M38" s="13">
        <f t="shared" si="2"/>
        <v>362</v>
      </c>
      <c r="N38" s="349" t="s">
        <v>71</v>
      </c>
      <c r="O38" s="350" t="str">
        <f t="shared" si="3"/>
        <v>--</v>
      </c>
      <c r="P38" s="218">
        <f t="shared" si="4"/>
        <v>127.50549484881091</v>
      </c>
      <c r="Q38" s="223" t="str">
        <f t="shared" si="5"/>
        <v>--</v>
      </c>
      <c r="R38" s="228" t="str">
        <f t="shared" si="6"/>
        <v>--</v>
      </c>
      <c r="S38" s="229" t="str">
        <f t="shared" si="7"/>
        <v>--</v>
      </c>
      <c r="T38" s="230" t="str">
        <f t="shared" si="8"/>
        <v>--</v>
      </c>
      <c r="U38" s="243" t="str">
        <f t="shared" si="9"/>
        <v>--</v>
      </c>
      <c r="V38" s="247" t="str">
        <f t="shared" si="10"/>
        <v>--</v>
      </c>
      <c r="W38" s="251" t="str">
        <f t="shared" si="11"/>
        <v>--</v>
      </c>
      <c r="X38" s="256" t="str">
        <f t="shared" si="12"/>
        <v>--</v>
      </c>
      <c r="Y38" s="261" t="str">
        <f t="shared" si="13"/>
        <v>--</v>
      </c>
      <c r="Z38" s="354" t="s">
        <v>72</v>
      </c>
      <c r="AA38" s="29">
        <f t="shared" si="14"/>
        <v>127.50549484881091</v>
      </c>
      <c r="AB38" s="9"/>
    </row>
    <row r="39" spans="1:28" s="8" customFormat="1" ht="15">
      <c r="A39" s="7"/>
      <c r="B39" s="66"/>
      <c r="C39" s="336"/>
      <c r="D39" s="333"/>
      <c r="E39" s="333"/>
      <c r="F39" s="337"/>
      <c r="G39" s="342"/>
      <c r="H39" s="343"/>
      <c r="I39" s="202">
        <f t="shared" si="0"/>
        <v>26.18275</v>
      </c>
      <c r="J39" s="347"/>
      <c r="K39" s="347"/>
      <c r="L39" s="12">
        <f t="shared" si="1"/>
      </c>
      <c r="M39" s="13">
        <f t="shared" si="2"/>
      </c>
      <c r="N39" s="349"/>
      <c r="O39" s="350">
        <f t="shared" si="3"/>
      </c>
      <c r="P39" s="218" t="str">
        <f t="shared" si="4"/>
        <v>--</v>
      </c>
      <c r="Q39" s="223" t="str">
        <f t="shared" si="5"/>
        <v>--</v>
      </c>
      <c r="R39" s="228" t="str">
        <f t="shared" si="6"/>
        <v>--</v>
      </c>
      <c r="S39" s="229" t="str">
        <f t="shared" si="7"/>
        <v>--</v>
      </c>
      <c r="T39" s="230" t="str">
        <f t="shared" si="8"/>
        <v>--</v>
      </c>
      <c r="U39" s="243" t="str">
        <f t="shared" si="9"/>
        <v>--</v>
      </c>
      <c r="V39" s="247" t="str">
        <f t="shared" si="10"/>
        <v>--</v>
      </c>
      <c r="W39" s="251" t="str">
        <f t="shared" si="11"/>
        <v>--</v>
      </c>
      <c r="X39" s="256" t="str">
        <f t="shared" si="12"/>
        <v>--</v>
      </c>
      <c r="Y39" s="261" t="str">
        <f t="shared" si="13"/>
        <v>--</v>
      </c>
      <c r="Z39" s="354">
        <f>IF(F39="","","SI")</f>
      </c>
      <c r="AA39" s="29">
        <f t="shared" si="14"/>
      </c>
      <c r="AB39" s="9"/>
    </row>
    <row r="40" spans="1:28" s="8" customFormat="1" ht="15">
      <c r="A40" s="7"/>
      <c r="B40" s="66"/>
      <c r="C40" s="336"/>
      <c r="D40" s="333"/>
      <c r="E40" s="333"/>
      <c r="F40" s="337"/>
      <c r="G40" s="342"/>
      <c r="H40" s="343"/>
      <c r="I40" s="202">
        <f t="shared" si="0"/>
        <v>26.18275</v>
      </c>
      <c r="J40" s="347"/>
      <c r="K40" s="347"/>
      <c r="L40" s="12">
        <f t="shared" si="1"/>
      </c>
      <c r="M40" s="13">
        <f t="shared" si="2"/>
      </c>
      <c r="N40" s="349"/>
      <c r="O40" s="350">
        <f t="shared" si="3"/>
      </c>
      <c r="P40" s="218" t="str">
        <f t="shared" si="4"/>
        <v>--</v>
      </c>
      <c r="Q40" s="223" t="str">
        <f t="shared" si="5"/>
        <v>--</v>
      </c>
      <c r="R40" s="228" t="str">
        <f t="shared" si="6"/>
        <v>--</v>
      </c>
      <c r="S40" s="229" t="str">
        <f t="shared" si="7"/>
        <v>--</v>
      </c>
      <c r="T40" s="230" t="str">
        <f t="shared" si="8"/>
        <v>--</v>
      </c>
      <c r="U40" s="243" t="str">
        <f t="shared" si="9"/>
        <v>--</v>
      </c>
      <c r="V40" s="247" t="str">
        <f t="shared" si="10"/>
        <v>--</v>
      </c>
      <c r="W40" s="251" t="str">
        <f t="shared" si="11"/>
        <v>--</v>
      </c>
      <c r="X40" s="256" t="str">
        <f t="shared" si="12"/>
        <v>--</v>
      </c>
      <c r="Y40" s="261" t="str">
        <f t="shared" si="13"/>
        <v>--</v>
      </c>
      <c r="Z40" s="354">
        <f>IF(F40="","","SI")</f>
      </c>
      <c r="AA40" s="29">
        <f t="shared" si="14"/>
      </c>
      <c r="AB40" s="9"/>
    </row>
    <row r="41" spans="1:28" s="8" customFormat="1" ht="15.75" thickBot="1">
      <c r="A41" s="7"/>
      <c r="B41" s="66"/>
      <c r="C41" s="338"/>
      <c r="D41" s="338"/>
      <c r="E41" s="338"/>
      <c r="F41" s="339"/>
      <c r="G41" s="344"/>
      <c r="H41" s="345"/>
      <c r="I41" s="203"/>
      <c r="J41" s="348"/>
      <c r="K41" s="348"/>
      <c r="L41" s="14"/>
      <c r="M41" s="14"/>
      <c r="N41" s="348"/>
      <c r="O41" s="351"/>
      <c r="P41" s="219"/>
      <c r="Q41" s="224"/>
      <c r="R41" s="231"/>
      <c r="S41" s="232"/>
      <c r="T41" s="233"/>
      <c r="U41" s="244"/>
      <c r="V41" s="248"/>
      <c r="W41" s="252"/>
      <c r="X41" s="257"/>
      <c r="Y41" s="262"/>
      <c r="Z41" s="355"/>
      <c r="AA41" s="107"/>
      <c r="AB41" s="9"/>
    </row>
    <row r="42" spans="1:28" s="8" customFormat="1" ht="17.25" thickBot="1" thickTop="1">
      <c r="A42" s="7"/>
      <c r="B42" s="66"/>
      <c r="C42" s="188" t="s">
        <v>41</v>
      </c>
      <c r="D42" s="437" t="s">
        <v>144</v>
      </c>
      <c r="E42" s="190"/>
      <c r="F42" s="189"/>
      <c r="G42" s="7"/>
      <c r="H42" s="7"/>
      <c r="I42" s="7"/>
      <c r="J42" s="7"/>
      <c r="K42" s="7"/>
      <c r="L42" s="7"/>
      <c r="M42" s="7"/>
      <c r="N42" s="7"/>
      <c r="O42" s="7"/>
      <c r="P42" s="236">
        <f aca="true" t="shared" si="15" ref="P42:Y42">SUM(P19:P41)</f>
        <v>745.0628419011766</v>
      </c>
      <c r="Q42" s="237">
        <f t="shared" si="15"/>
        <v>0</v>
      </c>
      <c r="R42" s="263">
        <f t="shared" si="15"/>
        <v>10974.761406101417</v>
      </c>
      <c r="S42" s="263">
        <f t="shared" si="15"/>
        <v>2521.587318746658</v>
      </c>
      <c r="T42" s="263">
        <f t="shared" si="15"/>
        <v>0</v>
      </c>
      <c r="U42" s="264">
        <f t="shared" si="15"/>
        <v>0</v>
      </c>
      <c r="V42" s="264">
        <f t="shared" si="15"/>
        <v>0</v>
      </c>
      <c r="W42" s="264">
        <f t="shared" si="15"/>
        <v>0</v>
      </c>
      <c r="X42" s="265">
        <f t="shared" si="15"/>
        <v>0</v>
      </c>
      <c r="Y42" s="266">
        <f t="shared" si="15"/>
        <v>0</v>
      </c>
      <c r="Z42" s="7"/>
      <c r="AA42" s="199">
        <f>ROUND(SUM(AA19:AA41),2)</f>
        <v>32919.71</v>
      </c>
      <c r="AB42" s="9"/>
    </row>
    <row r="43" spans="1:28" s="194" customFormat="1" ht="13.5" thickTop="1">
      <c r="A43" s="192"/>
      <c r="B43" s="193"/>
      <c r="C43" s="190"/>
      <c r="D43" s="190"/>
      <c r="E43" s="190"/>
      <c r="F43" s="191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5"/>
    </row>
    <row r="44" spans="1:28" s="8" customFormat="1" ht="13.5" thickBot="1">
      <c r="A44" s="7"/>
      <c r="B44" s="93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5"/>
    </row>
    <row r="45" spans="1:2" ht="13.5" thickTop="1">
      <c r="A45" s="1"/>
      <c r="B45" s="1"/>
    </row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2" r:id="rId3"/>
  <headerFooter alignWithMargins="0">
    <oddFooter>&amp;L&amp;F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AH48"/>
  <sheetViews>
    <sheetView tabSelected="1" zoomScale="75" zoomScaleNormal="75" workbookViewId="0" topLeftCell="A1">
      <selection activeCell="H31" sqref="H31"/>
    </sheetView>
  </sheetViews>
  <sheetFormatPr defaultColWidth="11.421875" defaultRowHeight="12.75"/>
  <cols>
    <col min="1" max="1" width="6.421875" style="0" customWidth="1"/>
    <col min="2" max="2" width="4.140625" style="0" customWidth="1"/>
    <col min="3" max="3" width="4.7109375" style="0" customWidth="1"/>
    <col min="4" max="5" width="13.7109375" style="0" customWidth="1"/>
    <col min="6" max="6" width="25.7109375" style="0" customWidth="1"/>
    <col min="7" max="7" width="15.7109375" style="0" customWidth="1"/>
    <col min="8" max="8" width="7.28125" style="0" customWidth="1"/>
    <col min="9" max="9" width="12.7109375" style="0" customWidth="1"/>
    <col min="10" max="10" width="13.28125" style="0" hidden="1" customWidth="1"/>
    <col min="11" max="12" width="15.7109375" style="0" customWidth="1"/>
    <col min="13" max="15" width="9.7109375" style="0" customWidth="1"/>
    <col min="16" max="16" width="5.8515625" style="0" customWidth="1"/>
    <col min="17" max="17" width="6.421875" style="0" customWidth="1"/>
    <col min="18" max="18" width="6.57421875" style="0" customWidth="1"/>
    <col min="19" max="19" width="12.140625" style="0" hidden="1" customWidth="1"/>
    <col min="20" max="20" width="15.140625" style="0" hidden="1" customWidth="1"/>
    <col min="21" max="21" width="16.28125" style="0" hidden="1" customWidth="1"/>
    <col min="22" max="22" width="16.8515625" style="0" hidden="1" customWidth="1"/>
    <col min="23" max="27" width="15.421875" style="0" hidden="1" customWidth="1"/>
    <col min="28" max="28" width="9.7109375" style="0" customWidth="1"/>
    <col min="29" max="29" width="15.7109375" style="0" customWidth="1"/>
    <col min="30" max="30" width="4.140625" style="0" customWidth="1"/>
  </cols>
  <sheetData>
    <row r="1" spans="5:34" s="33" customFormat="1" ht="26.25"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</row>
    <row r="2" spans="2:30" s="33" customFormat="1" ht="26.25">
      <c r="B2" s="402" t="str">
        <f>+'TOT-0410'!B2</f>
        <v>ANEXO I al Memorandum D.T.E.E.  N° 928 /2011  </v>
      </c>
      <c r="C2" s="36"/>
      <c r="D2" s="36"/>
      <c r="E2" s="158"/>
      <c r="F2" s="158"/>
      <c r="G2" s="111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</row>
    <row r="3" spans="5:30" s="8" customFormat="1" ht="16.5" customHeight="1"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</row>
    <row r="4" spans="1:30" s="40" customFormat="1" ht="11.25">
      <c r="A4" s="403" t="s">
        <v>67</v>
      </c>
      <c r="B4" s="113"/>
      <c r="C4" s="403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</row>
    <row r="5" spans="1:30" s="40" customFormat="1" ht="11.25">
      <c r="A5" s="403" t="s">
        <v>68</v>
      </c>
      <c r="B5" s="113"/>
      <c r="C5" s="113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</row>
    <row r="6" spans="1:30" s="8" customFormat="1" ht="13.5" thickBo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</row>
    <row r="7" spans="1:30" s="8" customFormat="1" ht="13.5" thickTop="1">
      <c r="A7" s="120"/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4"/>
    </row>
    <row r="8" spans="1:30" s="44" customFormat="1" ht="20.25">
      <c r="A8" s="141"/>
      <c r="B8" s="142"/>
      <c r="C8" s="126"/>
      <c r="D8" s="126"/>
      <c r="E8" s="126"/>
      <c r="F8" s="18" t="s">
        <v>18</v>
      </c>
      <c r="G8" s="18"/>
      <c r="H8" s="126"/>
      <c r="I8" s="141"/>
      <c r="J8" s="141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43"/>
    </row>
    <row r="9" spans="1:30" s="44" customFormat="1" ht="20.25">
      <c r="A9" s="141"/>
      <c r="B9" s="142"/>
      <c r="C9" s="126"/>
      <c r="D9" s="126"/>
      <c r="E9" s="126"/>
      <c r="F9" s="18"/>
      <c r="G9" s="18"/>
      <c r="H9" s="126"/>
      <c r="I9" s="141"/>
      <c r="J9" s="141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43"/>
    </row>
    <row r="10" spans="1:30" s="44" customFormat="1" ht="20.25">
      <c r="A10" s="141"/>
      <c r="B10" s="142"/>
      <c r="C10" s="126"/>
      <c r="D10" s="126"/>
      <c r="E10" s="126"/>
      <c r="F10" s="18" t="s">
        <v>42</v>
      </c>
      <c r="G10" s="18"/>
      <c r="H10" s="126"/>
      <c r="I10" s="141"/>
      <c r="J10" s="141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43"/>
    </row>
    <row r="11" spans="1:30" s="8" customFormat="1" ht="12.75">
      <c r="A11" s="120"/>
      <c r="B11" s="125"/>
      <c r="C11" s="25"/>
      <c r="D11" s="25"/>
      <c r="E11" s="25"/>
      <c r="F11" s="25"/>
      <c r="G11" s="25"/>
      <c r="H11" s="25"/>
      <c r="I11" s="120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30"/>
    </row>
    <row r="12" spans="1:30" s="44" customFormat="1" ht="20.25">
      <c r="A12" s="141"/>
      <c r="B12" s="142"/>
      <c r="C12" s="126"/>
      <c r="D12" s="126"/>
      <c r="E12" s="126"/>
      <c r="F12" s="159" t="s">
        <v>43</v>
      </c>
      <c r="G12" s="18"/>
      <c r="H12" s="141"/>
      <c r="I12" s="141"/>
      <c r="J12" s="144"/>
      <c r="K12" s="126"/>
      <c r="L12" s="141"/>
      <c r="M12" s="141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43"/>
    </row>
    <row r="13" spans="1:30" s="8" customFormat="1" ht="12.75">
      <c r="A13" s="120"/>
      <c r="B13" s="125"/>
      <c r="C13" s="25"/>
      <c r="D13" s="25"/>
      <c r="E13" s="25"/>
      <c r="F13" s="25"/>
      <c r="G13" s="25"/>
      <c r="H13" s="25"/>
      <c r="I13" s="120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30"/>
    </row>
    <row r="14" spans="1:30" s="44" customFormat="1" ht="20.25">
      <c r="A14" s="141"/>
      <c r="B14" s="142"/>
      <c r="C14" s="126"/>
      <c r="D14" s="126"/>
      <c r="E14" s="126"/>
      <c r="F14" s="159" t="s">
        <v>44</v>
      </c>
      <c r="G14" s="18"/>
      <c r="H14" s="141"/>
      <c r="I14" s="141"/>
      <c r="J14" s="144"/>
      <c r="K14" s="126"/>
      <c r="L14" s="141"/>
      <c r="M14" s="141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43"/>
    </row>
    <row r="15" spans="1:30" s="8" customFormat="1" ht="12.75">
      <c r="A15" s="120"/>
      <c r="B15" s="125"/>
      <c r="C15" s="25"/>
      <c r="D15" s="25"/>
      <c r="E15" s="25"/>
      <c r="F15" s="128"/>
      <c r="G15" s="128"/>
      <c r="H15" s="128"/>
      <c r="I15" s="129"/>
      <c r="J15" s="127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30"/>
    </row>
    <row r="16" spans="1:30" s="51" customFormat="1" ht="19.5">
      <c r="A16" s="145"/>
      <c r="B16" s="153" t="str">
        <f>'TOT-0410'!B14</f>
        <v>Desde el 01 al 30 de abril de 2010</v>
      </c>
      <c r="C16" s="154"/>
      <c r="D16" s="154"/>
      <c r="E16" s="154"/>
      <c r="F16" s="154"/>
      <c r="G16" s="154"/>
      <c r="H16" s="154"/>
      <c r="I16" s="154"/>
      <c r="J16" s="154"/>
      <c r="K16" s="155"/>
      <c r="L16" s="156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7"/>
    </row>
    <row r="17" spans="1:30" s="8" customFormat="1" ht="14.25" thickBot="1">
      <c r="A17" s="120"/>
      <c r="B17" s="125"/>
      <c r="C17" s="25"/>
      <c r="D17" s="25"/>
      <c r="E17" s="25"/>
      <c r="F17" s="25"/>
      <c r="G17" s="25"/>
      <c r="H17" s="25"/>
      <c r="I17" s="130"/>
      <c r="J17" s="25"/>
      <c r="K17" s="138"/>
      <c r="L17" s="139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30"/>
    </row>
    <row r="18" spans="1:30" s="8" customFormat="1" ht="14.25" thickBot="1" thickTop="1">
      <c r="A18" s="120"/>
      <c r="B18" s="125"/>
      <c r="C18" s="25"/>
      <c r="D18" s="25"/>
      <c r="E18" s="25"/>
      <c r="F18" s="146" t="s">
        <v>45</v>
      </c>
      <c r="G18" s="147"/>
      <c r="H18" s="148"/>
      <c r="I18" s="149">
        <v>0.364</v>
      </c>
      <c r="J18" s="120"/>
      <c r="K18" s="25"/>
      <c r="L18" s="325"/>
      <c r="M18" s="326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30"/>
    </row>
    <row r="19" spans="1:30" s="8" customFormat="1" ht="14.25" thickBot="1" thickTop="1">
      <c r="A19" s="120"/>
      <c r="B19" s="125"/>
      <c r="C19" s="25"/>
      <c r="D19" s="25"/>
      <c r="E19" s="25"/>
      <c r="F19" s="150" t="s">
        <v>46</v>
      </c>
      <c r="G19" s="151"/>
      <c r="H19" s="151"/>
      <c r="I19" s="152">
        <f>30*'TOT-0410'!B13</f>
        <v>30</v>
      </c>
      <c r="J19" s="25"/>
      <c r="K19" s="196" t="str">
        <f>IF(I19=30," ",IF(I19=60,"  Coeficiente duplicado por tasa de falla &gt;4 Sal. x año/100 km.","REVISAR COEFICIENTE"))</f>
        <v> 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131"/>
      <c r="X19" s="131"/>
      <c r="Y19" s="131"/>
      <c r="Z19" s="131"/>
      <c r="AA19" s="131"/>
      <c r="AB19" s="131"/>
      <c r="AC19" s="131"/>
      <c r="AD19" s="30"/>
    </row>
    <row r="20" spans="1:30" s="8" customFormat="1" ht="14.25" thickBot="1" thickTop="1">
      <c r="A20" s="120"/>
      <c r="B20" s="125"/>
      <c r="C20" s="25"/>
      <c r="D20" s="25"/>
      <c r="E20" s="25"/>
      <c r="F20" s="25"/>
      <c r="G20" s="25"/>
      <c r="H20" s="25"/>
      <c r="I20" s="132"/>
      <c r="J20" s="25"/>
      <c r="K20" s="133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30"/>
    </row>
    <row r="21" spans="1:30" s="8" customFormat="1" ht="33.75" customHeight="1" thickBot="1" thickTop="1">
      <c r="A21" s="120"/>
      <c r="B21" s="125"/>
      <c r="C21" s="114" t="s">
        <v>23</v>
      </c>
      <c r="D21" s="114" t="s">
        <v>66</v>
      </c>
      <c r="E21" s="114" t="s">
        <v>65</v>
      </c>
      <c r="F21" s="177" t="s">
        <v>47</v>
      </c>
      <c r="G21" s="176" t="s">
        <v>48</v>
      </c>
      <c r="H21" s="178" t="s">
        <v>49</v>
      </c>
      <c r="I21" s="179" t="s">
        <v>24</v>
      </c>
      <c r="J21" s="200" t="s">
        <v>26</v>
      </c>
      <c r="K21" s="176" t="s">
        <v>27</v>
      </c>
      <c r="L21" s="176" t="s">
        <v>28</v>
      </c>
      <c r="M21" s="177" t="s">
        <v>50</v>
      </c>
      <c r="N21" s="177" t="s">
        <v>51</v>
      </c>
      <c r="O21" s="116" t="s">
        <v>31</v>
      </c>
      <c r="P21" s="176" t="s">
        <v>52</v>
      </c>
      <c r="Q21" s="177" t="s">
        <v>32</v>
      </c>
      <c r="R21" s="176" t="s">
        <v>53</v>
      </c>
      <c r="S21" s="268" t="s">
        <v>54</v>
      </c>
      <c r="T21" s="272" t="s">
        <v>33</v>
      </c>
      <c r="U21" s="278" t="s">
        <v>34</v>
      </c>
      <c r="V21" s="225" t="s">
        <v>55</v>
      </c>
      <c r="W21" s="227"/>
      <c r="X21" s="292" t="s">
        <v>56</v>
      </c>
      <c r="Y21" s="293"/>
      <c r="Z21" s="303" t="s">
        <v>37</v>
      </c>
      <c r="AA21" s="309" t="s">
        <v>38</v>
      </c>
      <c r="AB21" s="179" t="s">
        <v>39</v>
      </c>
      <c r="AC21" s="179" t="s">
        <v>40</v>
      </c>
      <c r="AD21" s="30"/>
    </row>
    <row r="22" spans="1:30" s="8" customFormat="1" ht="15.75" thickTop="1">
      <c r="A22" s="120"/>
      <c r="B22" s="125"/>
      <c r="C22" s="357"/>
      <c r="D22" s="357"/>
      <c r="E22" s="357"/>
      <c r="F22" s="358"/>
      <c r="G22" s="359"/>
      <c r="H22" s="359"/>
      <c r="I22" s="359"/>
      <c r="J22" s="204"/>
      <c r="K22" s="365"/>
      <c r="L22" s="359"/>
      <c r="M22" s="20"/>
      <c r="N22" s="20"/>
      <c r="O22" s="359"/>
      <c r="P22" s="359"/>
      <c r="Q22" s="359"/>
      <c r="R22" s="359"/>
      <c r="S22" s="269"/>
      <c r="T22" s="273"/>
      <c r="U22" s="279"/>
      <c r="V22" s="290"/>
      <c r="W22" s="284"/>
      <c r="X22" s="294"/>
      <c r="Y22" s="295"/>
      <c r="Z22" s="304"/>
      <c r="AA22" s="310"/>
      <c r="AB22" s="19"/>
      <c r="AC22" s="32"/>
      <c r="AD22" s="30"/>
    </row>
    <row r="23" spans="1:30" s="8" customFormat="1" ht="15">
      <c r="A23" s="120"/>
      <c r="B23" s="125"/>
      <c r="C23" s="357"/>
      <c r="D23" s="357"/>
      <c r="E23" s="357"/>
      <c r="F23" s="360"/>
      <c r="G23" s="361"/>
      <c r="H23" s="361"/>
      <c r="I23" s="361"/>
      <c r="J23" s="205"/>
      <c r="K23" s="360"/>
      <c r="L23" s="361"/>
      <c r="M23" s="16"/>
      <c r="N23" s="16"/>
      <c r="O23" s="361"/>
      <c r="P23" s="361"/>
      <c r="Q23" s="361"/>
      <c r="R23" s="361"/>
      <c r="S23" s="270"/>
      <c r="T23" s="274"/>
      <c r="U23" s="280"/>
      <c r="V23" s="291"/>
      <c r="W23" s="288"/>
      <c r="X23" s="296"/>
      <c r="Y23" s="297"/>
      <c r="Z23" s="305"/>
      <c r="AA23" s="311"/>
      <c r="AB23" s="15"/>
      <c r="AC23" s="27"/>
      <c r="AD23" s="30"/>
    </row>
    <row r="24" spans="1:30" s="8" customFormat="1" ht="15">
      <c r="A24" s="120"/>
      <c r="B24" s="125"/>
      <c r="C24" s="357">
        <v>38</v>
      </c>
      <c r="D24" s="357">
        <v>220359</v>
      </c>
      <c r="E24" s="357">
        <v>554</v>
      </c>
      <c r="F24" s="342" t="s">
        <v>91</v>
      </c>
      <c r="G24" s="336" t="s">
        <v>92</v>
      </c>
      <c r="H24" s="362">
        <v>15</v>
      </c>
      <c r="I24" s="343" t="s">
        <v>93</v>
      </c>
      <c r="J24" s="202">
        <f aca="true" t="shared" si="0" ref="J24:J43">H24*$I$18</f>
        <v>5.46</v>
      </c>
      <c r="K24" s="366">
        <v>40272.29722222222</v>
      </c>
      <c r="L24" s="366">
        <v>40272.60208333333</v>
      </c>
      <c r="M24" s="22">
        <f aca="true" t="shared" si="1" ref="M24:M43">IF(F24="","",(L24-K24)*24)</f>
        <v>7.316666666592937</v>
      </c>
      <c r="N24" s="23">
        <f aca="true" t="shared" si="2" ref="N24:N43">IF(F24="","",ROUND((L24-K24)*24*60,0))</f>
        <v>439</v>
      </c>
      <c r="O24" s="367" t="s">
        <v>71</v>
      </c>
      <c r="P24" s="367" t="str">
        <f aca="true" t="shared" si="3" ref="P24:P43">IF(F24="","",IF(OR(O24="P",O24="RP"),"--","NO"))</f>
        <v>--</v>
      </c>
      <c r="Q24" s="367" t="s">
        <v>94</v>
      </c>
      <c r="R24" s="367" t="s">
        <v>131</v>
      </c>
      <c r="S24" s="271">
        <f aca="true" t="shared" si="4" ref="S24:S43">$I$19*IF(R24="SI",1,0.1)*IF(OR(O24="P",O24="RP"),0.1,1)</f>
        <v>0.30000000000000004</v>
      </c>
      <c r="T24" s="275">
        <f aca="true" t="shared" si="5" ref="T24:T43">IF(O24="P",J24*S24*ROUND(N24/60,2),"--")</f>
        <v>11.990160000000001</v>
      </c>
      <c r="U24" s="281" t="str">
        <f aca="true" t="shared" si="6" ref="U24:U43">IF(O24="RP",J24*S24*Q24/100*ROUND(N24/60,2),"--")</f>
        <v>--</v>
      </c>
      <c r="V24" s="228" t="str">
        <f aca="true" t="shared" si="7" ref="V24:V43">IF(AND(O24="F",P24="NO"),J24*S24,"--")</f>
        <v>--</v>
      </c>
      <c r="W24" s="289" t="str">
        <f aca="true" t="shared" si="8" ref="W24:W43">IF(O24="F",J24*S24*ROUND(N24/60,2),"--")</f>
        <v>--</v>
      </c>
      <c r="X24" s="298" t="str">
        <f aca="true" t="shared" si="9" ref="X24:X43">IF(AND(O24="R",P24="NO"),J24*S24*Q24/100,"--")</f>
        <v>--</v>
      </c>
      <c r="Y24" s="299" t="str">
        <f aca="true" t="shared" si="10" ref="Y24:Y43">IF(O24="R",J24*S24*ROUND(N24/60,2)*Q24/100,"--")</f>
        <v>--</v>
      </c>
      <c r="Z24" s="306" t="str">
        <f aca="true" t="shared" si="11" ref="Z24:Z43">IF(O24="RF",J24*S24*ROUND(N24/60,2),"--")</f>
        <v>--</v>
      </c>
      <c r="AA24" s="312" t="str">
        <f aca="true" t="shared" si="12" ref="AA24:AA43">IF(O24="RR",J24*S24*ROUND(N24/60,2)*Q24/100,"--")</f>
        <v>--</v>
      </c>
      <c r="AB24" s="21" t="s">
        <v>72</v>
      </c>
      <c r="AC24" s="27">
        <f aca="true" t="shared" si="13" ref="AC24:AC43">IF(F24="","",SUM(T24:AA24)*IF(AB24="SI",1,2))</f>
        <v>11.990160000000001</v>
      </c>
      <c r="AD24" s="322"/>
    </row>
    <row r="25" spans="1:30" s="8" customFormat="1" ht="15">
      <c r="A25" s="120"/>
      <c r="B25" s="125"/>
      <c r="C25" s="357">
        <v>39</v>
      </c>
      <c r="D25" s="357">
        <v>220360</v>
      </c>
      <c r="E25" s="357">
        <v>4062</v>
      </c>
      <c r="F25" s="342" t="s">
        <v>91</v>
      </c>
      <c r="G25" s="336" t="s">
        <v>95</v>
      </c>
      <c r="H25" s="362">
        <v>30</v>
      </c>
      <c r="I25" s="343" t="s">
        <v>93</v>
      </c>
      <c r="J25" s="202">
        <f t="shared" si="0"/>
        <v>10.92</v>
      </c>
      <c r="K25" s="366">
        <v>40272.455555555556</v>
      </c>
      <c r="L25" s="366">
        <v>40272.60208333333</v>
      </c>
      <c r="M25" s="22">
        <f t="shared" si="1"/>
        <v>3.5166666666045785</v>
      </c>
      <c r="N25" s="23">
        <f t="shared" si="2"/>
        <v>211</v>
      </c>
      <c r="O25" s="367" t="s">
        <v>96</v>
      </c>
      <c r="P25" s="367" t="str">
        <f t="shared" si="3"/>
        <v>--</v>
      </c>
      <c r="Q25" s="368">
        <v>40</v>
      </c>
      <c r="R25" s="367" t="s">
        <v>131</v>
      </c>
      <c r="S25" s="271">
        <f t="shared" si="4"/>
        <v>0.30000000000000004</v>
      </c>
      <c r="T25" s="275" t="str">
        <f t="shared" si="5"/>
        <v>--</v>
      </c>
      <c r="U25" s="281">
        <f t="shared" si="6"/>
        <v>4.612608000000001</v>
      </c>
      <c r="V25" s="228" t="str">
        <f t="shared" si="7"/>
        <v>--</v>
      </c>
      <c r="W25" s="289" t="str">
        <f t="shared" si="8"/>
        <v>--</v>
      </c>
      <c r="X25" s="298" t="str">
        <f t="shared" si="9"/>
        <v>--</v>
      </c>
      <c r="Y25" s="299" t="str">
        <f t="shared" si="10"/>
        <v>--</v>
      </c>
      <c r="Z25" s="306" t="str">
        <f t="shared" si="11"/>
        <v>--</v>
      </c>
      <c r="AA25" s="312" t="str">
        <f t="shared" si="12"/>
        <v>--</v>
      </c>
      <c r="AB25" s="21" t="s">
        <v>72</v>
      </c>
      <c r="AC25" s="27">
        <f t="shared" si="13"/>
        <v>4.612608000000001</v>
      </c>
      <c r="AD25" s="322"/>
    </row>
    <row r="26" spans="1:30" s="8" customFormat="1" ht="15">
      <c r="A26" s="120"/>
      <c r="B26" s="125"/>
      <c r="C26" s="357">
        <v>40</v>
      </c>
      <c r="D26" s="357">
        <v>220446</v>
      </c>
      <c r="E26" s="357">
        <v>586</v>
      </c>
      <c r="F26" s="342" t="s">
        <v>97</v>
      </c>
      <c r="G26" s="336" t="s">
        <v>95</v>
      </c>
      <c r="H26" s="362">
        <v>15</v>
      </c>
      <c r="I26" s="343" t="s">
        <v>93</v>
      </c>
      <c r="J26" s="202">
        <f t="shared" si="0"/>
        <v>5.46</v>
      </c>
      <c r="K26" s="366">
        <v>40274.384722222225</v>
      </c>
      <c r="L26" s="366">
        <v>40274.51111111111</v>
      </c>
      <c r="M26" s="22">
        <f t="shared" si="1"/>
        <v>3.0333333332673647</v>
      </c>
      <c r="N26" s="23">
        <f t="shared" si="2"/>
        <v>182</v>
      </c>
      <c r="O26" s="367" t="s">
        <v>71</v>
      </c>
      <c r="P26" s="367" t="str">
        <f t="shared" si="3"/>
        <v>--</v>
      </c>
      <c r="Q26" s="367" t="s">
        <v>94</v>
      </c>
      <c r="R26" s="367" t="s">
        <v>131</v>
      </c>
      <c r="S26" s="271">
        <f t="shared" si="4"/>
        <v>0.30000000000000004</v>
      </c>
      <c r="T26" s="275">
        <f t="shared" si="5"/>
        <v>4.96314</v>
      </c>
      <c r="U26" s="281" t="str">
        <f t="shared" si="6"/>
        <v>--</v>
      </c>
      <c r="V26" s="228" t="str">
        <f t="shared" si="7"/>
        <v>--</v>
      </c>
      <c r="W26" s="289" t="str">
        <f t="shared" si="8"/>
        <v>--</v>
      </c>
      <c r="X26" s="298" t="str">
        <f t="shared" si="9"/>
        <v>--</v>
      </c>
      <c r="Y26" s="299" t="str">
        <f t="shared" si="10"/>
        <v>--</v>
      </c>
      <c r="Z26" s="306" t="str">
        <f t="shared" si="11"/>
        <v>--</v>
      </c>
      <c r="AA26" s="312" t="str">
        <f t="shared" si="12"/>
        <v>--</v>
      </c>
      <c r="AB26" s="21" t="s">
        <v>72</v>
      </c>
      <c r="AC26" s="27">
        <f t="shared" si="13"/>
        <v>4.96314</v>
      </c>
      <c r="AD26" s="322"/>
    </row>
    <row r="27" spans="1:30" s="8" customFormat="1" ht="15">
      <c r="A27" s="120"/>
      <c r="B27" s="125"/>
      <c r="C27" s="357">
        <v>41</v>
      </c>
      <c r="D27" s="357">
        <v>220447</v>
      </c>
      <c r="E27" s="357">
        <v>2684</v>
      </c>
      <c r="F27" s="342" t="s">
        <v>98</v>
      </c>
      <c r="G27" s="336" t="s">
        <v>99</v>
      </c>
      <c r="H27" s="362">
        <v>15</v>
      </c>
      <c r="I27" s="343" t="s">
        <v>93</v>
      </c>
      <c r="J27" s="202">
        <f t="shared" si="0"/>
        <v>5.46</v>
      </c>
      <c r="K27" s="366">
        <v>40275.36666666667</v>
      </c>
      <c r="L27" s="366">
        <v>40275.51458333333</v>
      </c>
      <c r="M27" s="22">
        <f t="shared" si="1"/>
        <v>3.549999999871943</v>
      </c>
      <c r="N27" s="23">
        <f t="shared" si="2"/>
        <v>213</v>
      </c>
      <c r="O27" s="367" t="s">
        <v>96</v>
      </c>
      <c r="P27" s="367" t="str">
        <f t="shared" si="3"/>
        <v>--</v>
      </c>
      <c r="Q27" s="368">
        <v>40</v>
      </c>
      <c r="R27" s="367" t="s">
        <v>131</v>
      </c>
      <c r="S27" s="271">
        <f t="shared" si="4"/>
        <v>0.30000000000000004</v>
      </c>
      <c r="T27" s="275" t="str">
        <f t="shared" si="5"/>
        <v>--</v>
      </c>
      <c r="U27" s="281">
        <f t="shared" si="6"/>
        <v>2.3259600000000002</v>
      </c>
      <c r="V27" s="228" t="str">
        <f t="shared" si="7"/>
        <v>--</v>
      </c>
      <c r="W27" s="289" t="str">
        <f t="shared" si="8"/>
        <v>--</v>
      </c>
      <c r="X27" s="298" t="str">
        <f t="shared" si="9"/>
        <v>--</v>
      </c>
      <c r="Y27" s="299" t="str">
        <f t="shared" si="10"/>
        <v>--</v>
      </c>
      <c r="Z27" s="306" t="str">
        <f t="shared" si="11"/>
        <v>--</v>
      </c>
      <c r="AA27" s="312" t="str">
        <f t="shared" si="12"/>
        <v>--</v>
      </c>
      <c r="AB27" s="21" t="s">
        <v>72</v>
      </c>
      <c r="AC27" s="27">
        <f t="shared" si="13"/>
        <v>2.3259600000000002</v>
      </c>
      <c r="AD27" s="322"/>
    </row>
    <row r="28" spans="1:30" s="8" customFormat="1" ht="15">
      <c r="A28" s="120"/>
      <c r="B28" s="125"/>
      <c r="C28" s="357">
        <v>42</v>
      </c>
      <c r="D28" s="357">
        <v>220448</v>
      </c>
      <c r="E28" s="357">
        <v>570</v>
      </c>
      <c r="F28" s="342" t="s">
        <v>100</v>
      </c>
      <c r="G28" s="336" t="s">
        <v>101</v>
      </c>
      <c r="H28" s="362">
        <v>30</v>
      </c>
      <c r="I28" s="343" t="s">
        <v>93</v>
      </c>
      <c r="J28" s="202">
        <f t="shared" si="0"/>
        <v>10.92</v>
      </c>
      <c r="K28" s="366">
        <v>40275.38055555556</v>
      </c>
      <c r="L28" s="366">
        <v>40275.85833333333</v>
      </c>
      <c r="M28" s="22">
        <f t="shared" si="1"/>
        <v>11.466666666499805</v>
      </c>
      <c r="N28" s="23">
        <f t="shared" si="2"/>
        <v>688</v>
      </c>
      <c r="O28" s="367" t="s">
        <v>74</v>
      </c>
      <c r="P28" s="367" t="s">
        <v>72</v>
      </c>
      <c r="Q28" s="367" t="s">
        <v>94</v>
      </c>
      <c r="R28" s="367" t="s">
        <v>131</v>
      </c>
      <c r="S28" s="271">
        <f t="shared" si="4"/>
        <v>3</v>
      </c>
      <c r="T28" s="275" t="str">
        <f t="shared" si="5"/>
        <v>--</v>
      </c>
      <c r="U28" s="281" t="str">
        <f t="shared" si="6"/>
        <v>--</v>
      </c>
      <c r="V28" s="228" t="str">
        <f t="shared" si="7"/>
        <v>--</v>
      </c>
      <c r="W28" s="289">
        <f t="shared" si="8"/>
        <v>375.7572</v>
      </c>
      <c r="X28" s="298" t="str">
        <f t="shared" si="9"/>
        <v>--</v>
      </c>
      <c r="Y28" s="299" t="str">
        <f t="shared" si="10"/>
        <v>--</v>
      </c>
      <c r="Z28" s="306" t="str">
        <f t="shared" si="11"/>
        <v>--</v>
      </c>
      <c r="AA28" s="312" t="str">
        <f t="shared" si="12"/>
        <v>--</v>
      </c>
      <c r="AB28" s="21" t="s">
        <v>72</v>
      </c>
      <c r="AC28" s="27">
        <f t="shared" si="13"/>
        <v>375.7572</v>
      </c>
      <c r="AD28" s="322"/>
    </row>
    <row r="29" spans="1:30" s="8" customFormat="1" ht="15">
      <c r="A29" s="120"/>
      <c r="B29" s="125"/>
      <c r="C29" s="357">
        <v>43</v>
      </c>
      <c r="D29" s="357">
        <v>220449</v>
      </c>
      <c r="E29" s="357">
        <v>556</v>
      </c>
      <c r="F29" s="342" t="s">
        <v>102</v>
      </c>
      <c r="G29" s="336" t="s">
        <v>92</v>
      </c>
      <c r="H29" s="362">
        <v>30</v>
      </c>
      <c r="I29" s="343" t="s">
        <v>93</v>
      </c>
      <c r="J29" s="202">
        <f t="shared" si="0"/>
        <v>10.92</v>
      </c>
      <c r="K29" s="366">
        <v>40276.709027777775</v>
      </c>
      <c r="L29" s="366">
        <v>40276.73888888889</v>
      </c>
      <c r="M29" s="22">
        <f t="shared" si="1"/>
        <v>0.7166666667326353</v>
      </c>
      <c r="N29" s="23">
        <f t="shared" si="2"/>
        <v>43</v>
      </c>
      <c r="O29" s="367" t="s">
        <v>96</v>
      </c>
      <c r="P29" s="367" t="str">
        <f t="shared" si="3"/>
        <v>--</v>
      </c>
      <c r="Q29" s="368">
        <v>60</v>
      </c>
      <c r="R29" s="367" t="s">
        <v>131</v>
      </c>
      <c r="S29" s="271">
        <f t="shared" si="4"/>
        <v>0.30000000000000004</v>
      </c>
      <c r="T29" s="275" t="str">
        <f t="shared" si="5"/>
        <v>--</v>
      </c>
      <c r="U29" s="281">
        <f t="shared" si="6"/>
        <v>1.415232</v>
      </c>
      <c r="V29" s="228" t="str">
        <f t="shared" si="7"/>
        <v>--</v>
      </c>
      <c r="W29" s="289" t="str">
        <f t="shared" si="8"/>
        <v>--</v>
      </c>
      <c r="X29" s="298" t="str">
        <f t="shared" si="9"/>
        <v>--</v>
      </c>
      <c r="Y29" s="299" t="str">
        <f t="shared" si="10"/>
        <v>--</v>
      </c>
      <c r="Z29" s="306" t="str">
        <f t="shared" si="11"/>
        <v>--</v>
      </c>
      <c r="AA29" s="312" t="str">
        <f t="shared" si="12"/>
        <v>--</v>
      </c>
      <c r="AB29" s="21" t="s">
        <v>72</v>
      </c>
      <c r="AC29" s="27">
        <f t="shared" si="13"/>
        <v>1.415232</v>
      </c>
      <c r="AD29" s="322"/>
    </row>
    <row r="30" spans="1:30" s="8" customFormat="1" ht="15">
      <c r="A30" s="120"/>
      <c r="B30" s="125"/>
      <c r="C30" s="357">
        <v>44</v>
      </c>
      <c r="D30" s="357">
        <v>220459</v>
      </c>
      <c r="E30" s="357">
        <v>4903</v>
      </c>
      <c r="F30" s="342" t="s">
        <v>133</v>
      </c>
      <c r="G30" s="336" t="s">
        <v>92</v>
      </c>
      <c r="H30" s="405">
        <v>20</v>
      </c>
      <c r="I30" s="343" t="s">
        <v>93</v>
      </c>
      <c r="J30" s="202">
        <f t="shared" si="0"/>
        <v>7.279999999999999</v>
      </c>
      <c r="K30" s="366">
        <v>40277.625</v>
      </c>
      <c r="L30" s="366">
        <v>40277.790972222225</v>
      </c>
      <c r="M30" s="22">
        <f t="shared" si="1"/>
        <v>3.9833333333954215</v>
      </c>
      <c r="N30" s="23">
        <f t="shared" si="2"/>
        <v>239</v>
      </c>
      <c r="O30" s="367" t="s">
        <v>71</v>
      </c>
      <c r="P30" s="367" t="str">
        <f t="shared" si="3"/>
        <v>--</v>
      </c>
      <c r="Q30" s="367" t="s">
        <v>94</v>
      </c>
      <c r="R30" s="367" t="s">
        <v>72</v>
      </c>
      <c r="S30" s="271">
        <f t="shared" si="4"/>
        <v>3</v>
      </c>
      <c r="T30" s="275">
        <f t="shared" si="5"/>
        <v>86.92319999999998</v>
      </c>
      <c r="U30" s="281" t="str">
        <f t="shared" si="6"/>
        <v>--</v>
      </c>
      <c r="V30" s="228" t="str">
        <f t="shared" si="7"/>
        <v>--</v>
      </c>
      <c r="W30" s="289" t="str">
        <f t="shared" si="8"/>
        <v>--</v>
      </c>
      <c r="X30" s="298" t="str">
        <f t="shared" si="9"/>
        <v>--</v>
      </c>
      <c r="Y30" s="299" t="str">
        <f t="shared" si="10"/>
        <v>--</v>
      </c>
      <c r="Z30" s="306" t="str">
        <f t="shared" si="11"/>
        <v>--</v>
      </c>
      <c r="AA30" s="312" t="str">
        <f t="shared" si="12"/>
        <v>--</v>
      </c>
      <c r="AB30" s="21" t="s">
        <v>72</v>
      </c>
      <c r="AC30" s="27">
        <f t="shared" si="13"/>
        <v>86.92319999999998</v>
      </c>
      <c r="AD30" s="322"/>
    </row>
    <row r="31" spans="1:30" s="8" customFormat="1" ht="15">
      <c r="A31" s="120"/>
      <c r="B31" s="125"/>
      <c r="C31" s="357">
        <v>45</v>
      </c>
      <c r="D31" s="357">
        <v>220450</v>
      </c>
      <c r="E31" s="357">
        <v>558</v>
      </c>
      <c r="F31" s="342" t="s">
        <v>103</v>
      </c>
      <c r="G31" s="336" t="s">
        <v>95</v>
      </c>
      <c r="H31" s="362">
        <v>30</v>
      </c>
      <c r="I31" s="343" t="s">
        <v>93</v>
      </c>
      <c r="J31" s="202">
        <f t="shared" si="0"/>
        <v>10.92</v>
      </c>
      <c r="K31" s="366">
        <v>40278.29722222222</v>
      </c>
      <c r="L31" s="366">
        <v>40279.907638888886</v>
      </c>
      <c r="M31" s="22">
        <f t="shared" si="1"/>
        <v>38.64999999990687</v>
      </c>
      <c r="N31" s="23">
        <f t="shared" si="2"/>
        <v>2319</v>
      </c>
      <c r="O31" s="367" t="s">
        <v>71</v>
      </c>
      <c r="P31" s="367" t="str">
        <f t="shared" si="3"/>
        <v>--</v>
      </c>
      <c r="Q31" s="367" t="s">
        <v>94</v>
      </c>
      <c r="R31" s="367" t="s">
        <v>131</v>
      </c>
      <c r="S31" s="271">
        <f t="shared" si="4"/>
        <v>0.30000000000000004</v>
      </c>
      <c r="T31" s="275">
        <f t="shared" si="5"/>
        <v>126.6174</v>
      </c>
      <c r="U31" s="281" t="str">
        <f t="shared" si="6"/>
        <v>--</v>
      </c>
      <c r="V31" s="228" t="str">
        <f t="shared" si="7"/>
        <v>--</v>
      </c>
      <c r="W31" s="289" t="str">
        <f t="shared" si="8"/>
        <v>--</v>
      </c>
      <c r="X31" s="298" t="str">
        <f t="shared" si="9"/>
        <v>--</v>
      </c>
      <c r="Y31" s="299" t="str">
        <f t="shared" si="10"/>
        <v>--</v>
      </c>
      <c r="Z31" s="306" t="str">
        <f t="shared" si="11"/>
        <v>--</v>
      </c>
      <c r="AA31" s="312" t="str">
        <f t="shared" si="12"/>
        <v>--</v>
      </c>
      <c r="AB31" s="21" t="s">
        <v>72</v>
      </c>
      <c r="AC31" s="27">
        <f t="shared" si="13"/>
        <v>126.6174</v>
      </c>
      <c r="AD31" s="322"/>
    </row>
    <row r="32" spans="1:30" s="8" customFormat="1" ht="15">
      <c r="A32" s="120"/>
      <c r="B32" s="125"/>
      <c r="C32" s="357">
        <v>46</v>
      </c>
      <c r="D32" s="357">
        <v>220652</v>
      </c>
      <c r="E32" s="357">
        <v>540</v>
      </c>
      <c r="F32" s="342" t="s">
        <v>104</v>
      </c>
      <c r="G32" s="336" t="s">
        <v>92</v>
      </c>
      <c r="H32" s="362">
        <v>10</v>
      </c>
      <c r="I32" s="343" t="s">
        <v>93</v>
      </c>
      <c r="J32" s="202">
        <f t="shared" si="0"/>
        <v>3.6399999999999997</v>
      </c>
      <c r="K32" s="366">
        <v>40280.40694444445</v>
      </c>
      <c r="L32" s="366">
        <v>40280.71805555555</v>
      </c>
      <c r="M32" s="22">
        <f t="shared" si="1"/>
        <v>7.466666666558012</v>
      </c>
      <c r="N32" s="23">
        <f t="shared" si="2"/>
        <v>448</v>
      </c>
      <c r="O32" s="367" t="s">
        <v>71</v>
      </c>
      <c r="P32" s="367" t="str">
        <f t="shared" si="3"/>
        <v>--</v>
      </c>
      <c r="Q32" s="367" t="s">
        <v>94</v>
      </c>
      <c r="R32" s="367" t="s">
        <v>131</v>
      </c>
      <c r="S32" s="271">
        <f t="shared" si="4"/>
        <v>0.30000000000000004</v>
      </c>
      <c r="T32" s="275">
        <f t="shared" si="5"/>
        <v>8.15724</v>
      </c>
      <c r="U32" s="281" t="str">
        <f t="shared" si="6"/>
        <v>--</v>
      </c>
      <c r="V32" s="228" t="str">
        <f t="shared" si="7"/>
        <v>--</v>
      </c>
      <c r="W32" s="289" t="str">
        <f t="shared" si="8"/>
        <v>--</v>
      </c>
      <c r="X32" s="298" t="str">
        <f t="shared" si="9"/>
        <v>--</v>
      </c>
      <c r="Y32" s="299" t="str">
        <f t="shared" si="10"/>
        <v>--</v>
      </c>
      <c r="Z32" s="306" t="str">
        <f t="shared" si="11"/>
        <v>--</v>
      </c>
      <c r="AA32" s="312" t="str">
        <f t="shared" si="12"/>
        <v>--</v>
      </c>
      <c r="AB32" s="21" t="s">
        <v>72</v>
      </c>
      <c r="AC32" s="27">
        <f t="shared" si="13"/>
        <v>8.15724</v>
      </c>
      <c r="AD32" s="322"/>
    </row>
    <row r="33" spans="1:30" s="8" customFormat="1" ht="15">
      <c r="A33" s="120"/>
      <c r="B33" s="125"/>
      <c r="C33" s="357">
        <v>47</v>
      </c>
      <c r="D33" s="357">
        <v>220653</v>
      </c>
      <c r="E33" s="357">
        <v>4555</v>
      </c>
      <c r="F33" s="342" t="s">
        <v>105</v>
      </c>
      <c r="G33" s="336" t="s">
        <v>92</v>
      </c>
      <c r="H33" s="362">
        <v>20</v>
      </c>
      <c r="I33" s="343" t="s">
        <v>93</v>
      </c>
      <c r="J33" s="202">
        <f t="shared" si="0"/>
        <v>7.279999999999999</v>
      </c>
      <c r="K33" s="366">
        <v>40281.35972222222</v>
      </c>
      <c r="L33" s="366">
        <v>40281.41736111111</v>
      </c>
      <c r="M33" s="22">
        <f t="shared" si="1"/>
        <v>1.3833333333022892</v>
      </c>
      <c r="N33" s="23">
        <f t="shared" si="2"/>
        <v>83</v>
      </c>
      <c r="O33" s="367" t="s">
        <v>71</v>
      </c>
      <c r="P33" s="367" t="str">
        <f t="shared" si="3"/>
        <v>--</v>
      </c>
      <c r="Q33" s="367" t="s">
        <v>94</v>
      </c>
      <c r="R33" s="367" t="s">
        <v>131</v>
      </c>
      <c r="S33" s="271">
        <f t="shared" si="4"/>
        <v>0.30000000000000004</v>
      </c>
      <c r="T33" s="275">
        <f t="shared" si="5"/>
        <v>3.01392</v>
      </c>
      <c r="U33" s="281" t="str">
        <f t="shared" si="6"/>
        <v>--</v>
      </c>
      <c r="V33" s="228" t="str">
        <f t="shared" si="7"/>
        <v>--</v>
      </c>
      <c r="W33" s="289" t="str">
        <f t="shared" si="8"/>
        <v>--</v>
      </c>
      <c r="X33" s="298" t="str">
        <f t="shared" si="9"/>
        <v>--</v>
      </c>
      <c r="Y33" s="299" t="str">
        <f t="shared" si="10"/>
        <v>--</v>
      </c>
      <c r="Z33" s="306" t="str">
        <f t="shared" si="11"/>
        <v>--</v>
      </c>
      <c r="AA33" s="312" t="str">
        <f t="shared" si="12"/>
        <v>--</v>
      </c>
      <c r="AB33" s="21" t="s">
        <v>72</v>
      </c>
      <c r="AC33" s="27">
        <f t="shared" si="13"/>
        <v>3.01392</v>
      </c>
      <c r="AD33" s="322"/>
    </row>
    <row r="34" spans="1:30" s="8" customFormat="1" ht="15">
      <c r="A34" s="120"/>
      <c r="B34" s="125"/>
      <c r="C34" s="357">
        <v>48</v>
      </c>
      <c r="D34" s="357">
        <v>220654</v>
      </c>
      <c r="E34" s="357">
        <v>2804</v>
      </c>
      <c r="F34" s="342" t="s">
        <v>106</v>
      </c>
      <c r="G34" s="336" t="s">
        <v>92</v>
      </c>
      <c r="H34" s="362">
        <v>30</v>
      </c>
      <c r="I34" s="343" t="s">
        <v>93</v>
      </c>
      <c r="J34" s="202">
        <f t="shared" si="0"/>
        <v>10.92</v>
      </c>
      <c r="K34" s="366">
        <v>40281.370833333334</v>
      </c>
      <c r="L34" s="366">
        <v>40281.529861111114</v>
      </c>
      <c r="M34" s="22">
        <f t="shared" si="1"/>
        <v>3.8166666667093523</v>
      </c>
      <c r="N34" s="23">
        <f t="shared" si="2"/>
        <v>229</v>
      </c>
      <c r="O34" s="367" t="s">
        <v>71</v>
      </c>
      <c r="P34" s="367" t="str">
        <f t="shared" si="3"/>
        <v>--</v>
      </c>
      <c r="Q34" s="367" t="s">
        <v>94</v>
      </c>
      <c r="R34" s="367" t="s">
        <v>131</v>
      </c>
      <c r="S34" s="271">
        <f t="shared" si="4"/>
        <v>0.30000000000000004</v>
      </c>
      <c r="T34" s="275">
        <f t="shared" si="5"/>
        <v>12.51432</v>
      </c>
      <c r="U34" s="281" t="str">
        <f t="shared" si="6"/>
        <v>--</v>
      </c>
      <c r="V34" s="228" t="str">
        <f t="shared" si="7"/>
        <v>--</v>
      </c>
      <c r="W34" s="289" t="str">
        <f t="shared" si="8"/>
        <v>--</v>
      </c>
      <c r="X34" s="298" t="str">
        <f t="shared" si="9"/>
        <v>--</v>
      </c>
      <c r="Y34" s="299" t="str">
        <f t="shared" si="10"/>
        <v>--</v>
      </c>
      <c r="Z34" s="306" t="str">
        <f t="shared" si="11"/>
        <v>--</v>
      </c>
      <c r="AA34" s="312" t="str">
        <f t="shared" si="12"/>
        <v>--</v>
      </c>
      <c r="AB34" s="21" t="s">
        <v>72</v>
      </c>
      <c r="AC34" s="27">
        <f t="shared" si="13"/>
        <v>12.51432</v>
      </c>
      <c r="AD34" s="322"/>
    </row>
    <row r="35" spans="1:30" s="8" customFormat="1" ht="15">
      <c r="A35" s="120"/>
      <c r="B35" s="125"/>
      <c r="C35" s="357">
        <v>49</v>
      </c>
      <c r="D35" s="357">
        <v>220655</v>
      </c>
      <c r="E35" s="357">
        <v>540</v>
      </c>
      <c r="F35" s="342" t="s">
        <v>104</v>
      </c>
      <c r="G35" s="336" t="s">
        <v>92</v>
      </c>
      <c r="H35" s="362">
        <v>10</v>
      </c>
      <c r="I35" s="343" t="s">
        <v>93</v>
      </c>
      <c r="J35" s="202">
        <f t="shared" si="0"/>
        <v>3.6399999999999997</v>
      </c>
      <c r="K35" s="366">
        <v>40281.413194444445</v>
      </c>
      <c r="L35" s="366">
        <v>40281.67986111111</v>
      </c>
      <c r="M35" s="22">
        <f t="shared" si="1"/>
        <v>6.399999999906868</v>
      </c>
      <c r="N35" s="23">
        <f t="shared" si="2"/>
        <v>384</v>
      </c>
      <c r="O35" s="367" t="s">
        <v>71</v>
      </c>
      <c r="P35" s="367" t="str">
        <f t="shared" si="3"/>
        <v>--</v>
      </c>
      <c r="Q35" s="367" t="s">
        <v>94</v>
      </c>
      <c r="R35" s="367" t="s">
        <v>131</v>
      </c>
      <c r="S35" s="271">
        <f t="shared" si="4"/>
        <v>0.30000000000000004</v>
      </c>
      <c r="T35" s="275">
        <f t="shared" si="5"/>
        <v>6.988800000000001</v>
      </c>
      <c r="U35" s="281" t="str">
        <f t="shared" si="6"/>
        <v>--</v>
      </c>
      <c r="V35" s="228" t="str">
        <f t="shared" si="7"/>
        <v>--</v>
      </c>
      <c r="W35" s="289" t="str">
        <f t="shared" si="8"/>
        <v>--</v>
      </c>
      <c r="X35" s="298" t="str">
        <f t="shared" si="9"/>
        <v>--</v>
      </c>
      <c r="Y35" s="299" t="str">
        <f t="shared" si="10"/>
        <v>--</v>
      </c>
      <c r="Z35" s="306" t="str">
        <f t="shared" si="11"/>
        <v>--</v>
      </c>
      <c r="AA35" s="312" t="str">
        <f t="shared" si="12"/>
        <v>--</v>
      </c>
      <c r="AB35" s="21" t="s">
        <v>72</v>
      </c>
      <c r="AC35" s="27">
        <f t="shared" si="13"/>
        <v>6.988800000000001</v>
      </c>
      <c r="AD35" s="322"/>
    </row>
    <row r="36" spans="1:30" s="8" customFormat="1" ht="15">
      <c r="A36" s="120"/>
      <c r="B36" s="125"/>
      <c r="C36" s="357">
        <v>50</v>
      </c>
      <c r="D36" s="357">
        <v>220928</v>
      </c>
      <c r="E36" s="357">
        <v>4555</v>
      </c>
      <c r="F36" s="342" t="s">
        <v>105</v>
      </c>
      <c r="G36" s="336" t="s">
        <v>92</v>
      </c>
      <c r="H36" s="362">
        <v>20</v>
      </c>
      <c r="I36" s="343" t="s">
        <v>93</v>
      </c>
      <c r="J36" s="202">
        <f t="shared" si="0"/>
        <v>7.279999999999999</v>
      </c>
      <c r="K36" s="366">
        <v>40281.41805555556</v>
      </c>
      <c r="L36" s="366">
        <v>40297.40138888889</v>
      </c>
      <c r="M36" s="22">
        <f t="shared" si="1"/>
        <v>383.5999999999185</v>
      </c>
      <c r="N36" s="23">
        <f t="shared" si="2"/>
        <v>23016</v>
      </c>
      <c r="O36" s="367" t="s">
        <v>96</v>
      </c>
      <c r="P36" s="367" t="str">
        <f t="shared" si="3"/>
        <v>--</v>
      </c>
      <c r="Q36" s="368">
        <v>40</v>
      </c>
      <c r="R36" s="367" t="s">
        <v>131</v>
      </c>
      <c r="S36" s="271">
        <f t="shared" si="4"/>
        <v>0.30000000000000004</v>
      </c>
      <c r="T36" s="275" t="str">
        <f t="shared" si="5"/>
        <v>--</v>
      </c>
      <c r="U36" s="281">
        <f t="shared" si="6"/>
        <v>335.1129600000001</v>
      </c>
      <c r="V36" s="228" t="str">
        <f t="shared" si="7"/>
        <v>--</v>
      </c>
      <c r="W36" s="289" t="str">
        <f t="shared" si="8"/>
        <v>--</v>
      </c>
      <c r="X36" s="298" t="str">
        <f t="shared" si="9"/>
        <v>--</v>
      </c>
      <c r="Y36" s="299" t="str">
        <f t="shared" si="10"/>
        <v>--</v>
      </c>
      <c r="Z36" s="306" t="str">
        <f t="shared" si="11"/>
        <v>--</v>
      </c>
      <c r="AA36" s="312" t="str">
        <f t="shared" si="12"/>
        <v>--</v>
      </c>
      <c r="AB36" s="21" t="s">
        <v>72</v>
      </c>
      <c r="AC36" s="27">
        <f t="shared" si="13"/>
        <v>335.1129600000001</v>
      </c>
      <c r="AD36" s="322"/>
    </row>
    <row r="37" spans="1:30" s="8" customFormat="1" ht="15">
      <c r="A37" s="120"/>
      <c r="B37" s="125"/>
      <c r="C37" s="357">
        <v>51</v>
      </c>
      <c r="D37" s="357">
        <v>220650</v>
      </c>
      <c r="E37" s="357">
        <v>2657</v>
      </c>
      <c r="F37" s="342" t="s">
        <v>107</v>
      </c>
      <c r="G37" s="336" t="s">
        <v>101</v>
      </c>
      <c r="H37" s="362">
        <v>24</v>
      </c>
      <c r="I37" s="343" t="s">
        <v>108</v>
      </c>
      <c r="J37" s="202">
        <f t="shared" si="0"/>
        <v>8.736</v>
      </c>
      <c r="K37" s="366">
        <v>40281.729166666664</v>
      </c>
      <c r="L37" s="366">
        <v>40281.763194444444</v>
      </c>
      <c r="M37" s="22">
        <f t="shared" si="1"/>
        <v>0.8166666667093523</v>
      </c>
      <c r="N37" s="23">
        <f t="shared" si="2"/>
        <v>49</v>
      </c>
      <c r="O37" s="367" t="s">
        <v>74</v>
      </c>
      <c r="P37" s="367" t="str">
        <f t="shared" si="3"/>
        <v>NO</v>
      </c>
      <c r="Q37" s="367" t="s">
        <v>94</v>
      </c>
      <c r="R37" s="367" t="s">
        <v>72</v>
      </c>
      <c r="S37" s="271">
        <f t="shared" si="4"/>
        <v>30</v>
      </c>
      <c r="T37" s="275" t="str">
        <f t="shared" si="5"/>
        <v>--</v>
      </c>
      <c r="U37" s="281" t="str">
        <f t="shared" si="6"/>
        <v>--</v>
      </c>
      <c r="V37" s="228">
        <f t="shared" si="7"/>
        <v>262.08000000000004</v>
      </c>
      <c r="W37" s="289">
        <f t="shared" si="8"/>
        <v>214.90560000000002</v>
      </c>
      <c r="X37" s="298" t="str">
        <f t="shared" si="9"/>
        <v>--</v>
      </c>
      <c r="Y37" s="299" t="str">
        <f t="shared" si="10"/>
        <v>--</v>
      </c>
      <c r="Z37" s="306" t="str">
        <f t="shared" si="11"/>
        <v>--</v>
      </c>
      <c r="AA37" s="312" t="str">
        <f t="shared" si="12"/>
        <v>--</v>
      </c>
      <c r="AB37" s="21" t="s">
        <v>72</v>
      </c>
      <c r="AC37" s="27">
        <f t="shared" si="13"/>
        <v>476.9856000000001</v>
      </c>
      <c r="AD37" s="30"/>
    </row>
    <row r="38" spans="1:30" s="8" customFormat="1" ht="15">
      <c r="A38" s="120"/>
      <c r="B38" s="125"/>
      <c r="C38" s="357">
        <v>52</v>
      </c>
      <c r="D38" s="357">
        <v>220651</v>
      </c>
      <c r="E38" s="357">
        <v>2657</v>
      </c>
      <c r="F38" s="342" t="s">
        <v>107</v>
      </c>
      <c r="G38" s="336" t="s">
        <v>101</v>
      </c>
      <c r="H38" s="362">
        <v>24</v>
      </c>
      <c r="I38" s="343" t="s">
        <v>108</v>
      </c>
      <c r="J38" s="202">
        <f t="shared" si="0"/>
        <v>8.736</v>
      </c>
      <c r="K38" s="366">
        <v>40281.76388888889</v>
      </c>
      <c r="L38" s="366">
        <v>40283.48125</v>
      </c>
      <c r="M38" s="22">
        <f t="shared" si="1"/>
        <v>41.21666666655801</v>
      </c>
      <c r="N38" s="23">
        <f t="shared" si="2"/>
        <v>2473</v>
      </c>
      <c r="O38" s="367" t="s">
        <v>74</v>
      </c>
      <c r="P38" s="367" t="str">
        <f t="shared" si="3"/>
        <v>NO</v>
      </c>
      <c r="Q38" s="367" t="s">
        <v>94</v>
      </c>
      <c r="R38" s="367" t="s">
        <v>131</v>
      </c>
      <c r="S38" s="271">
        <f t="shared" si="4"/>
        <v>3</v>
      </c>
      <c r="T38" s="275" t="str">
        <f t="shared" si="5"/>
        <v>--</v>
      </c>
      <c r="U38" s="281" t="str">
        <f t="shared" si="6"/>
        <v>--</v>
      </c>
      <c r="V38" s="228">
        <f t="shared" si="7"/>
        <v>26.208000000000002</v>
      </c>
      <c r="W38" s="289">
        <f t="shared" si="8"/>
        <v>1080.29376</v>
      </c>
      <c r="X38" s="298" t="str">
        <f t="shared" si="9"/>
        <v>--</v>
      </c>
      <c r="Y38" s="299" t="str">
        <f t="shared" si="10"/>
        <v>--</v>
      </c>
      <c r="Z38" s="306" t="str">
        <f t="shared" si="11"/>
        <v>--</v>
      </c>
      <c r="AA38" s="312" t="str">
        <f t="shared" si="12"/>
        <v>--</v>
      </c>
      <c r="AB38" s="21" t="s">
        <v>72</v>
      </c>
      <c r="AC38" s="27">
        <f t="shared" si="13"/>
        <v>1106.50176</v>
      </c>
      <c r="AD38" s="30"/>
    </row>
    <row r="39" spans="1:30" s="8" customFormat="1" ht="15">
      <c r="A39" s="120"/>
      <c r="B39" s="125"/>
      <c r="C39" s="357">
        <v>53</v>
      </c>
      <c r="D39" s="357">
        <v>220656</v>
      </c>
      <c r="E39" s="357">
        <v>3619</v>
      </c>
      <c r="F39" s="342" t="s">
        <v>109</v>
      </c>
      <c r="G39" s="336" t="s">
        <v>95</v>
      </c>
      <c r="H39" s="362">
        <v>7.5</v>
      </c>
      <c r="I39" s="343" t="s">
        <v>93</v>
      </c>
      <c r="J39" s="202">
        <f t="shared" si="0"/>
        <v>2.73</v>
      </c>
      <c r="K39" s="366">
        <v>40283.586805555555</v>
      </c>
      <c r="L39" s="366">
        <v>40283.67013888889</v>
      </c>
      <c r="M39" s="22">
        <f t="shared" si="1"/>
        <v>2.0000000000582077</v>
      </c>
      <c r="N39" s="23">
        <f t="shared" si="2"/>
        <v>120</v>
      </c>
      <c r="O39" s="367" t="s">
        <v>71</v>
      </c>
      <c r="P39" s="367" t="str">
        <f t="shared" si="3"/>
        <v>--</v>
      </c>
      <c r="Q39" s="367" t="s">
        <v>94</v>
      </c>
      <c r="R39" s="367" t="s">
        <v>131</v>
      </c>
      <c r="S39" s="271">
        <f t="shared" si="4"/>
        <v>0.30000000000000004</v>
      </c>
      <c r="T39" s="275">
        <f t="shared" si="5"/>
        <v>1.6380000000000001</v>
      </c>
      <c r="U39" s="281" t="str">
        <f t="shared" si="6"/>
        <v>--</v>
      </c>
      <c r="V39" s="228" t="str">
        <f t="shared" si="7"/>
        <v>--</v>
      </c>
      <c r="W39" s="289" t="str">
        <f t="shared" si="8"/>
        <v>--</v>
      </c>
      <c r="X39" s="298" t="str">
        <f t="shared" si="9"/>
        <v>--</v>
      </c>
      <c r="Y39" s="299" t="str">
        <f t="shared" si="10"/>
        <v>--</v>
      </c>
      <c r="Z39" s="306" t="str">
        <f t="shared" si="11"/>
        <v>--</v>
      </c>
      <c r="AA39" s="312" t="str">
        <f t="shared" si="12"/>
        <v>--</v>
      </c>
      <c r="AB39" s="21" t="s">
        <v>72</v>
      </c>
      <c r="AC39" s="27">
        <f t="shared" si="13"/>
        <v>1.6380000000000001</v>
      </c>
      <c r="AD39" s="30"/>
    </row>
    <row r="40" spans="1:30" s="8" customFormat="1" ht="15">
      <c r="A40" s="120"/>
      <c r="B40" s="125"/>
      <c r="C40" s="357">
        <v>54</v>
      </c>
      <c r="D40" s="357">
        <v>220673</v>
      </c>
      <c r="E40" s="357">
        <v>4896</v>
      </c>
      <c r="F40" s="342" t="s">
        <v>134</v>
      </c>
      <c r="G40" s="336" t="s">
        <v>92</v>
      </c>
      <c r="H40" s="405">
        <v>15</v>
      </c>
      <c r="I40" s="343" t="s">
        <v>93</v>
      </c>
      <c r="J40" s="202">
        <f t="shared" si="0"/>
        <v>5.46</v>
      </c>
      <c r="K40" s="366">
        <v>40283.59027777778</v>
      </c>
      <c r="L40" s="366">
        <v>40283.72083333333</v>
      </c>
      <c r="M40" s="22">
        <f t="shared" si="1"/>
        <v>3.1333333332440816</v>
      </c>
      <c r="N40" s="23">
        <f t="shared" si="2"/>
        <v>188</v>
      </c>
      <c r="O40" s="367" t="s">
        <v>71</v>
      </c>
      <c r="P40" s="367" t="str">
        <f t="shared" si="3"/>
        <v>--</v>
      </c>
      <c r="Q40" s="367" t="s">
        <v>94</v>
      </c>
      <c r="R40" s="367" t="s">
        <v>72</v>
      </c>
      <c r="S40" s="271">
        <f t="shared" si="4"/>
        <v>3</v>
      </c>
      <c r="T40" s="275">
        <f t="shared" si="5"/>
        <v>51.2694</v>
      </c>
      <c r="U40" s="281" t="str">
        <f t="shared" si="6"/>
        <v>--</v>
      </c>
      <c r="V40" s="228" t="str">
        <f t="shared" si="7"/>
        <v>--</v>
      </c>
      <c r="W40" s="289" t="str">
        <f t="shared" si="8"/>
        <v>--</v>
      </c>
      <c r="X40" s="298" t="str">
        <f t="shared" si="9"/>
        <v>--</v>
      </c>
      <c r="Y40" s="299" t="str">
        <f t="shared" si="10"/>
        <v>--</v>
      </c>
      <c r="Z40" s="306" t="str">
        <f t="shared" si="11"/>
        <v>--</v>
      </c>
      <c r="AA40" s="312" t="str">
        <f t="shared" si="12"/>
        <v>--</v>
      </c>
      <c r="AB40" s="21" t="s">
        <v>72</v>
      </c>
      <c r="AC40" s="27">
        <f t="shared" si="13"/>
        <v>51.2694</v>
      </c>
      <c r="AD40" s="30"/>
    </row>
    <row r="41" spans="1:30" s="8" customFormat="1" ht="15">
      <c r="A41" s="120"/>
      <c r="B41" s="125"/>
      <c r="C41" s="357">
        <v>55</v>
      </c>
      <c r="D41" s="357">
        <v>220674</v>
      </c>
      <c r="E41" s="357">
        <v>4897</v>
      </c>
      <c r="F41" s="342" t="s">
        <v>134</v>
      </c>
      <c r="G41" s="336" t="s">
        <v>95</v>
      </c>
      <c r="H41" s="405">
        <v>15</v>
      </c>
      <c r="I41" s="343" t="s">
        <v>93</v>
      </c>
      <c r="J41" s="202">
        <f t="shared" si="0"/>
        <v>5.46</v>
      </c>
      <c r="K41" s="366">
        <v>40283.59027777778</v>
      </c>
      <c r="L41" s="366">
        <v>40283.72083333333</v>
      </c>
      <c r="M41" s="22">
        <f t="shared" si="1"/>
        <v>3.1333333332440816</v>
      </c>
      <c r="N41" s="23">
        <f t="shared" si="2"/>
        <v>188</v>
      </c>
      <c r="O41" s="367" t="s">
        <v>71</v>
      </c>
      <c r="P41" s="367" t="str">
        <f t="shared" si="3"/>
        <v>--</v>
      </c>
      <c r="Q41" s="367" t="s">
        <v>94</v>
      </c>
      <c r="R41" s="367" t="s">
        <v>72</v>
      </c>
      <c r="S41" s="271">
        <f t="shared" si="4"/>
        <v>3</v>
      </c>
      <c r="T41" s="275">
        <f t="shared" si="5"/>
        <v>51.2694</v>
      </c>
      <c r="U41" s="281" t="str">
        <f t="shared" si="6"/>
        <v>--</v>
      </c>
      <c r="V41" s="228" t="str">
        <f t="shared" si="7"/>
        <v>--</v>
      </c>
      <c r="W41" s="289" t="str">
        <f t="shared" si="8"/>
        <v>--</v>
      </c>
      <c r="X41" s="298" t="str">
        <f t="shared" si="9"/>
        <v>--</v>
      </c>
      <c r="Y41" s="299" t="str">
        <f t="shared" si="10"/>
        <v>--</v>
      </c>
      <c r="Z41" s="306" t="str">
        <f t="shared" si="11"/>
        <v>--</v>
      </c>
      <c r="AA41" s="312" t="str">
        <f t="shared" si="12"/>
        <v>--</v>
      </c>
      <c r="AB41" s="21" t="s">
        <v>72</v>
      </c>
      <c r="AC41" s="27">
        <f t="shared" si="13"/>
        <v>51.2694</v>
      </c>
      <c r="AD41" s="30"/>
    </row>
    <row r="42" spans="1:30" s="8" customFormat="1" ht="15">
      <c r="A42" s="120"/>
      <c r="B42" s="125"/>
      <c r="C42" s="357">
        <v>56</v>
      </c>
      <c r="D42" s="357">
        <v>220657</v>
      </c>
      <c r="E42" s="357">
        <v>3618</v>
      </c>
      <c r="F42" s="342" t="s">
        <v>109</v>
      </c>
      <c r="G42" s="336" t="s">
        <v>92</v>
      </c>
      <c r="H42" s="362">
        <v>7.5</v>
      </c>
      <c r="I42" s="343" t="s">
        <v>93</v>
      </c>
      <c r="J42" s="202">
        <f t="shared" si="0"/>
        <v>2.73</v>
      </c>
      <c r="K42" s="366">
        <v>40283.67083333333</v>
      </c>
      <c r="L42" s="366">
        <v>40283.76944444444</v>
      </c>
      <c r="M42" s="22">
        <f t="shared" si="1"/>
        <v>2.3666666666977108</v>
      </c>
      <c r="N42" s="23">
        <f t="shared" si="2"/>
        <v>142</v>
      </c>
      <c r="O42" s="367" t="s">
        <v>71</v>
      </c>
      <c r="P42" s="367" t="str">
        <f t="shared" si="3"/>
        <v>--</v>
      </c>
      <c r="Q42" s="367" t="s">
        <v>94</v>
      </c>
      <c r="R42" s="367" t="s">
        <v>131</v>
      </c>
      <c r="S42" s="271">
        <f t="shared" si="4"/>
        <v>0.30000000000000004</v>
      </c>
      <c r="T42" s="275">
        <f t="shared" si="5"/>
        <v>1.9410300000000003</v>
      </c>
      <c r="U42" s="281" t="str">
        <f t="shared" si="6"/>
        <v>--</v>
      </c>
      <c r="V42" s="228" t="str">
        <f t="shared" si="7"/>
        <v>--</v>
      </c>
      <c r="W42" s="289" t="str">
        <f t="shared" si="8"/>
        <v>--</v>
      </c>
      <c r="X42" s="298" t="str">
        <f t="shared" si="9"/>
        <v>--</v>
      </c>
      <c r="Y42" s="299" t="str">
        <f t="shared" si="10"/>
        <v>--</v>
      </c>
      <c r="Z42" s="306" t="str">
        <f t="shared" si="11"/>
        <v>--</v>
      </c>
      <c r="AA42" s="312" t="str">
        <f t="shared" si="12"/>
        <v>--</v>
      </c>
      <c r="AB42" s="21" t="s">
        <v>72</v>
      </c>
      <c r="AC42" s="27">
        <f t="shared" si="13"/>
        <v>1.9410300000000003</v>
      </c>
      <c r="AD42" s="30"/>
    </row>
    <row r="43" spans="1:30" s="8" customFormat="1" ht="15">
      <c r="A43" s="120"/>
      <c r="B43" s="125"/>
      <c r="C43" s="357"/>
      <c r="D43" s="357"/>
      <c r="E43" s="357"/>
      <c r="F43" s="342"/>
      <c r="G43" s="336"/>
      <c r="H43" s="362"/>
      <c r="I43" s="363"/>
      <c r="J43" s="202">
        <f t="shared" si="0"/>
        <v>0</v>
      </c>
      <c r="K43" s="366"/>
      <c r="L43" s="366"/>
      <c r="M43" s="22">
        <f t="shared" si="1"/>
      </c>
      <c r="N43" s="23">
        <f t="shared" si="2"/>
      </c>
      <c r="O43" s="367"/>
      <c r="P43" s="367">
        <f t="shared" si="3"/>
      </c>
      <c r="Q43" s="368">
        <f>IF(F43="","","--")</f>
      </c>
      <c r="R43" s="367"/>
      <c r="S43" s="271">
        <f t="shared" si="4"/>
        <v>3</v>
      </c>
      <c r="T43" s="275" t="str">
        <f t="shared" si="5"/>
        <v>--</v>
      </c>
      <c r="U43" s="281" t="str">
        <f t="shared" si="6"/>
        <v>--</v>
      </c>
      <c r="V43" s="228" t="str">
        <f t="shared" si="7"/>
        <v>--</v>
      </c>
      <c r="W43" s="289" t="str">
        <f t="shared" si="8"/>
        <v>--</v>
      </c>
      <c r="X43" s="298" t="str">
        <f t="shared" si="9"/>
        <v>--</v>
      </c>
      <c r="Y43" s="299" t="str">
        <f t="shared" si="10"/>
        <v>--</v>
      </c>
      <c r="Z43" s="306" t="str">
        <f t="shared" si="11"/>
        <v>--</v>
      </c>
      <c r="AA43" s="312" t="str">
        <f t="shared" si="12"/>
        <v>--</v>
      </c>
      <c r="AB43" s="21">
        <f>IF(F43="","","SI")</f>
      </c>
      <c r="AC43" s="27">
        <f t="shared" si="13"/>
      </c>
      <c r="AD43" s="30"/>
    </row>
    <row r="44" spans="1:30" s="8" customFormat="1" ht="15.75" thickBot="1">
      <c r="A44" s="120"/>
      <c r="B44" s="125"/>
      <c r="C44" s="364"/>
      <c r="D44" s="364"/>
      <c r="E44" s="364"/>
      <c r="F44" s="364"/>
      <c r="G44" s="364"/>
      <c r="H44" s="364"/>
      <c r="I44" s="364"/>
      <c r="J44" s="206"/>
      <c r="K44" s="364"/>
      <c r="L44" s="364"/>
      <c r="M44" s="24"/>
      <c r="N44" s="24"/>
      <c r="O44" s="364"/>
      <c r="P44" s="364"/>
      <c r="Q44" s="364"/>
      <c r="R44" s="364"/>
      <c r="S44" s="267"/>
      <c r="T44" s="276"/>
      <c r="U44" s="282"/>
      <c r="V44" s="285"/>
      <c r="W44" s="286"/>
      <c r="X44" s="300"/>
      <c r="Y44" s="301"/>
      <c r="Z44" s="307"/>
      <c r="AA44" s="313"/>
      <c r="AB44" s="24"/>
      <c r="AC44" s="209"/>
      <c r="AD44" s="30"/>
    </row>
    <row r="45" spans="1:30" s="8" customFormat="1" ht="17.25" thickBot="1" thickTop="1">
      <c r="A45" s="120"/>
      <c r="B45" s="125"/>
      <c r="C45" s="188" t="s">
        <v>41</v>
      </c>
      <c r="D45" s="437" t="s">
        <v>145</v>
      </c>
      <c r="E45" s="190"/>
      <c r="F45" s="189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77">
        <f aca="true" t="shared" si="14" ref="T45:AA45">SUM(T22:T44)</f>
        <v>367.28601000000003</v>
      </c>
      <c r="U45" s="283">
        <f t="shared" si="14"/>
        <v>343.4667600000001</v>
      </c>
      <c r="V45" s="287">
        <f t="shared" si="14"/>
        <v>288.28800000000007</v>
      </c>
      <c r="W45" s="287">
        <f t="shared" si="14"/>
        <v>1670.95656</v>
      </c>
      <c r="X45" s="302">
        <f t="shared" si="14"/>
        <v>0</v>
      </c>
      <c r="Y45" s="302">
        <f t="shared" si="14"/>
        <v>0</v>
      </c>
      <c r="Z45" s="308">
        <f t="shared" si="14"/>
        <v>0</v>
      </c>
      <c r="AA45" s="314">
        <f t="shared" si="14"/>
        <v>0</v>
      </c>
      <c r="AB45" s="210"/>
      <c r="AC45" s="134">
        <f>ROUND(SUM(AC22:AC44),2)</f>
        <v>2670</v>
      </c>
      <c r="AD45" s="30"/>
    </row>
    <row r="46" spans="1:30" s="8" customFormat="1" ht="13.5" thickTop="1">
      <c r="A46" s="120"/>
      <c r="B46" s="125"/>
      <c r="C46" s="190"/>
      <c r="D46" s="190"/>
      <c r="E46" s="190"/>
      <c r="F46" s="191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30"/>
    </row>
    <row r="47" spans="1:30" s="8" customFormat="1" ht="13.5" thickBot="1">
      <c r="A47" s="120"/>
      <c r="B47" s="135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7"/>
    </row>
    <row r="48" spans="1:30" ht="16.5" customHeight="1" thickTop="1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2"/>
    </row>
    <row r="49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58" r:id="rId3"/>
  <headerFooter alignWithMargins="0">
    <oddFooter>&amp;L&amp;F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AH48"/>
  <sheetViews>
    <sheetView zoomScale="75" zoomScaleNormal="75" workbookViewId="0" topLeftCell="A1">
      <selection activeCell="H31" sqref="H31"/>
    </sheetView>
  </sheetViews>
  <sheetFormatPr defaultColWidth="11.421875" defaultRowHeight="12.75"/>
  <cols>
    <col min="1" max="1" width="7.00390625" style="0" customWidth="1"/>
    <col min="2" max="2" width="4.140625" style="0" customWidth="1"/>
    <col min="3" max="3" width="4.7109375" style="0" customWidth="1"/>
    <col min="4" max="5" width="13.7109375" style="0" customWidth="1"/>
    <col min="6" max="6" width="25.7109375" style="0" customWidth="1"/>
    <col min="7" max="7" width="15.7109375" style="0" customWidth="1"/>
    <col min="8" max="8" width="7.28125" style="0" customWidth="1"/>
    <col min="9" max="9" width="12.7109375" style="0" customWidth="1"/>
    <col min="10" max="10" width="13.28125" style="0" hidden="1" customWidth="1"/>
    <col min="11" max="12" width="15.7109375" style="0" customWidth="1"/>
    <col min="13" max="15" width="9.7109375" style="0" customWidth="1"/>
    <col min="16" max="16" width="5.8515625" style="0" customWidth="1"/>
    <col min="17" max="17" width="6.421875" style="0" customWidth="1"/>
    <col min="18" max="18" width="6.57421875" style="0" customWidth="1"/>
    <col min="19" max="19" width="12.140625" style="0" hidden="1" customWidth="1"/>
    <col min="20" max="20" width="15.140625" style="0" hidden="1" customWidth="1"/>
    <col min="21" max="21" width="16.28125" style="0" hidden="1" customWidth="1"/>
    <col min="22" max="22" width="16.8515625" style="0" hidden="1" customWidth="1"/>
    <col min="23" max="27" width="15.421875" style="0" hidden="1" customWidth="1"/>
    <col min="28" max="28" width="9.7109375" style="0" customWidth="1"/>
    <col min="29" max="29" width="15.7109375" style="0" customWidth="1"/>
    <col min="30" max="30" width="4.140625" style="0" customWidth="1"/>
  </cols>
  <sheetData>
    <row r="1" spans="5:34" s="33" customFormat="1" ht="26.25"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</row>
    <row r="2" spans="2:30" s="33" customFormat="1" ht="26.25">
      <c r="B2" s="402" t="str">
        <f>+'TOT-0410'!B2</f>
        <v>ANEXO I al Memorandum D.T.E.E.  N° 928 /2011  </v>
      </c>
      <c r="C2" s="36"/>
      <c r="D2" s="36"/>
      <c r="E2" s="158"/>
      <c r="F2" s="158"/>
      <c r="G2" s="111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</row>
    <row r="3" spans="5:30" s="8" customFormat="1" ht="18.75" customHeight="1"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</row>
    <row r="4" spans="1:30" s="40" customFormat="1" ht="11.25">
      <c r="A4" s="403" t="s">
        <v>67</v>
      </c>
      <c r="B4" s="113"/>
      <c r="C4" s="403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</row>
    <row r="5" spans="1:30" s="40" customFormat="1" ht="11.25">
      <c r="A5" s="403" t="s">
        <v>68</v>
      </c>
      <c r="B5" s="113"/>
      <c r="C5" s="113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</row>
    <row r="6" spans="1:30" s="8" customFormat="1" ht="13.5" thickBo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</row>
    <row r="7" spans="1:30" s="8" customFormat="1" ht="13.5" thickTop="1">
      <c r="A7" s="120"/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4"/>
    </row>
    <row r="8" spans="1:30" s="44" customFormat="1" ht="20.25">
      <c r="A8" s="141"/>
      <c r="B8" s="142"/>
      <c r="C8" s="126"/>
      <c r="D8" s="126"/>
      <c r="E8" s="126"/>
      <c r="F8" s="18" t="s">
        <v>18</v>
      </c>
      <c r="G8" s="18"/>
      <c r="H8" s="126"/>
      <c r="I8" s="141"/>
      <c r="J8" s="141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43"/>
    </row>
    <row r="9" spans="1:30" s="44" customFormat="1" ht="20.25">
      <c r="A9" s="141"/>
      <c r="B9" s="142"/>
      <c r="C9" s="126"/>
      <c r="D9" s="126"/>
      <c r="E9" s="126"/>
      <c r="F9" s="18"/>
      <c r="G9" s="18"/>
      <c r="H9" s="126"/>
      <c r="I9" s="141"/>
      <c r="J9" s="141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43"/>
    </row>
    <row r="10" spans="1:30" s="44" customFormat="1" ht="20.25">
      <c r="A10" s="141"/>
      <c r="B10" s="142"/>
      <c r="C10" s="126"/>
      <c r="D10" s="126"/>
      <c r="E10" s="126"/>
      <c r="F10" s="18" t="s">
        <v>42</v>
      </c>
      <c r="G10" s="18"/>
      <c r="H10" s="126"/>
      <c r="I10" s="141"/>
      <c r="J10" s="141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43"/>
    </row>
    <row r="11" spans="1:30" s="8" customFormat="1" ht="12.75">
      <c r="A11" s="120"/>
      <c r="B11" s="125"/>
      <c r="C11" s="25"/>
      <c r="D11" s="25"/>
      <c r="E11" s="25"/>
      <c r="F11" s="25"/>
      <c r="G11" s="25"/>
      <c r="H11" s="25"/>
      <c r="I11" s="120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30"/>
    </row>
    <row r="12" spans="1:30" s="44" customFormat="1" ht="20.25">
      <c r="A12" s="141"/>
      <c r="B12" s="142"/>
      <c r="C12" s="126"/>
      <c r="D12" s="126"/>
      <c r="E12" s="126"/>
      <c r="F12" s="159" t="s">
        <v>43</v>
      </c>
      <c r="G12" s="18"/>
      <c r="H12" s="141"/>
      <c r="I12" s="141"/>
      <c r="J12" s="144"/>
      <c r="K12" s="126"/>
      <c r="L12" s="141"/>
      <c r="M12" s="141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43"/>
    </row>
    <row r="13" spans="1:30" s="8" customFormat="1" ht="12.75">
      <c r="A13" s="120"/>
      <c r="B13" s="125"/>
      <c r="C13" s="25"/>
      <c r="D13" s="25"/>
      <c r="E13" s="25"/>
      <c r="F13" s="25"/>
      <c r="G13" s="25"/>
      <c r="H13" s="25"/>
      <c r="I13" s="120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30"/>
    </row>
    <row r="14" spans="1:30" s="44" customFormat="1" ht="20.25">
      <c r="A14" s="141"/>
      <c r="B14" s="142"/>
      <c r="C14" s="126"/>
      <c r="D14" s="126"/>
      <c r="E14" s="126"/>
      <c r="F14" s="159" t="s">
        <v>44</v>
      </c>
      <c r="G14" s="18"/>
      <c r="H14" s="141"/>
      <c r="I14" s="141"/>
      <c r="J14" s="144"/>
      <c r="K14" s="126"/>
      <c r="L14" s="141"/>
      <c r="M14" s="141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43"/>
    </row>
    <row r="15" spans="1:30" s="8" customFormat="1" ht="12.75">
      <c r="A15" s="120"/>
      <c r="B15" s="125"/>
      <c r="C15" s="25"/>
      <c r="D15" s="25"/>
      <c r="E15" s="25"/>
      <c r="F15" s="128"/>
      <c r="G15" s="128"/>
      <c r="H15" s="128"/>
      <c r="I15" s="129"/>
      <c r="J15" s="127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30"/>
    </row>
    <row r="16" spans="1:30" s="51" customFormat="1" ht="19.5">
      <c r="A16" s="145"/>
      <c r="B16" s="153" t="str">
        <f>'TOT-0410'!B14</f>
        <v>Desde el 01 al 30 de abril de 2010</v>
      </c>
      <c r="C16" s="154"/>
      <c r="D16" s="154"/>
      <c r="E16" s="154"/>
      <c r="F16" s="154"/>
      <c r="G16" s="154"/>
      <c r="H16" s="154"/>
      <c r="I16" s="154"/>
      <c r="J16" s="154"/>
      <c r="K16" s="155"/>
      <c r="L16" s="156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7"/>
    </row>
    <row r="17" spans="1:30" s="8" customFormat="1" ht="14.25" thickBot="1">
      <c r="A17" s="120"/>
      <c r="B17" s="125"/>
      <c r="C17" s="25"/>
      <c r="D17" s="25"/>
      <c r="E17" s="25"/>
      <c r="F17" s="25"/>
      <c r="G17" s="25"/>
      <c r="H17" s="25"/>
      <c r="I17" s="130"/>
      <c r="J17" s="25"/>
      <c r="K17" s="138"/>
      <c r="L17" s="139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30"/>
    </row>
    <row r="18" spans="1:30" s="8" customFormat="1" ht="14.25" thickBot="1" thickTop="1">
      <c r="A18" s="120"/>
      <c r="B18" s="125"/>
      <c r="C18" s="25"/>
      <c r="D18" s="25"/>
      <c r="E18" s="25"/>
      <c r="F18" s="146" t="s">
        <v>45</v>
      </c>
      <c r="G18" s="147"/>
      <c r="H18" s="148"/>
      <c r="I18" s="149">
        <v>0.364</v>
      </c>
      <c r="J18" s="120"/>
      <c r="K18" s="25"/>
      <c r="L18" s="325"/>
      <c r="M18" s="326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30"/>
    </row>
    <row r="19" spans="1:30" s="8" customFormat="1" ht="14.25" thickBot="1" thickTop="1">
      <c r="A19" s="120"/>
      <c r="B19" s="125"/>
      <c r="C19" s="25"/>
      <c r="D19" s="25"/>
      <c r="E19" s="25"/>
      <c r="F19" s="150" t="s">
        <v>46</v>
      </c>
      <c r="G19" s="151"/>
      <c r="H19" s="151"/>
      <c r="I19" s="152">
        <f>30*'TOT-0410'!B13</f>
        <v>30</v>
      </c>
      <c r="J19" s="25"/>
      <c r="K19" s="196" t="str">
        <f>IF(I19=30," ",IF(I19=60,"  Coeficiente duplicado por tasa de falla &gt;4 Sal. x año/100 km.","REVISAR COEFICIENTE"))</f>
        <v> 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131"/>
      <c r="X19" s="131"/>
      <c r="Y19" s="131"/>
      <c r="Z19" s="131"/>
      <c r="AA19" s="131"/>
      <c r="AB19" s="131"/>
      <c r="AC19" s="131"/>
      <c r="AD19" s="30"/>
    </row>
    <row r="20" spans="1:30" s="8" customFormat="1" ht="14.25" thickBot="1" thickTop="1">
      <c r="A20" s="120"/>
      <c r="B20" s="125"/>
      <c r="C20" s="25"/>
      <c r="D20" s="25"/>
      <c r="E20" s="25"/>
      <c r="F20" s="25"/>
      <c r="G20" s="25"/>
      <c r="H20" s="25"/>
      <c r="I20" s="132"/>
      <c r="J20" s="25"/>
      <c r="K20" s="133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30"/>
    </row>
    <row r="21" spans="1:30" s="8" customFormat="1" ht="33.75" customHeight="1" thickBot="1" thickTop="1">
      <c r="A21" s="120"/>
      <c r="B21" s="125"/>
      <c r="C21" s="114" t="s">
        <v>23</v>
      </c>
      <c r="D21" s="114" t="s">
        <v>66</v>
      </c>
      <c r="E21" s="114" t="s">
        <v>65</v>
      </c>
      <c r="F21" s="177" t="s">
        <v>47</v>
      </c>
      <c r="G21" s="176" t="s">
        <v>48</v>
      </c>
      <c r="H21" s="178" t="s">
        <v>49</v>
      </c>
      <c r="I21" s="179" t="s">
        <v>24</v>
      </c>
      <c r="J21" s="200" t="s">
        <v>26</v>
      </c>
      <c r="K21" s="176" t="s">
        <v>27</v>
      </c>
      <c r="L21" s="176" t="s">
        <v>28</v>
      </c>
      <c r="M21" s="177" t="s">
        <v>50</v>
      </c>
      <c r="N21" s="177" t="s">
        <v>51</v>
      </c>
      <c r="O21" s="116" t="s">
        <v>31</v>
      </c>
      <c r="P21" s="176" t="s">
        <v>52</v>
      </c>
      <c r="Q21" s="177" t="s">
        <v>32</v>
      </c>
      <c r="R21" s="176" t="s">
        <v>53</v>
      </c>
      <c r="S21" s="268" t="s">
        <v>54</v>
      </c>
      <c r="T21" s="272" t="s">
        <v>33</v>
      </c>
      <c r="U21" s="278" t="s">
        <v>34</v>
      </c>
      <c r="V21" s="225" t="s">
        <v>55</v>
      </c>
      <c r="W21" s="227"/>
      <c r="X21" s="292" t="s">
        <v>56</v>
      </c>
      <c r="Y21" s="293"/>
      <c r="Z21" s="303" t="s">
        <v>37</v>
      </c>
      <c r="AA21" s="309" t="s">
        <v>38</v>
      </c>
      <c r="AB21" s="179" t="s">
        <v>39</v>
      </c>
      <c r="AC21" s="179" t="s">
        <v>40</v>
      </c>
      <c r="AD21" s="30"/>
    </row>
    <row r="22" spans="1:30" s="8" customFormat="1" ht="15.75" thickTop="1">
      <c r="A22" s="120"/>
      <c r="B22" s="125"/>
      <c r="C22" s="357"/>
      <c r="D22" s="357"/>
      <c r="E22" s="357"/>
      <c r="F22" s="358"/>
      <c r="G22" s="359"/>
      <c r="H22" s="359"/>
      <c r="I22" s="359"/>
      <c r="J22" s="204"/>
      <c r="K22" s="365"/>
      <c r="L22" s="359"/>
      <c r="M22" s="20"/>
      <c r="N22" s="20"/>
      <c r="O22" s="359"/>
      <c r="P22" s="359"/>
      <c r="Q22" s="359"/>
      <c r="R22" s="359"/>
      <c r="S22" s="269"/>
      <c r="T22" s="273"/>
      <c r="U22" s="279"/>
      <c r="V22" s="290"/>
      <c r="W22" s="284"/>
      <c r="X22" s="294"/>
      <c r="Y22" s="295"/>
      <c r="Z22" s="304"/>
      <c r="AA22" s="406">
        <f>'T-04 (1)'!AA45</f>
        <v>0</v>
      </c>
      <c r="AB22" s="19"/>
      <c r="AC22" s="32"/>
      <c r="AD22" s="30"/>
    </row>
    <row r="23" spans="1:30" s="8" customFormat="1" ht="15">
      <c r="A23" s="120"/>
      <c r="B23" s="125"/>
      <c r="C23" s="357"/>
      <c r="D23" s="357"/>
      <c r="E23" s="357"/>
      <c r="F23" s="360"/>
      <c r="G23" s="361"/>
      <c r="H23" s="361"/>
      <c r="I23" s="361"/>
      <c r="J23" s="205"/>
      <c r="K23" s="360"/>
      <c r="L23" s="361"/>
      <c r="M23" s="16"/>
      <c r="N23" s="16"/>
      <c r="O23" s="361"/>
      <c r="P23" s="361"/>
      <c r="Q23" s="361"/>
      <c r="R23" s="361"/>
      <c r="S23" s="270"/>
      <c r="T23" s="274"/>
      <c r="U23" s="280"/>
      <c r="V23" s="291"/>
      <c r="W23" s="288"/>
      <c r="X23" s="296"/>
      <c r="Y23" s="297"/>
      <c r="Z23" s="305"/>
      <c r="AA23" s="311"/>
      <c r="AB23" s="15"/>
      <c r="AC23" s="27">
        <f>'T-04 (1)'!AC45</f>
        <v>2670</v>
      </c>
      <c r="AD23" s="30"/>
    </row>
    <row r="24" spans="1:30" s="8" customFormat="1" ht="15">
      <c r="A24" s="120"/>
      <c r="B24" s="125"/>
      <c r="C24" s="357">
        <v>57</v>
      </c>
      <c r="D24" s="357">
        <v>220988</v>
      </c>
      <c r="E24" s="357">
        <v>2661</v>
      </c>
      <c r="F24" s="342" t="s">
        <v>104</v>
      </c>
      <c r="G24" s="336" t="s">
        <v>95</v>
      </c>
      <c r="H24" s="362">
        <v>10</v>
      </c>
      <c r="I24" s="343" t="s">
        <v>93</v>
      </c>
      <c r="J24" s="202">
        <f aca="true" t="shared" si="0" ref="J24:J43">H24*$I$18</f>
        <v>3.6399999999999997</v>
      </c>
      <c r="K24" s="366">
        <v>40287.40833333333</v>
      </c>
      <c r="L24" s="366">
        <v>40287.697916666664</v>
      </c>
      <c r="M24" s="22">
        <f aca="true" t="shared" si="1" ref="M24:M43">IF(F24="","",(L24-K24)*24)</f>
        <v>6.949999999953434</v>
      </c>
      <c r="N24" s="23">
        <f aca="true" t="shared" si="2" ref="N24:N43">IF(F24="","",ROUND((L24-K24)*24*60,0))</f>
        <v>417</v>
      </c>
      <c r="O24" s="367" t="s">
        <v>71</v>
      </c>
      <c r="P24" s="367" t="str">
        <f aca="true" t="shared" si="3" ref="P24:P43">IF(F24="","",IF(OR(O24="P",O24="RP"),"--","NO"))</f>
        <v>--</v>
      </c>
      <c r="Q24" s="367" t="s">
        <v>94</v>
      </c>
      <c r="R24" s="367" t="s">
        <v>131</v>
      </c>
      <c r="S24" s="271">
        <f aca="true" t="shared" si="4" ref="S24:S43">$I$19*IF(R24="SI",1,0.1)*IF(OR(O24="P",O24="RP"),0.1,1)</f>
        <v>0.30000000000000004</v>
      </c>
      <c r="T24" s="275">
        <f aca="true" t="shared" si="5" ref="T24:T43">IF(O24="P",J24*S24*ROUND(N24/60,2),"--")</f>
        <v>7.5894</v>
      </c>
      <c r="U24" s="281" t="str">
        <f aca="true" t="shared" si="6" ref="U24:U43">IF(O24="RP",J24*S24*Q24/100*ROUND(N24/60,2),"--")</f>
        <v>--</v>
      </c>
      <c r="V24" s="228" t="str">
        <f aca="true" t="shared" si="7" ref="V24:V43">IF(AND(O24="F",P24="NO"),J24*S24,"--")</f>
        <v>--</v>
      </c>
      <c r="W24" s="289" t="str">
        <f aca="true" t="shared" si="8" ref="W24:W43">IF(O24="F",J24*S24*ROUND(N24/60,2),"--")</f>
        <v>--</v>
      </c>
      <c r="X24" s="298" t="str">
        <f aca="true" t="shared" si="9" ref="X24:X43">IF(AND(O24="R",P24="NO"),J24*S24*Q24/100,"--")</f>
        <v>--</v>
      </c>
      <c r="Y24" s="299" t="str">
        <f aca="true" t="shared" si="10" ref="Y24:Y43">IF(O24="R",J24*S24*ROUND(N24/60,2)*Q24/100,"--")</f>
        <v>--</v>
      </c>
      <c r="Z24" s="306" t="str">
        <f aca="true" t="shared" si="11" ref="Z24:Z43">IF(O24="RF",J24*S24*ROUND(N24/60,2),"--")</f>
        <v>--</v>
      </c>
      <c r="AA24" s="312" t="str">
        <f aca="true" t="shared" si="12" ref="AA24:AA43">IF(O24="RR",J24*S24*ROUND(N24/60,2)*Q24/100,"--")</f>
        <v>--</v>
      </c>
      <c r="AB24" s="21" t="s">
        <v>72</v>
      </c>
      <c r="AC24" s="27">
        <f aca="true" t="shared" si="13" ref="AC24:AC43">IF(F24="","",SUM(T24:AA24)*IF(AB24="SI",1,2))</f>
        <v>7.5894</v>
      </c>
      <c r="AD24" s="322"/>
    </row>
    <row r="25" spans="1:30" s="8" customFormat="1" ht="15">
      <c r="A25" s="120"/>
      <c r="B25" s="125"/>
      <c r="C25" s="357">
        <v>58</v>
      </c>
      <c r="D25" s="357">
        <v>220989</v>
      </c>
      <c r="E25" s="357">
        <v>2661</v>
      </c>
      <c r="F25" s="342" t="s">
        <v>104</v>
      </c>
      <c r="G25" s="336" t="s">
        <v>95</v>
      </c>
      <c r="H25" s="362">
        <v>10</v>
      </c>
      <c r="I25" s="343" t="s">
        <v>93</v>
      </c>
      <c r="J25" s="202">
        <f t="shared" si="0"/>
        <v>3.6399999999999997</v>
      </c>
      <c r="K25" s="366">
        <v>40288.40902777778</v>
      </c>
      <c r="L25" s="366">
        <v>40288.67916666667</v>
      </c>
      <c r="M25" s="22">
        <f t="shared" si="1"/>
        <v>6.483333333337214</v>
      </c>
      <c r="N25" s="23">
        <f t="shared" si="2"/>
        <v>389</v>
      </c>
      <c r="O25" s="367" t="s">
        <v>71</v>
      </c>
      <c r="P25" s="367" t="str">
        <f t="shared" si="3"/>
        <v>--</v>
      </c>
      <c r="Q25" s="367" t="s">
        <v>94</v>
      </c>
      <c r="R25" s="367" t="s">
        <v>131</v>
      </c>
      <c r="S25" s="271">
        <f t="shared" si="4"/>
        <v>0.30000000000000004</v>
      </c>
      <c r="T25" s="275">
        <f t="shared" si="5"/>
        <v>7.076160000000001</v>
      </c>
      <c r="U25" s="281" t="str">
        <f t="shared" si="6"/>
        <v>--</v>
      </c>
      <c r="V25" s="228" t="str">
        <f t="shared" si="7"/>
        <v>--</v>
      </c>
      <c r="W25" s="289" t="str">
        <f t="shared" si="8"/>
        <v>--</v>
      </c>
      <c r="X25" s="298" t="str">
        <f t="shared" si="9"/>
        <v>--</v>
      </c>
      <c r="Y25" s="299" t="str">
        <f t="shared" si="10"/>
        <v>--</v>
      </c>
      <c r="Z25" s="306" t="str">
        <f t="shared" si="11"/>
        <v>--</v>
      </c>
      <c r="AA25" s="312" t="str">
        <f t="shared" si="12"/>
        <v>--</v>
      </c>
      <c r="AB25" s="21" t="s">
        <v>72</v>
      </c>
      <c r="AC25" s="27">
        <f t="shared" si="13"/>
        <v>7.076160000000001</v>
      </c>
      <c r="AD25" s="322"/>
    </row>
    <row r="26" spans="1:30" s="8" customFormat="1" ht="15">
      <c r="A26" s="120"/>
      <c r="B26" s="125"/>
      <c r="C26" s="357">
        <v>59</v>
      </c>
      <c r="D26" s="357">
        <v>220990</v>
      </c>
      <c r="E26" s="357">
        <v>3819</v>
      </c>
      <c r="F26" s="342" t="s">
        <v>110</v>
      </c>
      <c r="G26" s="336" t="s">
        <v>95</v>
      </c>
      <c r="H26" s="362">
        <v>7.5</v>
      </c>
      <c r="I26" s="343" t="s">
        <v>93</v>
      </c>
      <c r="J26" s="202">
        <f t="shared" si="0"/>
        <v>2.73</v>
      </c>
      <c r="K26" s="366">
        <v>40288.59305555555</v>
      </c>
      <c r="L26" s="366">
        <v>40288.61041666667</v>
      </c>
      <c r="M26" s="22">
        <f t="shared" si="1"/>
        <v>0.41666666680248454</v>
      </c>
      <c r="N26" s="23">
        <f t="shared" si="2"/>
        <v>25</v>
      </c>
      <c r="O26" s="367" t="s">
        <v>71</v>
      </c>
      <c r="P26" s="367" t="str">
        <f t="shared" si="3"/>
        <v>--</v>
      </c>
      <c r="Q26" s="367" t="s">
        <v>94</v>
      </c>
      <c r="R26" s="367" t="s">
        <v>72</v>
      </c>
      <c r="S26" s="271">
        <f t="shared" si="4"/>
        <v>3</v>
      </c>
      <c r="T26" s="275">
        <f t="shared" si="5"/>
        <v>3.4397999999999995</v>
      </c>
      <c r="U26" s="281" t="str">
        <f t="shared" si="6"/>
        <v>--</v>
      </c>
      <c r="V26" s="228" t="str">
        <f t="shared" si="7"/>
        <v>--</v>
      </c>
      <c r="W26" s="289" t="str">
        <f t="shared" si="8"/>
        <v>--</v>
      </c>
      <c r="X26" s="298" t="str">
        <f t="shared" si="9"/>
        <v>--</v>
      </c>
      <c r="Y26" s="299" t="str">
        <f t="shared" si="10"/>
        <v>--</v>
      </c>
      <c r="Z26" s="306" t="str">
        <f t="shared" si="11"/>
        <v>--</v>
      </c>
      <c r="AA26" s="312" t="str">
        <f t="shared" si="12"/>
        <v>--</v>
      </c>
      <c r="AB26" s="21" t="s">
        <v>72</v>
      </c>
      <c r="AC26" s="27">
        <f t="shared" si="13"/>
        <v>3.4397999999999995</v>
      </c>
      <c r="AD26" s="322"/>
    </row>
    <row r="27" spans="1:30" s="8" customFormat="1" ht="15">
      <c r="A27" s="120"/>
      <c r="B27" s="125"/>
      <c r="C27" s="357">
        <v>60</v>
      </c>
      <c r="D27" s="357">
        <v>221268</v>
      </c>
      <c r="E27" s="357">
        <v>3819</v>
      </c>
      <c r="F27" s="342" t="s">
        <v>110</v>
      </c>
      <c r="G27" s="336" t="s">
        <v>95</v>
      </c>
      <c r="H27" s="362">
        <v>7.5</v>
      </c>
      <c r="I27" s="343" t="s">
        <v>93</v>
      </c>
      <c r="J27" s="202">
        <f t="shared" si="0"/>
        <v>2.73</v>
      </c>
      <c r="K27" s="366">
        <v>40288.61111111111</v>
      </c>
      <c r="L27" s="366">
        <v>40288.677777777775</v>
      </c>
      <c r="M27" s="22">
        <f t="shared" si="1"/>
        <v>1.599999999976717</v>
      </c>
      <c r="N27" s="23">
        <f t="shared" si="2"/>
        <v>96</v>
      </c>
      <c r="O27" s="367" t="s">
        <v>71</v>
      </c>
      <c r="P27" s="367" t="str">
        <f t="shared" si="3"/>
        <v>--</v>
      </c>
      <c r="Q27" s="367" t="s">
        <v>94</v>
      </c>
      <c r="R27" s="367" t="s">
        <v>131</v>
      </c>
      <c r="S27" s="271">
        <f t="shared" si="4"/>
        <v>0.30000000000000004</v>
      </c>
      <c r="T27" s="275">
        <f t="shared" si="5"/>
        <v>1.3104000000000002</v>
      </c>
      <c r="U27" s="281" t="str">
        <f t="shared" si="6"/>
        <v>--</v>
      </c>
      <c r="V27" s="228" t="str">
        <f t="shared" si="7"/>
        <v>--</v>
      </c>
      <c r="W27" s="289" t="str">
        <f t="shared" si="8"/>
        <v>--</v>
      </c>
      <c r="X27" s="298" t="str">
        <f t="shared" si="9"/>
        <v>--</v>
      </c>
      <c r="Y27" s="299" t="str">
        <f t="shared" si="10"/>
        <v>--</v>
      </c>
      <c r="Z27" s="306" t="str">
        <f t="shared" si="11"/>
        <v>--</v>
      </c>
      <c r="AA27" s="312" t="str">
        <f t="shared" si="12"/>
        <v>--</v>
      </c>
      <c r="AB27" s="21" t="s">
        <v>72</v>
      </c>
      <c r="AC27" s="27">
        <f t="shared" si="13"/>
        <v>1.3104000000000002</v>
      </c>
      <c r="AD27" s="322"/>
    </row>
    <row r="28" spans="1:30" s="8" customFormat="1" ht="15">
      <c r="A28" s="120"/>
      <c r="B28" s="125"/>
      <c r="C28" s="357">
        <v>61</v>
      </c>
      <c r="D28" s="357">
        <v>220991</v>
      </c>
      <c r="E28" s="357">
        <v>3585</v>
      </c>
      <c r="F28" s="342" t="s">
        <v>110</v>
      </c>
      <c r="G28" s="336" t="s">
        <v>92</v>
      </c>
      <c r="H28" s="362">
        <v>7.5</v>
      </c>
      <c r="I28" s="343" t="s">
        <v>93</v>
      </c>
      <c r="J28" s="202">
        <f t="shared" si="0"/>
        <v>2.73</v>
      </c>
      <c r="K28" s="366">
        <v>40288.680555555555</v>
      </c>
      <c r="L28" s="366">
        <v>40288.68472222222</v>
      </c>
      <c r="M28" s="22">
        <f t="shared" si="1"/>
        <v>0.09999999997671694</v>
      </c>
      <c r="N28" s="23">
        <f t="shared" si="2"/>
        <v>6</v>
      </c>
      <c r="O28" s="367" t="s">
        <v>71</v>
      </c>
      <c r="P28" s="367" t="str">
        <f t="shared" si="3"/>
        <v>--</v>
      </c>
      <c r="Q28" s="367" t="s">
        <v>94</v>
      </c>
      <c r="R28" s="367" t="s">
        <v>72</v>
      </c>
      <c r="S28" s="271">
        <f t="shared" si="4"/>
        <v>3</v>
      </c>
      <c r="T28" s="275">
        <f t="shared" si="5"/>
        <v>0.819</v>
      </c>
      <c r="U28" s="281" t="str">
        <f t="shared" si="6"/>
        <v>--</v>
      </c>
      <c r="V28" s="228" t="str">
        <f t="shared" si="7"/>
        <v>--</v>
      </c>
      <c r="W28" s="289" t="str">
        <f t="shared" si="8"/>
        <v>--</v>
      </c>
      <c r="X28" s="298" t="str">
        <f t="shared" si="9"/>
        <v>--</v>
      </c>
      <c r="Y28" s="299" t="str">
        <f t="shared" si="10"/>
        <v>--</v>
      </c>
      <c r="Z28" s="306" t="str">
        <f t="shared" si="11"/>
        <v>--</v>
      </c>
      <c r="AA28" s="312" t="str">
        <f t="shared" si="12"/>
        <v>--</v>
      </c>
      <c r="AB28" s="21" t="s">
        <v>72</v>
      </c>
      <c r="AC28" s="27">
        <f t="shared" si="13"/>
        <v>0.819</v>
      </c>
      <c r="AD28" s="322"/>
    </row>
    <row r="29" spans="1:30" s="8" customFormat="1" ht="15">
      <c r="A29" s="120"/>
      <c r="B29" s="125"/>
      <c r="C29" s="357">
        <v>62</v>
      </c>
      <c r="D29" s="357">
        <v>221269</v>
      </c>
      <c r="E29" s="357">
        <v>3585</v>
      </c>
      <c r="F29" s="342" t="s">
        <v>110</v>
      </c>
      <c r="G29" s="336" t="s">
        <v>92</v>
      </c>
      <c r="H29" s="362">
        <v>7.5</v>
      </c>
      <c r="I29" s="343" t="s">
        <v>93</v>
      </c>
      <c r="J29" s="202">
        <f t="shared" si="0"/>
        <v>2.73</v>
      </c>
      <c r="K29" s="366">
        <v>40288.68541666667</v>
      </c>
      <c r="L29" s="366">
        <v>40288.739583333336</v>
      </c>
      <c r="M29" s="22">
        <f t="shared" si="1"/>
        <v>1.3000000000465661</v>
      </c>
      <c r="N29" s="23">
        <f t="shared" si="2"/>
        <v>78</v>
      </c>
      <c r="O29" s="367" t="s">
        <v>71</v>
      </c>
      <c r="P29" s="367" t="str">
        <f t="shared" si="3"/>
        <v>--</v>
      </c>
      <c r="Q29" s="367" t="s">
        <v>94</v>
      </c>
      <c r="R29" s="367" t="s">
        <v>131</v>
      </c>
      <c r="S29" s="271">
        <f t="shared" si="4"/>
        <v>0.30000000000000004</v>
      </c>
      <c r="T29" s="275">
        <f t="shared" si="5"/>
        <v>1.0647000000000002</v>
      </c>
      <c r="U29" s="281" t="str">
        <f t="shared" si="6"/>
        <v>--</v>
      </c>
      <c r="V29" s="228" t="str">
        <f t="shared" si="7"/>
        <v>--</v>
      </c>
      <c r="W29" s="289" t="str">
        <f t="shared" si="8"/>
        <v>--</v>
      </c>
      <c r="X29" s="298" t="str">
        <f t="shared" si="9"/>
        <v>--</v>
      </c>
      <c r="Y29" s="299" t="str">
        <f t="shared" si="10"/>
        <v>--</v>
      </c>
      <c r="Z29" s="306" t="str">
        <f t="shared" si="11"/>
        <v>--</v>
      </c>
      <c r="AA29" s="312" t="str">
        <f t="shared" si="12"/>
        <v>--</v>
      </c>
      <c r="AB29" s="21" t="s">
        <v>72</v>
      </c>
      <c r="AC29" s="27">
        <f t="shared" si="13"/>
        <v>1.0647000000000002</v>
      </c>
      <c r="AD29" s="322"/>
    </row>
    <row r="30" spans="1:30" s="8" customFormat="1" ht="15">
      <c r="A30" s="120"/>
      <c r="B30" s="125"/>
      <c r="C30" s="357">
        <v>63</v>
      </c>
      <c r="D30" s="357">
        <v>220984</v>
      </c>
      <c r="E30" s="357">
        <v>3946</v>
      </c>
      <c r="F30" s="342" t="s">
        <v>149</v>
      </c>
      <c r="G30" s="336" t="s">
        <v>92</v>
      </c>
      <c r="H30" s="362">
        <v>30</v>
      </c>
      <c r="I30" s="343" t="s">
        <v>93</v>
      </c>
      <c r="J30" s="202">
        <f t="shared" si="0"/>
        <v>10.92</v>
      </c>
      <c r="K30" s="366">
        <v>40289.74375</v>
      </c>
      <c r="L30" s="366">
        <v>40289.771527777775</v>
      </c>
      <c r="M30" s="22">
        <f t="shared" si="1"/>
        <v>0.6666666665696539</v>
      </c>
      <c r="N30" s="23">
        <f t="shared" si="2"/>
        <v>40</v>
      </c>
      <c r="O30" s="367" t="s">
        <v>74</v>
      </c>
      <c r="P30" s="367" t="str">
        <f t="shared" si="3"/>
        <v>NO</v>
      </c>
      <c r="Q30" s="367" t="s">
        <v>94</v>
      </c>
      <c r="R30" s="367" t="s">
        <v>72</v>
      </c>
      <c r="S30" s="271">
        <f t="shared" si="4"/>
        <v>30</v>
      </c>
      <c r="T30" s="275" t="str">
        <f t="shared" si="5"/>
        <v>--</v>
      </c>
      <c r="U30" s="281" t="str">
        <f t="shared" si="6"/>
        <v>--</v>
      </c>
      <c r="V30" s="228">
        <f t="shared" si="7"/>
        <v>327.6</v>
      </c>
      <c r="W30" s="289">
        <f t="shared" si="8"/>
        <v>219.49200000000002</v>
      </c>
      <c r="X30" s="298" t="str">
        <f t="shared" si="9"/>
        <v>--</v>
      </c>
      <c r="Y30" s="299" t="str">
        <f t="shared" si="10"/>
        <v>--</v>
      </c>
      <c r="Z30" s="306" t="str">
        <f t="shared" si="11"/>
        <v>--</v>
      </c>
      <c r="AA30" s="312" t="str">
        <f t="shared" si="12"/>
        <v>--</v>
      </c>
      <c r="AB30" s="21" t="s">
        <v>72</v>
      </c>
      <c r="AC30" s="27">
        <f t="shared" si="13"/>
        <v>547.0920000000001</v>
      </c>
      <c r="AD30" s="322"/>
    </row>
    <row r="31" spans="1:30" s="8" customFormat="1" ht="15">
      <c r="A31" s="120"/>
      <c r="B31" s="125"/>
      <c r="C31" s="357">
        <v>64</v>
      </c>
      <c r="D31" s="357">
        <v>220985</v>
      </c>
      <c r="E31" s="357">
        <v>4517</v>
      </c>
      <c r="F31" s="342" t="s">
        <v>112</v>
      </c>
      <c r="G31" s="336" t="s">
        <v>95</v>
      </c>
      <c r="H31" s="362">
        <v>30</v>
      </c>
      <c r="I31" s="343" t="s">
        <v>93</v>
      </c>
      <c r="J31" s="202">
        <f t="shared" si="0"/>
        <v>10.92</v>
      </c>
      <c r="K31" s="366">
        <v>40289.74375</v>
      </c>
      <c r="L31" s="366">
        <v>40289.771527777775</v>
      </c>
      <c r="M31" s="22">
        <f t="shared" si="1"/>
        <v>0.6666666665696539</v>
      </c>
      <c r="N31" s="23">
        <f t="shared" si="2"/>
        <v>40</v>
      </c>
      <c r="O31" s="367" t="s">
        <v>74</v>
      </c>
      <c r="P31" s="367" t="str">
        <f t="shared" si="3"/>
        <v>NO</v>
      </c>
      <c r="Q31" s="367" t="s">
        <v>94</v>
      </c>
      <c r="R31" s="367" t="s">
        <v>72</v>
      </c>
      <c r="S31" s="271">
        <f t="shared" si="4"/>
        <v>30</v>
      </c>
      <c r="T31" s="275" t="str">
        <f t="shared" si="5"/>
        <v>--</v>
      </c>
      <c r="U31" s="281" t="str">
        <f t="shared" si="6"/>
        <v>--</v>
      </c>
      <c r="V31" s="228">
        <f t="shared" si="7"/>
        <v>327.6</v>
      </c>
      <c r="W31" s="289">
        <f t="shared" si="8"/>
        <v>219.49200000000002</v>
      </c>
      <c r="X31" s="298" t="str">
        <f t="shared" si="9"/>
        <v>--</v>
      </c>
      <c r="Y31" s="299" t="str">
        <f t="shared" si="10"/>
        <v>--</v>
      </c>
      <c r="Z31" s="306" t="str">
        <f t="shared" si="11"/>
        <v>--</v>
      </c>
      <c r="AA31" s="312" t="str">
        <f t="shared" si="12"/>
        <v>--</v>
      </c>
      <c r="AB31" s="21" t="s">
        <v>72</v>
      </c>
      <c r="AC31" s="27">
        <f t="shared" si="13"/>
        <v>547.0920000000001</v>
      </c>
      <c r="AD31" s="322"/>
    </row>
    <row r="32" spans="1:30" s="8" customFormat="1" ht="15">
      <c r="A32" s="120"/>
      <c r="B32" s="125"/>
      <c r="C32" s="357">
        <v>65</v>
      </c>
      <c r="D32" s="357">
        <v>220992</v>
      </c>
      <c r="E32" s="357">
        <v>554</v>
      </c>
      <c r="F32" s="342" t="s">
        <v>91</v>
      </c>
      <c r="G32" s="336" t="s">
        <v>92</v>
      </c>
      <c r="H32" s="362">
        <v>15</v>
      </c>
      <c r="I32" s="343" t="s">
        <v>93</v>
      </c>
      <c r="J32" s="202">
        <f t="shared" si="0"/>
        <v>5.46</v>
      </c>
      <c r="K32" s="366">
        <v>40290.384722222225</v>
      </c>
      <c r="L32" s="366">
        <v>40290.521527777775</v>
      </c>
      <c r="M32" s="22">
        <f t="shared" si="1"/>
        <v>3.283333333209157</v>
      </c>
      <c r="N32" s="23">
        <f t="shared" si="2"/>
        <v>197</v>
      </c>
      <c r="O32" s="367" t="s">
        <v>96</v>
      </c>
      <c r="P32" s="367" t="str">
        <f t="shared" si="3"/>
        <v>--</v>
      </c>
      <c r="Q32" s="368">
        <v>60</v>
      </c>
      <c r="R32" s="367" t="s">
        <v>131</v>
      </c>
      <c r="S32" s="271">
        <f t="shared" si="4"/>
        <v>0.30000000000000004</v>
      </c>
      <c r="T32" s="275" t="str">
        <f t="shared" si="5"/>
        <v>--</v>
      </c>
      <c r="U32" s="281">
        <f t="shared" si="6"/>
        <v>3.223584</v>
      </c>
      <c r="V32" s="228" t="str">
        <f t="shared" si="7"/>
        <v>--</v>
      </c>
      <c r="W32" s="289" t="str">
        <f t="shared" si="8"/>
        <v>--</v>
      </c>
      <c r="X32" s="298" t="str">
        <f t="shared" si="9"/>
        <v>--</v>
      </c>
      <c r="Y32" s="299" t="str">
        <f t="shared" si="10"/>
        <v>--</v>
      </c>
      <c r="Z32" s="306" t="str">
        <f t="shared" si="11"/>
        <v>--</v>
      </c>
      <c r="AA32" s="312" t="str">
        <f t="shared" si="12"/>
        <v>--</v>
      </c>
      <c r="AB32" s="21" t="s">
        <v>72</v>
      </c>
      <c r="AC32" s="27">
        <f t="shared" si="13"/>
        <v>3.223584</v>
      </c>
      <c r="AD32" s="322"/>
    </row>
    <row r="33" spans="1:30" s="8" customFormat="1" ht="15">
      <c r="A33" s="120"/>
      <c r="B33" s="125"/>
      <c r="C33" s="357">
        <v>66</v>
      </c>
      <c r="D33" s="357">
        <v>220986</v>
      </c>
      <c r="E33" s="357">
        <v>4689</v>
      </c>
      <c r="F33" s="342" t="s">
        <v>113</v>
      </c>
      <c r="G33" s="336" t="s">
        <v>92</v>
      </c>
      <c r="H33" s="362">
        <v>7.5</v>
      </c>
      <c r="I33" s="343" t="s">
        <v>93</v>
      </c>
      <c r="J33" s="202">
        <f t="shared" si="0"/>
        <v>2.73</v>
      </c>
      <c r="K33" s="366">
        <v>40290.524305555555</v>
      </c>
      <c r="L33" s="366">
        <v>40290.56458333333</v>
      </c>
      <c r="M33" s="22">
        <f t="shared" si="1"/>
        <v>0.9666666666744277</v>
      </c>
      <c r="N33" s="23">
        <f t="shared" si="2"/>
        <v>58</v>
      </c>
      <c r="O33" s="367" t="s">
        <v>74</v>
      </c>
      <c r="P33" s="367" t="str">
        <f t="shared" si="3"/>
        <v>NO</v>
      </c>
      <c r="Q33" s="367" t="s">
        <v>94</v>
      </c>
      <c r="R33" s="367" t="s">
        <v>72</v>
      </c>
      <c r="S33" s="271">
        <f t="shared" si="4"/>
        <v>30</v>
      </c>
      <c r="T33" s="275" t="str">
        <f t="shared" si="5"/>
        <v>--</v>
      </c>
      <c r="U33" s="281" t="str">
        <f t="shared" si="6"/>
        <v>--</v>
      </c>
      <c r="V33" s="228">
        <f t="shared" si="7"/>
        <v>81.9</v>
      </c>
      <c r="W33" s="289">
        <f t="shared" si="8"/>
        <v>79.443</v>
      </c>
      <c r="X33" s="298" t="str">
        <f t="shared" si="9"/>
        <v>--</v>
      </c>
      <c r="Y33" s="299" t="str">
        <f t="shared" si="10"/>
        <v>--</v>
      </c>
      <c r="Z33" s="306" t="str">
        <f t="shared" si="11"/>
        <v>--</v>
      </c>
      <c r="AA33" s="312" t="str">
        <f t="shared" si="12"/>
        <v>--</v>
      </c>
      <c r="AB33" s="21" t="s">
        <v>72</v>
      </c>
      <c r="AC33" s="27">
        <f t="shared" si="13"/>
        <v>161.34300000000002</v>
      </c>
      <c r="AD33" s="322"/>
    </row>
    <row r="34" spans="1:30" s="8" customFormat="1" ht="15">
      <c r="A34" s="120"/>
      <c r="B34" s="125"/>
      <c r="C34" s="357">
        <v>67</v>
      </c>
      <c r="D34" s="357">
        <v>220993</v>
      </c>
      <c r="E34" s="357">
        <v>4062</v>
      </c>
      <c r="F34" s="342" t="s">
        <v>91</v>
      </c>
      <c r="G34" s="336" t="s">
        <v>95</v>
      </c>
      <c r="H34" s="362">
        <v>30</v>
      </c>
      <c r="I34" s="343" t="s">
        <v>93</v>
      </c>
      <c r="J34" s="202">
        <f t="shared" si="0"/>
        <v>10.92</v>
      </c>
      <c r="K34" s="366">
        <v>40290.52847222222</v>
      </c>
      <c r="L34" s="366">
        <v>40290.61319444444</v>
      </c>
      <c r="M34" s="22">
        <f t="shared" si="1"/>
        <v>2.0333333333255723</v>
      </c>
      <c r="N34" s="23">
        <f t="shared" si="2"/>
        <v>122</v>
      </c>
      <c r="O34" s="367" t="s">
        <v>96</v>
      </c>
      <c r="P34" s="367" t="str">
        <f t="shared" si="3"/>
        <v>--</v>
      </c>
      <c r="Q34" s="368">
        <v>60</v>
      </c>
      <c r="R34" s="367" t="s">
        <v>131</v>
      </c>
      <c r="S34" s="271">
        <f t="shared" si="4"/>
        <v>0.30000000000000004</v>
      </c>
      <c r="T34" s="275" t="str">
        <f t="shared" si="5"/>
        <v>--</v>
      </c>
      <c r="U34" s="281">
        <f t="shared" si="6"/>
        <v>3.9901679999999997</v>
      </c>
      <c r="V34" s="228" t="str">
        <f t="shared" si="7"/>
        <v>--</v>
      </c>
      <c r="W34" s="289" t="str">
        <f t="shared" si="8"/>
        <v>--</v>
      </c>
      <c r="X34" s="298" t="str">
        <f t="shared" si="9"/>
        <v>--</v>
      </c>
      <c r="Y34" s="299" t="str">
        <f t="shared" si="10"/>
        <v>--</v>
      </c>
      <c r="Z34" s="306" t="str">
        <f t="shared" si="11"/>
        <v>--</v>
      </c>
      <c r="AA34" s="312" t="str">
        <f t="shared" si="12"/>
        <v>--</v>
      </c>
      <c r="AB34" s="21" t="s">
        <v>72</v>
      </c>
      <c r="AC34" s="27">
        <f t="shared" si="13"/>
        <v>3.9901679999999997</v>
      </c>
      <c r="AD34" s="322"/>
    </row>
    <row r="35" spans="1:30" s="8" customFormat="1" ht="15">
      <c r="A35" s="120"/>
      <c r="B35" s="125"/>
      <c r="C35" s="357">
        <v>68</v>
      </c>
      <c r="D35" s="357">
        <v>220987</v>
      </c>
      <c r="E35" s="357">
        <v>3836</v>
      </c>
      <c r="F35" s="342" t="s">
        <v>114</v>
      </c>
      <c r="G35" s="336" t="s">
        <v>92</v>
      </c>
      <c r="H35" s="362">
        <v>15</v>
      </c>
      <c r="I35" s="343" t="s">
        <v>93</v>
      </c>
      <c r="J35" s="202">
        <f t="shared" si="0"/>
        <v>5.46</v>
      </c>
      <c r="K35" s="366">
        <v>40290.85486111111</v>
      </c>
      <c r="L35" s="366">
        <v>40290.90069444444</v>
      </c>
      <c r="M35" s="22">
        <f t="shared" si="1"/>
        <v>1.0999999999185093</v>
      </c>
      <c r="N35" s="23">
        <f t="shared" si="2"/>
        <v>66</v>
      </c>
      <c r="O35" s="367" t="s">
        <v>74</v>
      </c>
      <c r="P35" s="367" t="str">
        <f t="shared" si="3"/>
        <v>NO</v>
      </c>
      <c r="Q35" s="367" t="s">
        <v>94</v>
      </c>
      <c r="R35" s="367" t="s">
        <v>72</v>
      </c>
      <c r="S35" s="271">
        <f t="shared" si="4"/>
        <v>30</v>
      </c>
      <c r="T35" s="275" t="str">
        <f t="shared" si="5"/>
        <v>--</v>
      </c>
      <c r="U35" s="281" t="str">
        <f t="shared" si="6"/>
        <v>--</v>
      </c>
      <c r="V35" s="228">
        <f t="shared" si="7"/>
        <v>163.8</v>
      </c>
      <c r="W35" s="289">
        <f t="shared" si="8"/>
        <v>180.18000000000004</v>
      </c>
      <c r="X35" s="298" t="str">
        <f t="shared" si="9"/>
        <v>--</v>
      </c>
      <c r="Y35" s="299" t="str">
        <f t="shared" si="10"/>
        <v>--</v>
      </c>
      <c r="Z35" s="306" t="str">
        <f t="shared" si="11"/>
        <v>--</v>
      </c>
      <c r="AA35" s="312" t="str">
        <f t="shared" si="12"/>
        <v>--</v>
      </c>
      <c r="AB35" s="21" t="s">
        <v>72</v>
      </c>
      <c r="AC35" s="27">
        <f t="shared" si="13"/>
        <v>343.98</v>
      </c>
      <c r="AD35" s="322"/>
    </row>
    <row r="36" spans="1:30" s="8" customFormat="1" ht="15">
      <c r="A36" s="120"/>
      <c r="B36" s="125"/>
      <c r="C36" s="357">
        <v>69</v>
      </c>
      <c r="D36" s="357">
        <v>221267</v>
      </c>
      <c r="E36" s="357">
        <v>3836</v>
      </c>
      <c r="F36" s="342" t="s">
        <v>114</v>
      </c>
      <c r="G36" s="336" t="s">
        <v>92</v>
      </c>
      <c r="H36" s="362">
        <v>15</v>
      </c>
      <c r="I36" s="343" t="s">
        <v>93</v>
      </c>
      <c r="J36" s="202">
        <f t="shared" si="0"/>
        <v>5.46</v>
      </c>
      <c r="K36" s="366">
        <v>40290.90138888889</v>
      </c>
      <c r="L36" s="366">
        <v>40291.75902777778</v>
      </c>
      <c r="M36" s="22">
        <f t="shared" si="1"/>
        <v>20.58333333337214</v>
      </c>
      <c r="N36" s="23">
        <f t="shared" si="2"/>
        <v>1235</v>
      </c>
      <c r="O36" s="367" t="s">
        <v>74</v>
      </c>
      <c r="P36" s="367" t="str">
        <f t="shared" si="3"/>
        <v>NO</v>
      </c>
      <c r="Q36" s="367" t="s">
        <v>94</v>
      </c>
      <c r="R36" s="367" t="s">
        <v>131</v>
      </c>
      <c r="S36" s="271">
        <f t="shared" si="4"/>
        <v>3</v>
      </c>
      <c r="T36" s="275" t="str">
        <f t="shared" si="5"/>
        <v>--</v>
      </c>
      <c r="U36" s="281" t="str">
        <f t="shared" si="6"/>
        <v>--</v>
      </c>
      <c r="V36" s="228">
        <f t="shared" si="7"/>
        <v>16.38</v>
      </c>
      <c r="W36" s="289">
        <f t="shared" si="8"/>
        <v>337.1004</v>
      </c>
      <c r="X36" s="298" t="str">
        <f t="shared" si="9"/>
        <v>--</v>
      </c>
      <c r="Y36" s="299" t="str">
        <f t="shared" si="10"/>
        <v>--</v>
      </c>
      <c r="Z36" s="306" t="str">
        <f t="shared" si="11"/>
        <v>--</v>
      </c>
      <c r="AA36" s="312" t="str">
        <f t="shared" si="12"/>
        <v>--</v>
      </c>
      <c r="AB36" s="21" t="s">
        <v>72</v>
      </c>
      <c r="AC36" s="27">
        <f t="shared" si="13"/>
        <v>353.4804</v>
      </c>
      <c r="AD36" s="322"/>
    </row>
    <row r="37" spans="1:30" s="8" customFormat="1" ht="15">
      <c r="A37" s="120"/>
      <c r="B37" s="125"/>
      <c r="C37" s="357">
        <v>70</v>
      </c>
      <c r="D37" s="357">
        <v>220994</v>
      </c>
      <c r="E37" s="357">
        <v>545</v>
      </c>
      <c r="F37" s="342" t="s">
        <v>115</v>
      </c>
      <c r="G37" s="336" t="s">
        <v>92</v>
      </c>
      <c r="H37" s="362">
        <v>15</v>
      </c>
      <c r="I37" s="343" t="s">
        <v>93</v>
      </c>
      <c r="J37" s="202">
        <f t="shared" si="0"/>
        <v>5.46</v>
      </c>
      <c r="K37" s="366">
        <v>40291.490277777775</v>
      </c>
      <c r="L37" s="366">
        <v>40291.5125</v>
      </c>
      <c r="M37" s="22">
        <f t="shared" si="1"/>
        <v>0.5333333333255723</v>
      </c>
      <c r="N37" s="23">
        <f t="shared" si="2"/>
        <v>32</v>
      </c>
      <c r="O37" s="367" t="s">
        <v>96</v>
      </c>
      <c r="P37" s="367" t="str">
        <f t="shared" si="3"/>
        <v>--</v>
      </c>
      <c r="Q37" s="368">
        <v>60</v>
      </c>
      <c r="R37" s="367" t="s">
        <v>131</v>
      </c>
      <c r="S37" s="271">
        <f t="shared" si="4"/>
        <v>0.30000000000000004</v>
      </c>
      <c r="T37" s="275" t="str">
        <f t="shared" si="5"/>
        <v>--</v>
      </c>
      <c r="U37" s="281">
        <f t="shared" si="6"/>
        <v>0.520884</v>
      </c>
      <c r="V37" s="228" t="str">
        <f t="shared" si="7"/>
        <v>--</v>
      </c>
      <c r="W37" s="289" t="str">
        <f t="shared" si="8"/>
        <v>--</v>
      </c>
      <c r="X37" s="298" t="str">
        <f t="shared" si="9"/>
        <v>--</v>
      </c>
      <c r="Y37" s="299" t="str">
        <f t="shared" si="10"/>
        <v>--</v>
      </c>
      <c r="Z37" s="306" t="str">
        <f t="shared" si="11"/>
        <v>--</v>
      </c>
      <c r="AA37" s="312" t="str">
        <f t="shared" si="12"/>
        <v>--</v>
      </c>
      <c r="AB37" s="21" t="s">
        <v>72</v>
      </c>
      <c r="AC37" s="27">
        <f t="shared" si="13"/>
        <v>0.520884</v>
      </c>
      <c r="AD37" s="30"/>
    </row>
    <row r="38" spans="1:30" s="8" customFormat="1" ht="15">
      <c r="A38" s="120"/>
      <c r="B38" s="125"/>
      <c r="C38" s="357">
        <v>71</v>
      </c>
      <c r="D38" s="357">
        <v>220995</v>
      </c>
      <c r="E38" s="357">
        <v>1868</v>
      </c>
      <c r="F38" s="342" t="s">
        <v>111</v>
      </c>
      <c r="G38" s="336" t="s">
        <v>116</v>
      </c>
      <c r="H38" s="362">
        <v>15</v>
      </c>
      <c r="I38" s="343" t="s">
        <v>93</v>
      </c>
      <c r="J38" s="202">
        <f t="shared" si="0"/>
        <v>5.46</v>
      </c>
      <c r="K38" s="366">
        <v>40293.31527777778</v>
      </c>
      <c r="L38" s="366">
        <v>40293.688888888886</v>
      </c>
      <c r="M38" s="22">
        <f t="shared" si="1"/>
        <v>8.966666666558012</v>
      </c>
      <c r="N38" s="23">
        <f t="shared" si="2"/>
        <v>538</v>
      </c>
      <c r="O38" s="367" t="s">
        <v>71</v>
      </c>
      <c r="P38" s="367" t="str">
        <f t="shared" si="3"/>
        <v>--</v>
      </c>
      <c r="Q38" s="367" t="s">
        <v>94</v>
      </c>
      <c r="R38" s="367" t="s">
        <v>131</v>
      </c>
      <c r="S38" s="271">
        <f t="shared" si="4"/>
        <v>0.30000000000000004</v>
      </c>
      <c r="T38" s="275">
        <f t="shared" si="5"/>
        <v>14.692860000000001</v>
      </c>
      <c r="U38" s="281" t="str">
        <f t="shared" si="6"/>
        <v>--</v>
      </c>
      <c r="V38" s="228" t="str">
        <f t="shared" si="7"/>
        <v>--</v>
      </c>
      <c r="W38" s="289" t="str">
        <f t="shared" si="8"/>
        <v>--</v>
      </c>
      <c r="X38" s="298" t="str">
        <f t="shared" si="9"/>
        <v>--</v>
      </c>
      <c r="Y38" s="299" t="str">
        <f t="shared" si="10"/>
        <v>--</v>
      </c>
      <c r="Z38" s="306" t="str">
        <f t="shared" si="11"/>
        <v>--</v>
      </c>
      <c r="AA38" s="312" t="str">
        <f t="shared" si="12"/>
        <v>--</v>
      </c>
      <c r="AB38" s="21" t="s">
        <v>72</v>
      </c>
      <c r="AC38" s="27">
        <f t="shared" si="13"/>
        <v>14.692860000000001</v>
      </c>
      <c r="AD38" s="30"/>
    </row>
    <row r="39" spans="1:30" s="8" customFormat="1" ht="15">
      <c r="A39" s="120"/>
      <c r="B39" s="125"/>
      <c r="C39" s="357">
        <v>72</v>
      </c>
      <c r="D39" s="357">
        <v>220996</v>
      </c>
      <c r="E39" s="357">
        <v>537</v>
      </c>
      <c r="F39" s="342" t="s">
        <v>111</v>
      </c>
      <c r="G39" s="336" t="s">
        <v>101</v>
      </c>
      <c r="H39" s="362">
        <v>15</v>
      </c>
      <c r="I39" s="343" t="s">
        <v>93</v>
      </c>
      <c r="J39" s="202">
        <f t="shared" si="0"/>
        <v>5.46</v>
      </c>
      <c r="K39" s="366">
        <v>40293.31527777778</v>
      </c>
      <c r="L39" s="366">
        <v>40293.688888888886</v>
      </c>
      <c r="M39" s="22">
        <f t="shared" si="1"/>
        <v>8.966666666558012</v>
      </c>
      <c r="N39" s="23">
        <f t="shared" si="2"/>
        <v>538</v>
      </c>
      <c r="O39" s="367" t="s">
        <v>71</v>
      </c>
      <c r="P39" s="367" t="str">
        <f t="shared" si="3"/>
        <v>--</v>
      </c>
      <c r="Q39" s="367" t="s">
        <v>94</v>
      </c>
      <c r="R39" s="367" t="s">
        <v>131</v>
      </c>
      <c r="S39" s="271">
        <f t="shared" si="4"/>
        <v>0.30000000000000004</v>
      </c>
      <c r="T39" s="275">
        <f t="shared" si="5"/>
        <v>14.692860000000001</v>
      </c>
      <c r="U39" s="281" t="str">
        <f t="shared" si="6"/>
        <v>--</v>
      </c>
      <c r="V39" s="228" t="str">
        <f t="shared" si="7"/>
        <v>--</v>
      </c>
      <c r="W39" s="289" t="str">
        <f t="shared" si="8"/>
        <v>--</v>
      </c>
      <c r="X39" s="298" t="str">
        <f t="shared" si="9"/>
        <v>--</v>
      </c>
      <c r="Y39" s="299" t="str">
        <f t="shared" si="10"/>
        <v>--</v>
      </c>
      <c r="Z39" s="306" t="str">
        <f t="shared" si="11"/>
        <v>--</v>
      </c>
      <c r="AA39" s="312" t="str">
        <f t="shared" si="12"/>
        <v>--</v>
      </c>
      <c r="AB39" s="21" t="s">
        <v>72</v>
      </c>
      <c r="AC39" s="27">
        <f t="shared" si="13"/>
        <v>14.692860000000001</v>
      </c>
      <c r="AD39" s="30"/>
    </row>
    <row r="40" spans="1:30" s="8" customFormat="1" ht="15">
      <c r="A40" s="120"/>
      <c r="B40" s="125"/>
      <c r="C40" s="357">
        <v>73</v>
      </c>
      <c r="D40" s="357">
        <v>221325</v>
      </c>
      <c r="E40" s="357">
        <v>4993</v>
      </c>
      <c r="F40" s="342" t="s">
        <v>132</v>
      </c>
      <c r="G40" s="336" t="s">
        <v>95</v>
      </c>
      <c r="H40" s="405">
        <v>15</v>
      </c>
      <c r="I40" s="343" t="s">
        <v>93</v>
      </c>
      <c r="J40" s="202">
        <f t="shared" si="0"/>
        <v>5.46</v>
      </c>
      <c r="K40" s="366">
        <v>40294.424305555556</v>
      </c>
      <c r="L40" s="366">
        <v>40294.6125</v>
      </c>
      <c r="M40" s="22">
        <f t="shared" si="1"/>
        <v>4.516666666720994</v>
      </c>
      <c r="N40" s="23">
        <f t="shared" si="2"/>
        <v>271</v>
      </c>
      <c r="O40" s="367" t="s">
        <v>96</v>
      </c>
      <c r="P40" s="367" t="str">
        <f t="shared" si="3"/>
        <v>--</v>
      </c>
      <c r="Q40" s="368">
        <v>60</v>
      </c>
      <c r="R40" s="367" t="s">
        <v>131</v>
      </c>
      <c r="S40" s="271">
        <f t="shared" si="4"/>
        <v>0.30000000000000004</v>
      </c>
      <c r="T40" s="275" t="str">
        <f t="shared" si="5"/>
        <v>--</v>
      </c>
      <c r="U40" s="281">
        <f t="shared" si="6"/>
        <v>4.4422559999999995</v>
      </c>
      <c r="V40" s="228" t="str">
        <f t="shared" si="7"/>
        <v>--</v>
      </c>
      <c r="W40" s="289" t="str">
        <f t="shared" si="8"/>
        <v>--</v>
      </c>
      <c r="X40" s="298" t="str">
        <f t="shared" si="9"/>
        <v>--</v>
      </c>
      <c r="Y40" s="299" t="str">
        <f t="shared" si="10"/>
        <v>--</v>
      </c>
      <c r="Z40" s="306" t="str">
        <f t="shared" si="11"/>
        <v>--</v>
      </c>
      <c r="AA40" s="312" t="str">
        <f t="shared" si="12"/>
        <v>--</v>
      </c>
      <c r="AB40" s="21" t="s">
        <v>72</v>
      </c>
      <c r="AC40" s="27">
        <f t="shared" si="13"/>
        <v>4.4422559999999995</v>
      </c>
      <c r="AD40" s="30"/>
    </row>
    <row r="41" spans="1:30" s="8" customFormat="1" ht="15">
      <c r="A41" s="120"/>
      <c r="B41" s="125"/>
      <c r="C41" s="357">
        <v>74</v>
      </c>
      <c r="D41" s="357">
        <v>221311</v>
      </c>
      <c r="E41" s="357">
        <v>2804</v>
      </c>
      <c r="F41" s="342" t="s">
        <v>106</v>
      </c>
      <c r="G41" s="336" t="s">
        <v>92</v>
      </c>
      <c r="H41" s="362">
        <v>30</v>
      </c>
      <c r="I41" s="343" t="s">
        <v>93</v>
      </c>
      <c r="J41" s="202">
        <f t="shared" si="0"/>
        <v>10.92</v>
      </c>
      <c r="K41" s="366">
        <v>40296.36041666667</v>
      </c>
      <c r="L41" s="366">
        <v>40296.59930555556</v>
      </c>
      <c r="M41" s="22">
        <f t="shared" si="1"/>
        <v>5.733333333337214</v>
      </c>
      <c r="N41" s="23">
        <f t="shared" si="2"/>
        <v>344</v>
      </c>
      <c r="O41" s="367" t="s">
        <v>71</v>
      </c>
      <c r="P41" s="367" t="str">
        <f t="shared" si="3"/>
        <v>--</v>
      </c>
      <c r="Q41" s="367" t="s">
        <v>94</v>
      </c>
      <c r="R41" s="367" t="s">
        <v>131</v>
      </c>
      <c r="S41" s="271">
        <f t="shared" si="4"/>
        <v>0.30000000000000004</v>
      </c>
      <c r="T41" s="275">
        <f t="shared" si="5"/>
        <v>18.771480000000004</v>
      </c>
      <c r="U41" s="281" t="str">
        <f t="shared" si="6"/>
        <v>--</v>
      </c>
      <c r="V41" s="228" t="str">
        <f t="shared" si="7"/>
        <v>--</v>
      </c>
      <c r="W41" s="289" t="str">
        <f t="shared" si="8"/>
        <v>--</v>
      </c>
      <c r="X41" s="298" t="str">
        <f t="shared" si="9"/>
        <v>--</v>
      </c>
      <c r="Y41" s="299" t="str">
        <f t="shared" si="10"/>
        <v>--</v>
      </c>
      <c r="Z41" s="306" t="str">
        <f t="shared" si="11"/>
        <v>--</v>
      </c>
      <c r="AA41" s="312" t="str">
        <f t="shared" si="12"/>
        <v>--</v>
      </c>
      <c r="AB41" s="21" t="s">
        <v>72</v>
      </c>
      <c r="AC41" s="27">
        <f t="shared" si="13"/>
        <v>18.771480000000004</v>
      </c>
      <c r="AD41" s="30"/>
    </row>
    <row r="42" spans="1:30" s="8" customFormat="1" ht="15">
      <c r="A42" s="120"/>
      <c r="B42" s="125"/>
      <c r="C42" s="357">
        <v>75</v>
      </c>
      <c r="D42" s="357">
        <v>221312</v>
      </c>
      <c r="E42" s="357">
        <v>545</v>
      </c>
      <c r="F42" s="342" t="s">
        <v>115</v>
      </c>
      <c r="G42" s="336" t="s">
        <v>92</v>
      </c>
      <c r="H42" s="362">
        <v>15</v>
      </c>
      <c r="I42" s="343" t="s">
        <v>93</v>
      </c>
      <c r="J42" s="202">
        <f t="shared" si="0"/>
        <v>5.46</v>
      </c>
      <c r="K42" s="366">
        <v>40296.47222222222</v>
      </c>
      <c r="L42" s="366">
        <v>40296.6375</v>
      </c>
      <c r="M42" s="22">
        <f t="shared" si="1"/>
        <v>3.9666666666744277</v>
      </c>
      <c r="N42" s="23">
        <f t="shared" si="2"/>
        <v>238</v>
      </c>
      <c r="O42" s="367" t="s">
        <v>96</v>
      </c>
      <c r="P42" s="367" t="str">
        <f t="shared" si="3"/>
        <v>--</v>
      </c>
      <c r="Q42" s="368">
        <v>60</v>
      </c>
      <c r="R42" s="367" t="s">
        <v>131</v>
      </c>
      <c r="S42" s="271">
        <f t="shared" si="4"/>
        <v>0.30000000000000004</v>
      </c>
      <c r="T42" s="275" t="str">
        <f t="shared" si="5"/>
        <v>--</v>
      </c>
      <c r="U42" s="281">
        <f t="shared" si="6"/>
        <v>3.9017160000000004</v>
      </c>
      <c r="V42" s="228" t="str">
        <f t="shared" si="7"/>
        <v>--</v>
      </c>
      <c r="W42" s="289" t="str">
        <f t="shared" si="8"/>
        <v>--</v>
      </c>
      <c r="X42" s="298" t="str">
        <f t="shared" si="9"/>
        <v>--</v>
      </c>
      <c r="Y42" s="299" t="str">
        <f t="shared" si="10"/>
        <v>--</v>
      </c>
      <c r="Z42" s="306" t="str">
        <f t="shared" si="11"/>
        <v>--</v>
      </c>
      <c r="AA42" s="312" t="str">
        <f t="shared" si="12"/>
        <v>--</v>
      </c>
      <c r="AB42" s="21" t="s">
        <v>72</v>
      </c>
      <c r="AC42" s="27">
        <f t="shared" si="13"/>
        <v>3.9017160000000004</v>
      </c>
      <c r="AD42" s="30"/>
    </row>
    <row r="43" spans="1:30" s="8" customFormat="1" ht="15">
      <c r="A43" s="120"/>
      <c r="B43" s="125"/>
      <c r="C43" s="357">
        <v>76</v>
      </c>
      <c r="D43" s="357">
        <v>221313</v>
      </c>
      <c r="E43" s="357">
        <v>4989</v>
      </c>
      <c r="F43" s="342" t="s">
        <v>115</v>
      </c>
      <c r="G43" s="336" t="s">
        <v>95</v>
      </c>
      <c r="H43" s="405">
        <v>30</v>
      </c>
      <c r="I43" s="343" t="s">
        <v>93</v>
      </c>
      <c r="J43" s="202">
        <f t="shared" si="0"/>
        <v>10.92</v>
      </c>
      <c r="K43" s="366">
        <v>40297.30486111111</v>
      </c>
      <c r="L43" s="366">
        <v>40297.700694444444</v>
      </c>
      <c r="M43" s="22">
        <f t="shared" si="1"/>
        <v>9.500000000058208</v>
      </c>
      <c r="N43" s="23">
        <f t="shared" si="2"/>
        <v>570</v>
      </c>
      <c r="O43" s="367" t="s">
        <v>71</v>
      </c>
      <c r="P43" s="367" t="str">
        <f t="shared" si="3"/>
        <v>--</v>
      </c>
      <c r="Q43" s="367" t="s">
        <v>94</v>
      </c>
      <c r="R43" s="367" t="s">
        <v>131</v>
      </c>
      <c r="S43" s="271">
        <f t="shared" si="4"/>
        <v>0.30000000000000004</v>
      </c>
      <c r="T43" s="275">
        <f t="shared" si="5"/>
        <v>31.122000000000003</v>
      </c>
      <c r="U43" s="281" t="str">
        <f t="shared" si="6"/>
        <v>--</v>
      </c>
      <c r="V43" s="228" t="str">
        <f t="shared" si="7"/>
        <v>--</v>
      </c>
      <c r="W43" s="289" t="str">
        <f t="shared" si="8"/>
        <v>--</v>
      </c>
      <c r="X43" s="298" t="str">
        <f t="shared" si="9"/>
        <v>--</v>
      </c>
      <c r="Y43" s="299" t="str">
        <f t="shared" si="10"/>
        <v>--</v>
      </c>
      <c r="Z43" s="306" t="str">
        <f t="shared" si="11"/>
        <v>--</v>
      </c>
      <c r="AA43" s="312" t="str">
        <f t="shared" si="12"/>
        <v>--</v>
      </c>
      <c r="AB43" s="21" t="s">
        <v>72</v>
      </c>
      <c r="AC43" s="27">
        <f t="shared" si="13"/>
        <v>31.122000000000003</v>
      </c>
      <c r="AD43" s="30"/>
    </row>
    <row r="44" spans="1:30" s="8" customFormat="1" ht="15.75" thickBot="1">
      <c r="A44" s="120"/>
      <c r="B44" s="125"/>
      <c r="C44" s="364"/>
      <c r="D44" s="364"/>
      <c r="E44" s="364"/>
      <c r="F44" s="364"/>
      <c r="G44" s="364"/>
      <c r="H44" s="364"/>
      <c r="I44" s="364"/>
      <c r="J44" s="206"/>
      <c r="K44" s="364"/>
      <c r="L44" s="364"/>
      <c r="M44" s="24"/>
      <c r="N44" s="24"/>
      <c r="O44" s="364"/>
      <c r="P44" s="364"/>
      <c r="Q44" s="364"/>
      <c r="R44" s="364"/>
      <c r="S44" s="267"/>
      <c r="T44" s="276"/>
      <c r="U44" s="282"/>
      <c r="V44" s="285"/>
      <c r="W44" s="286"/>
      <c r="X44" s="300"/>
      <c r="Y44" s="301"/>
      <c r="Z44" s="307"/>
      <c r="AA44" s="313"/>
      <c r="AB44" s="24"/>
      <c r="AC44" s="209"/>
      <c r="AD44" s="30"/>
    </row>
    <row r="45" spans="1:30" s="8" customFormat="1" ht="17.25" thickBot="1" thickTop="1">
      <c r="A45" s="120"/>
      <c r="B45" s="125"/>
      <c r="C45" s="188" t="s">
        <v>41</v>
      </c>
      <c r="D45" s="437" t="s">
        <v>145</v>
      </c>
      <c r="E45" s="190"/>
      <c r="F45" s="189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77">
        <f aca="true" t="shared" si="14" ref="T45:AA45">SUM(T22:T44)</f>
        <v>100.57866000000001</v>
      </c>
      <c r="U45" s="283">
        <f t="shared" si="14"/>
        <v>16.078608</v>
      </c>
      <c r="V45" s="287">
        <f t="shared" si="14"/>
        <v>917.2800000000001</v>
      </c>
      <c r="W45" s="287">
        <f t="shared" si="14"/>
        <v>1035.7074</v>
      </c>
      <c r="X45" s="302">
        <f t="shared" si="14"/>
        <v>0</v>
      </c>
      <c r="Y45" s="302">
        <f t="shared" si="14"/>
        <v>0</v>
      </c>
      <c r="Z45" s="308">
        <f t="shared" si="14"/>
        <v>0</v>
      </c>
      <c r="AA45" s="314">
        <f t="shared" si="14"/>
        <v>0</v>
      </c>
      <c r="AB45" s="210"/>
      <c r="AC45" s="134">
        <f>ROUND(SUM(AC22:AC44),2)</f>
        <v>4739.64</v>
      </c>
      <c r="AD45" s="30"/>
    </row>
    <row r="46" spans="1:30" s="8" customFormat="1" ht="13.5" thickTop="1">
      <c r="A46" s="120"/>
      <c r="B46" s="125"/>
      <c r="C46" s="190"/>
      <c r="D46" s="190"/>
      <c r="E46" s="190"/>
      <c r="F46" s="191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30"/>
    </row>
    <row r="47" spans="1:30" s="8" customFormat="1" ht="13.5" thickBot="1">
      <c r="A47" s="120"/>
      <c r="B47" s="135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7"/>
    </row>
    <row r="48" spans="1:30" ht="16.5" customHeight="1" thickTop="1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2"/>
    </row>
    <row r="49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58" r:id="rId3"/>
  <headerFooter alignWithMargins="0">
    <oddFooter>&amp;L&amp;F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AH48"/>
  <sheetViews>
    <sheetView zoomScale="75" zoomScaleNormal="75" workbookViewId="0" topLeftCell="A1">
      <selection activeCell="H31" sqref="H31"/>
    </sheetView>
  </sheetViews>
  <sheetFormatPr defaultColWidth="11.421875" defaultRowHeight="12.75"/>
  <cols>
    <col min="1" max="1" width="7.57421875" style="0" customWidth="1"/>
    <col min="2" max="2" width="4.140625" style="0" customWidth="1"/>
    <col min="3" max="3" width="4.7109375" style="0" customWidth="1"/>
    <col min="4" max="5" width="13.7109375" style="0" customWidth="1"/>
    <col min="6" max="6" width="25.7109375" style="0" customWidth="1"/>
    <col min="7" max="7" width="15.7109375" style="0" customWidth="1"/>
    <col min="8" max="8" width="7.28125" style="0" customWidth="1"/>
    <col min="9" max="9" width="12.7109375" style="0" customWidth="1"/>
    <col min="10" max="10" width="13.28125" style="0" hidden="1" customWidth="1"/>
    <col min="11" max="12" width="15.7109375" style="0" customWidth="1"/>
    <col min="13" max="15" width="9.7109375" style="0" customWidth="1"/>
    <col min="16" max="16" width="5.8515625" style="0" customWidth="1"/>
    <col min="17" max="17" width="6.421875" style="0" customWidth="1"/>
    <col min="18" max="18" width="6.57421875" style="0" customWidth="1"/>
    <col min="19" max="19" width="12.140625" style="0" hidden="1" customWidth="1"/>
    <col min="20" max="20" width="15.140625" style="0" hidden="1" customWidth="1"/>
    <col min="21" max="21" width="16.28125" style="0" hidden="1" customWidth="1"/>
    <col min="22" max="22" width="16.8515625" style="0" hidden="1" customWidth="1"/>
    <col min="23" max="27" width="15.421875" style="0" hidden="1" customWidth="1"/>
    <col min="28" max="28" width="9.7109375" style="0" customWidth="1"/>
    <col min="29" max="29" width="15.7109375" style="0" customWidth="1"/>
    <col min="30" max="30" width="4.140625" style="0" customWidth="1"/>
  </cols>
  <sheetData>
    <row r="1" spans="5:34" s="33" customFormat="1" ht="26.25"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</row>
    <row r="2" spans="2:30" s="33" customFormat="1" ht="26.25">
      <c r="B2" s="402" t="str">
        <f>+'TOT-0410'!B2</f>
        <v>ANEXO I al Memorandum D.T.E.E.  N° 928 /2011  </v>
      </c>
      <c r="C2" s="36"/>
      <c r="D2" s="36"/>
      <c r="E2" s="158"/>
      <c r="F2" s="158"/>
      <c r="G2" s="111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</row>
    <row r="3" spans="5:30" s="8" customFormat="1" ht="19.5" customHeight="1"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</row>
    <row r="4" spans="1:30" s="40" customFormat="1" ht="11.25">
      <c r="A4" s="403" t="s">
        <v>67</v>
      </c>
      <c r="B4" s="113"/>
      <c r="C4" s="403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</row>
    <row r="5" spans="1:30" s="40" customFormat="1" ht="11.25">
      <c r="A5" s="403" t="s">
        <v>68</v>
      </c>
      <c r="B5" s="113"/>
      <c r="C5" s="113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</row>
    <row r="6" spans="1:30" s="8" customFormat="1" ht="13.5" thickBo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</row>
    <row r="7" spans="1:30" s="8" customFormat="1" ht="13.5" thickTop="1">
      <c r="A7" s="120"/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4"/>
    </row>
    <row r="8" spans="1:30" s="44" customFormat="1" ht="20.25">
      <c r="A8" s="141"/>
      <c r="B8" s="142"/>
      <c r="C8" s="126"/>
      <c r="D8" s="126"/>
      <c r="E8" s="126"/>
      <c r="F8" s="18" t="s">
        <v>18</v>
      </c>
      <c r="G8" s="18"/>
      <c r="H8" s="126"/>
      <c r="I8" s="141"/>
      <c r="J8" s="141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43"/>
    </row>
    <row r="9" spans="1:30" s="44" customFormat="1" ht="20.25">
      <c r="A9" s="141"/>
      <c r="B9" s="142"/>
      <c r="C9" s="126"/>
      <c r="D9" s="126"/>
      <c r="E9" s="126"/>
      <c r="F9" s="18"/>
      <c r="G9" s="18"/>
      <c r="H9" s="126"/>
      <c r="I9" s="141"/>
      <c r="J9" s="141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43"/>
    </row>
    <row r="10" spans="1:30" s="44" customFormat="1" ht="20.25">
      <c r="A10" s="141"/>
      <c r="B10" s="142"/>
      <c r="C10" s="126"/>
      <c r="D10" s="126"/>
      <c r="E10" s="126"/>
      <c r="F10" s="18" t="s">
        <v>42</v>
      </c>
      <c r="G10" s="18"/>
      <c r="H10" s="126"/>
      <c r="I10" s="141"/>
      <c r="J10" s="141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43"/>
    </row>
    <row r="11" spans="1:30" s="8" customFormat="1" ht="12.75">
      <c r="A11" s="120"/>
      <c r="B11" s="125"/>
      <c r="C11" s="25"/>
      <c r="D11" s="25"/>
      <c r="E11" s="25"/>
      <c r="F11" s="25"/>
      <c r="G11" s="25"/>
      <c r="H11" s="25"/>
      <c r="I11" s="120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30"/>
    </row>
    <row r="12" spans="1:30" s="44" customFormat="1" ht="20.25">
      <c r="A12" s="141"/>
      <c r="B12" s="142"/>
      <c r="C12" s="126"/>
      <c r="D12" s="126"/>
      <c r="E12" s="126"/>
      <c r="F12" s="159" t="s">
        <v>43</v>
      </c>
      <c r="G12" s="18"/>
      <c r="H12" s="141"/>
      <c r="I12" s="141"/>
      <c r="J12" s="144"/>
      <c r="K12" s="126"/>
      <c r="L12" s="141"/>
      <c r="M12" s="141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43"/>
    </row>
    <row r="13" spans="1:30" s="8" customFormat="1" ht="12.75">
      <c r="A13" s="120"/>
      <c r="B13" s="125"/>
      <c r="C13" s="25"/>
      <c r="D13" s="25"/>
      <c r="E13" s="25"/>
      <c r="F13" s="25"/>
      <c r="G13" s="25"/>
      <c r="H13" s="25"/>
      <c r="I13" s="120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30"/>
    </row>
    <row r="14" spans="1:30" s="44" customFormat="1" ht="20.25">
      <c r="A14" s="141"/>
      <c r="B14" s="142"/>
      <c r="C14" s="126"/>
      <c r="D14" s="126"/>
      <c r="E14" s="126"/>
      <c r="F14" s="159" t="s">
        <v>44</v>
      </c>
      <c r="G14" s="18"/>
      <c r="H14" s="141"/>
      <c r="I14" s="141"/>
      <c r="J14" s="144"/>
      <c r="K14" s="126"/>
      <c r="L14" s="141"/>
      <c r="M14" s="141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43"/>
    </row>
    <row r="15" spans="1:30" s="8" customFormat="1" ht="12.75">
      <c r="A15" s="120"/>
      <c r="B15" s="125"/>
      <c r="C15" s="25"/>
      <c r="D15" s="25"/>
      <c r="E15" s="25"/>
      <c r="F15" s="128"/>
      <c r="G15" s="128"/>
      <c r="H15" s="128"/>
      <c r="I15" s="129"/>
      <c r="J15" s="127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30"/>
    </row>
    <row r="16" spans="1:30" s="51" customFormat="1" ht="19.5">
      <c r="A16" s="145"/>
      <c r="B16" s="153" t="str">
        <f>'TOT-0410'!B14</f>
        <v>Desde el 01 al 30 de abril de 2010</v>
      </c>
      <c r="C16" s="154"/>
      <c r="D16" s="154"/>
      <c r="E16" s="154"/>
      <c r="F16" s="154"/>
      <c r="G16" s="154"/>
      <c r="H16" s="154"/>
      <c r="I16" s="154"/>
      <c r="J16" s="154"/>
      <c r="K16" s="155"/>
      <c r="L16" s="156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7"/>
    </row>
    <row r="17" spans="1:30" s="8" customFormat="1" ht="14.25" thickBot="1">
      <c r="A17" s="120"/>
      <c r="B17" s="125"/>
      <c r="C17" s="25"/>
      <c r="D17" s="25"/>
      <c r="E17" s="25"/>
      <c r="F17" s="25"/>
      <c r="G17" s="25"/>
      <c r="H17" s="25"/>
      <c r="I17" s="130"/>
      <c r="J17" s="25"/>
      <c r="K17" s="138"/>
      <c r="L17" s="139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30"/>
    </row>
    <row r="18" spans="1:30" s="8" customFormat="1" ht="14.25" thickBot="1" thickTop="1">
      <c r="A18" s="120"/>
      <c r="B18" s="125"/>
      <c r="C18" s="25"/>
      <c r="D18" s="25"/>
      <c r="E18" s="25"/>
      <c r="F18" s="146" t="s">
        <v>45</v>
      </c>
      <c r="G18" s="147"/>
      <c r="H18" s="148"/>
      <c r="I18" s="149">
        <v>0.364</v>
      </c>
      <c r="J18" s="120"/>
      <c r="K18" s="25"/>
      <c r="L18" s="325"/>
      <c r="M18" s="326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30"/>
    </row>
    <row r="19" spans="1:30" s="8" customFormat="1" ht="14.25" thickBot="1" thickTop="1">
      <c r="A19" s="120"/>
      <c r="B19" s="125"/>
      <c r="C19" s="25"/>
      <c r="D19" s="25"/>
      <c r="E19" s="25"/>
      <c r="F19" s="150" t="s">
        <v>46</v>
      </c>
      <c r="G19" s="151"/>
      <c r="H19" s="151"/>
      <c r="I19" s="152">
        <f>30*'TOT-0410'!B13</f>
        <v>30</v>
      </c>
      <c r="J19" s="25"/>
      <c r="K19" s="196" t="str">
        <f>IF(I19=30," ",IF(I19=60,"  Coeficiente duplicado por tasa de falla &gt;4 Sal. x año/100 km.","REVISAR COEFICIENTE"))</f>
        <v> 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131"/>
      <c r="X19" s="131"/>
      <c r="Y19" s="131"/>
      <c r="Z19" s="131"/>
      <c r="AA19" s="131"/>
      <c r="AB19" s="131"/>
      <c r="AC19" s="131"/>
      <c r="AD19" s="30"/>
    </row>
    <row r="20" spans="1:30" s="8" customFormat="1" ht="14.25" thickBot="1" thickTop="1">
      <c r="A20" s="120"/>
      <c r="B20" s="125"/>
      <c r="C20" s="25"/>
      <c r="D20" s="25"/>
      <c r="E20" s="25"/>
      <c r="F20" s="25"/>
      <c r="G20" s="25"/>
      <c r="H20" s="25"/>
      <c r="I20" s="132"/>
      <c r="J20" s="25"/>
      <c r="K20" s="133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30"/>
    </row>
    <row r="21" spans="1:30" s="8" customFormat="1" ht="33.75" customHeight="1" thickBot="1" thickTop="1">
      <c r="A21" s="120"/>
      <c r="B21" s="125"/>
      <c r="C21" s="114" t="s">
        <v>23</v>
      </c>
      <c r="D21" s="114" t="s">
        <v>66</v>
      </c>
      <c r="E21" s="114" t="s">
        <v>65</v>
      </c>
      <c r="F21" s="177" t="s">
        <v>47</v>
      </c>
      <c r="G21" s="176" t="s">
        <v>48</v>
      </c>
      <c r="H21" s="178" t="s">
        <v>49</v>
      </c>
      <c r="I21" s="179" t="s">
        <v>24</v>
      </c>
      <c r="J21" s="200" t="s">
        <v>26</v>
      </c>
      <c r="K21" s="176" t="s">
        <v>27</v>
      </c>
      <c r="L21" s="176" t="s">
        <v>28</v>
      </c>
      <c r="M21" s="177" t="s">
        <v>50</v>
      </c>
      <c r="N21" s="177" t="s">
        <v>51</v>
      </c>
      <c r="O21" s="116" t="s">
        <v>31</v>
      </c>
      <c r="P21" s="176" t="s">
        <v>52</v>
      </c>
      <c r="Q21" s="177" t="s">
        <v>32</v>
      </c>
      <c r="R21" s="176" t="s">
        <v>53</v>
      </c>
      <c r="S21" s="268" t="s">
        <v>54</v>
      </c>
      <c r="T21" s="272" t="s">
        <v>33</v>
      </c>
      <c r="U21" s="278" t="s">
        <v>34</v>
      </c>
      <c r="V21" s="225" t="s">
        <v>55</v>
      </c>
      <c r="W21" s="227"/>
      <c r="X21" s="292" t="s">
        <v>56</v>
      </c>
      <c r="Y21" s="293"/>
      <c r="Z21" s="303" t="s">
        <v>37</v>
      </c>
      <c r="AA21" s="309" t="s">
        <v>38</v>
      </c>
      <c r="AB21" s="179" t="s">
        <v>39</v>
      </c>
      <c r="AC21" s="179" t="s">
        <v>40</v>
      </c>
      <c r="AD21" s="30"/>
    </row>
    <row r="22" spans="1:30" s="8" customFormat="1" ht="15.75" thickTop="1">
      <c r="A22" s="120"/>
      <c r="B22" s="125"/>
      <c r="C22" s="357"/>
      <c r="D22" s="357"/>
      <c r="E22" s="357"/>
      <c r="F22" s="358"/>
      <c r="G22" s="359"/>
      <c r="H22" s="359"/>
      <c r="I22" s="359"/>
      <c r="J22" s="204"/>
      <c r="K22" s="365"/>
      <c r="L22" s="359"/>
      <c r="M22" s="20"/>
      <c r="N22" s="20"/>
      <c r="O22" s="359"/>
      <c r="P22" s="359"/>
      <c r="Q22" s="359"/>
      <c r="R22" s="359"/>
      <c r="S22" s="269"/>
      <c r="T22" s="273"/>
      <c r="U22" s="279"/>
      <c r="V22" s="290"/>
      <c r="W22" s="284"/>
      <c r="X22" s="294"/>
      <c r="Y22" s="295"/>
      <c r="Z22" s="304"/>
      <c r="AA22" s="406">
        <f>'T-04 (2)'!AA45</f>
        <v>0</v>
      </c>
      <c r="AB22" s="19"/>
      <c r="AC22" s="32"/>
      <c r="AD22" s="30"/>
    </row>
    <row r="23" spans="1:30" s="8" customFormat="1" ht="15">
      <c r="A23" s="120"/>
      <c r="B23" s="125"/>
      <c r="C23" s="357"/>
      <c r="D23" s="357"/>
      <c r="E23" s="357"/>
      <c r="F23" s="360"/>
      <c r="G23" s="361"/>
      <c r="H23" s="361"/>
      <c r="I23" s="361"/>
      <c r="J23" s="205"/>
      <c r="K23" s="360"/>
      <c r="L23" s="361"/>
      <c r="M23" s="16"/>
      <c r="N23" s="16"/>
      <c r="O23" s="361"/>
      <c r="P23" s="361"/>
      <c r="Q23" s="361"/>
      <c r="R23" s="361"/>
      <c r="S23" s="270"/>
      <c r="T23" s="274"/>
      <c r="U23" s="280"/>
      <c r="V23" s="291"/>
      <c r="W23" s="288"/>
      <c r="X23" s="296"/>
      <c r="Y23" s="297"/>
      <c r="Z23" s="305"/>
      <c r="AA23" s="311"/>
      <c r="AB23" s="15"/>
      <c r="AC23" s="27">
        <f>'T-04 (2)'!AC45</f>
        <v>4739.64</v>
      </c>
      <c r="AD23" s="30"/>
    </row>
    <row r="24" spans="1:30" s="8" customFormat="1" ht="15">
      <c r="A24" s="120"/>
      <c r="B24" s="125"/>
      <c r="C24" s="357">
        <v>77</v>
      </c>
      <c r="D24" s="357">
        <v>221314</v>
      </c>
      <c r="E24" s="357">
        <v>3125</v>
      </c>
      <c r="F24" s="342" t="s">
        <v>106</v>
      </c>
      <c r="G24" s="336" t="s">
        <v>95</v>
      </c>
      <c r="H24" s="362">
        <v>30</v>
      </c>
      <c r="I24" s="343" t="s">
        <v>93</v>
      </c>
      <c r="J24" s="202">
        <f aca="true" t="shared" si="0" ref="J24:J43">H24*$I$18</f>
        <v>10.92</v>
      </c>
      <c r="K24" s="366">
        <v>40297.36666666667</v>
      </c>
      <c r="L24" s="366">
        <v>40297.55</v>
      </c>
      <c r="M24" s="22">
        <f aca="true" t="shared" si="1" ref="M24:M43">IF(F24="","",(L24-K24)*24)</f>
        <v>4.400000000023283</v>
      </c>
      <c r="N24" s="23">
        <f aca="true" t="shared" si="2" ref="N24:N43">IF(F24="","",ROUND((L24-K24)*24*60,0))</f>
        <v>264</v>
      </c>
      <c r="O24" s="367" t="s">
        <v>71</v>
      </c>
      <c r="P24" s="367" t="str">
        <f aca="true" t="shared" si="3" ref="P24:P43">IF(F24="","",IF(OR(O24="P",O24="RP"),"--","NO"))</f>
        <v>--</v>
      </c>
      <c r="Q24" s="367" t="s">
        <v>94</v>
      </c>
      <c r="R24" s="367" t="s">
        <v>131</v>
      </c>
      <c r="S24" s="271">
        <f aca="true" t="shared" si="4" ref="S24:S43">$I$19*IF(R24="SI",1,0.1)*IF(OR(O24="P",O24="RP"),0.1,1)</f>
        <v>0.30000000000000004</v>
      </c>
      <c r="T24" s="275">
        <f aca="true" t="shared" si="5" ref="T24:T43">IF(O24="P",J24*S24*ROUND(N24/60,2),"--")</f>
        <v>14.414400000000002</v>
      </c>
      <c r="U24" s="281" t="str">
        <f aca="true" t="shared" si="6" ref="U24:U43">IF(O24="RP",J24*S24*Q24/100*ROUND(N24/60,2),"--")</f>
        <v>--</v>
      </c>
      <c r="V24" s="228" t="str">
        <f aca="true" t="shared" si="7" ref="V24:V43">IF(AND(O24="F",P24="NO"),J24*S24,"--")</f>
        <v>--</v>
      </c>
      <c r="W24" s="289" t="str">
        <f aca="true" t="shared" si="8" ref="W24:W43">IF(O24="F",J24*S24*ROUND(N24/60,2),"--")</f>
        <v>--</v>
      </c>
      <c r="X24" s="298" t="str">
        <f aca="true" t="shared" si="9" ref="X24:X43">IF(AND(O24="R",P24="NO"),J24*S24*Q24/100,"--")</f>
        <v>--</v>
      </c>
      <c r="Y24" s="299" t="str">
        <f aca="true" t="shared" si="10" ref="Y24:Y43">IF(O24="R",J24*S24*ROUND(N24/60,2)*Q24/100,"--")</f>
        <v>--</v>
      </c>
      <c r="Z24" s="306" t="str">
        <f aca="true" t="shared" si="11" ref="Z24:Z43">IF(O24="RF",J24*S24*ROUND(N24/60,2),"--")</f>
        <v>--</v>
      </c>
      <c r="AA24" s="312" t="str">
        <f aca="true" t="shared" si="12" ref="AA24:AA43">IF(O24="RR",J24*S24*ROUND(N24/60,2)*Q24/100,"--")</f>
        <v>--</v>
      </c>
      <c r="AB24" s="21" t="s">
        <v>72</v>
      </c>
      <c r="AC24" s="27">
        <f aca="true" t="shared" si="13" ref="AC24:AC43">IF(F24="","",SUM(T24:AA24)*IF(AB24="SI",1,2))</f>
        <v>14.414400000000002</v>
      </c>
      <c r="AD24" s="322"/>
    </row>
    <row r="25" spans="1:30" s="8" customFormat="1" ht="15">
      <c r="A25" s="120"/>
      <c r="B25" s="125"/>
      <c r="C25" s="357">
        <v>78</v>
      </c>
      <c r="D25" s="357">
        <v>221315</v>
      </c>
      <c r="E25" s="357">
        <v>3580</v>
      </c>
      <c r="F25" s="342" t="s">
        <v>117</v>
      </c>
      <c r="G25" s="336" t="s">
        <v>92</v>
      </c>
      <c r="H25" s="362">
        <v>15</v>
      </c>
      <c r="I25" s="343" t="s">
        <v>93</v>
      </c>
      <c r="J25" s="202">
        <f t="shared" si="0"/>
        <v>5.46</v>
      </c>
      <c r="K25" s="366">
        <v>40297.376388888886</v>
      </c>
      <c r="L25" s="366">
        <v>40297.481944444444</v>
      </c>
      <c r="M25" s="22">
        <f t="shared" si="1"/>
        <v>2.53333333338378</v>
      </c>
      <c r="N25" s="23">
        <f t="shared" si="2"/>
        <v>152</v>
      </c>
      <c r="O25" s="367" t="s">
        <v>71</v>
      </c>
      <c r="P25" s="367" t="str">
        <f t="shared" si="3"/>
        <v>--</v>
      </c>
      <c r="Q25" s="367" t="s">
        <v>94</v>
      </c>
      <c r="R25" s="367" t="s">
        <v>72</v>
      </c>
      <c r="S25" s="271">
        <f t="shared" si="4"/>
        <v>3</v>
      </c>
      <c r="T25" s="275">
        <f t="shared" si="5"/>
        <v>41.441399999999994</v>
      </c>
      <c r="U25" s="281" t="str">
        <f t="shared" si="6"/>
        <v>--</v>
      </c>
      <c r="V25" s="228" t="str">
        <f t="shared" si="7"/>
        <v>--</v>
      </c>
      <c r="W25" s="289" t="str">
        <f t="shared" si="8"/>
        <v>--</v>
      </c>
      <c r="X25" s="298" t="str">
        <f t="shared" si="9"/>
        <v>--</v>
      </c>
      <c r="Y25" s="299" t="str">
        <f t="shared" si="10"/>
        <v>--</v>
      </c>
      <c r="Z25" s="306" t="str">
        <f t="shared" si="11"/>
        <v>--</v>
      </c>
      <c r="AA25" s="312" t="str">
        <f t="shared" si="12"/>
        <v>--</v>
      </c>
      <c r="AB25" s="21" t="s">
        <v>72</v>
      </c>
      <c r="AC25" s="27">
        <f t="shared" si="13"/>
        <v>41.441399999999994</v>
      </c>
      <c r="AD25" s="322"/>
    </row>
    <row r="26" spans="1:30" s="8" customFormat="1" ht="15">
      <c r="A26" s="120"/>
      <c r="B26" s="125"/>
      <c r="C26" s="357">
        <v>79</v>
      </c>
      <c r="D26" s="357">
        <v>221316</v>
      </c>
      <c r="E26" s="357">
        <v>3581</v>
      </c>
      <c r="F26" s="342" t="s">
        <v>117</v>
      </c>
      <c r="G26" s="336" t="s">
        <v>95</v>
      </c>
      <c r="H26" s="362">
        <v>15</v>
      </c>
      <c r="I26" s="343" t="s">
        <v>93</v>
      </c>
      <c r="J26" s="202">
        <f t="shared" si="0"/>
        <v>5.46</v>
      </c>
      <c r="K26" s="366">
        <v>40297.48263888889</v>
      </c>
      <c r="L26" s="366">
        <v>40297.72222222222</v>
      </c>
      <c r="M26" s="22">
        <f t="shared" si="1"/>
        <v>5.749999999883585</v>
      </c>
      <c r="N26" s="23">
        <f t="shared" si="2"/>
        <v>345</v>
      </c>
      <c r="O26" s="367" t="s">
        <v>71</v>
      </c>
      <c r="P26" s="367" t="str">
        <f t="shared" si="3"/>
        <v>--</v>
      </c>
      <c r="Q26" s="367" t="s">
        <v>94</v>
      </c>
      <c r="R26" s="367" t="s">
        <v>72</v>
      </c>
      <c r="S26" s="271">
        <f t="shared" si="4"/>
        <v>3</v>
      </c>
      <c r="T26" s="275">
        <f t="shared" si="5"/>
        <v>94.18499999999999</v>
      </c>
      <c r="U26" s="281" t="str">
        <f t="shared" si="6"/>
        <v>--</v>
      </c>
      <c r="V26" s="228" t="str">
        <f t="shared" si="7"/>
        <v>--</v>
      </c>
      <c r="W26" s="289" t="str">
        <f t="shared" si="8"/>
        <v>--</v>
      </c>
      <c r="X26" s="298" t="str">
        <f t="shared" si="9"/>
        <v>--</v>
      </c>
      <c r="Y26" s="299" t="str">
        <f t="shared" si="10"/>
        <v>--</v>
      </c>
      <c r="Z26" s="306" t="str">
        <f t="shared" si="11"/>
        <v>--</v>
      </c>
      <c r="AA26" s="312" t="str">
        <f t="shared" si="12"/>
        <v>--</v>
      </c>
      <c r="AB26" s="21" t="s">
        <v>72</v>
      </c>
      <c r="AC26" s="27">
        <f t="shared" si="13"/>
        <v>94.18499999999999</v>
      </c>
      <c r="AD26" s="322"/>
    </row>
    <row r="27" spans="1:30" s="8" customFormat="1" ht="15">
      <c r="A27" s="120"/>
      <c r="B27" s="125"/>
      <c r="C27" s="357"/>
      <c r="D27" s="357"/>
      <c r="E27" s="357"/>
      <c r="F27" s="342"/>
      <c r="G27" s="336"/>
      <c r="H27" s="362"/>
      <c r="I27" s="363"/>
      <c r="J27" s="202">
        <f t="shared" si="0"/>
        <v>0</v>
      </c>
      <c r="K27" s="366"/>
      <c r="L27" s="366"/>
      <c r="M27" s="22">
        <f t="shared" si="1"/>
      </c>
      <c r="N27" s="23">
        <f t="shared" si="2"/>
      </c>
      <c r="O27" s="367"/>
      <c r="P27" s="367">
        <f t="shared" si="3"/>
      </c>
      <c r="Q27" s="368">
        <f aca="true" t="shared" si="14" ref="Q27:Q43">IF(F27="","","--")</f>
      </c>
      <c r="R27" s="367"/>
      <c r="S27" s="271">
        <f t="shared" si="4"/>
        <v>3</v>
      </c>
      <c r="T27" s="275" t="str">
        <f t="shared" si="5"/>
        <v>--</v>
      </c>
      <c r="U27" s="281" t="str">
        <f t="shared" si="6"/>
        <v>--</v>
      </c>
      <c r="V27" s="228" t="str">
        <f t="shared" si="7"/>
        <v>--</v>
      </c>
      <c r="W27" s="289" t="str">
        <f t="shared" si="8"/>
        <v>--</v>
      </c>
      <c r="X27" s="298" t="str">
        <f t="shared" si="9"/>
        <v>--</v>
      </c>
      <c r="Y27" s="299" t="str">
        <f t="shared" si="10"/>
        <v>--</v>
      </c>
      <c r="Z27" s="306" t="str">
        <f t="shared" si="11"/>
        <v>--</v>
      </c>
      <c r="AA27" s="312" t="str">
        <f t="shared" si="12"/>
        <v>--</v>
      </c>
      <c r="AB27" s="21">
        <f aca="true" t="shared" si="15" ref="AB27:AB43">IF(F27="","","SI")</f>
      </c>
      <c r="AC27" s="27">
        <f t="shared" si="13"/>
      </c>
      <c r="AD27" s="322"/>
    </row>
    <row r="28" spans="1:30" s="8" customFormat="1" ht="15">
      <c r="A28" s="120"/>
      <c r="B28" s="125"/>
      <c r="C28" s="357"/>
      <c r="D28" s="357"/>
      <c r="E28" s="357"/>
      <c r="F28" s="342"/>
      <c r="G28" s="336"/>
      <c r="H28" s="362"/>
      <c r="I28" s="363"/>
      <c r="J28" s="202">
        <f t="shared" si="0"/>
        <v>0</v>
      </c>
      <c r="K28" s="366"/>
      <c r="L28" s="366"/>
      <c r="M28" s="22">
        <f t="shared" si="1"/>
      </c>
      <c r="N28" s="23">
        <f t="shared" si="2"/>
      </c>
      <c r="O28" s="367"/>
      <c r="P28" s="367">
        <f t="shared" si="3"/>
      </c>
      <c r="Q28" s="368">
        <f t="shared" si="14"/>
      </c>
      <c r="R28" s="367"/>
      <c r="S28" s="271">
        <f t="shared" si="4"/>
        <v>3</v>
      </c>
      <c r="T28" s="275" t="str">
        <f t="shared" si="5"/>
        <v>--</v>
      </c>
      <c r="U28" s="281" t="str">
        <f t="shared" si="6"/>
        <v>--</v>
      </c>
      <c r="V28" s="228" t="str">
        <f t="shared" si="7"/>
        <v>--</v>
      </c>
      <c r="W28" s="289" t="str">
        <f t="shared" si="8"/>
        <v>--</v>
      </c>
      <c r="X28" s="298" t="str">
        <f t="shared" si="9"/>
        <v>--</v>
      </c>
      <c r="Y28" s="299" t="str">
        <f t="shared" si="10"/>
        <v>--</v>
      </c>
      <c r="Z28" s="306" t="str">
        <f t="shared" si="11"/>
        <v>--</v>
      </c>
      <c r="AA28" s="312" t="str">
        <f t="shared" si="12"/>
        <v>--</v>
      </c>
      <c r="AB28" s="21">
        <f t="shared" si="15"/>
      </c>
      <c r="AC28" s="27">
        <f t="shared" si="13"/>
      </c>
      <c r="AD28" s="322"/>
    </row>
    <row r="29" spans="1:30" s="8" customFormat="1" ht="15">
      <c r="A29" s="120"/>
      <c r="B29" s="125"/>
      <c r="C29" s="357"/>
      <c r="D29" s="357"/>
      <c r="E29" s="357"/>
      <c r="F29" s="342"/>
      <c r="G29" s="336"/>
      <c r="H29" s="362"/>
      <c r="I29" s="363"/>
      <c r="J29" s="202">
        <f t="shared" si="0"/>
        <v>0</v>
      </c>
      <c r="K29" s="366"/>
      <c r="L29" s="366"/>
      <c r="M29" s="22">
        <f t="shared" si="1"/>
      </c>
      <c r="N29" s="23">
        <f t="shared" si="2"/>
      </c>
      <c r="O29" s="367"/>
      <c r="P29" s="367">
        <f t="shared" si="3"/>
      </c>
      <c r="Q29" s="368">
        <f t="shared" si="14"/>
      </c>
      <c r="R29" s="367"/>
      <c r="S29" s="271">
        <f t="shared" si="4"/>
        <v>3</v>
      </c>
      <c r="T29" s="275" t="str">
        <f t="shared" si="5"/>
        <v>--</v>
      </c>
      <c r="U29" s="281" t="str">
        <f t="shared" si="6"/>
        <v>--</v>
      </c>
      <c r="V29" s="228" t="str">
        <f t="shared" si="7"/>
        <v>--</v>
      </c>
      <c r="W29" s="289" t="str">
        <f t="shared" si="8"/>
        <v>--</v>
      </c>
      <c r="X29" s="298" t="str">
        <f t="shared" si="9"/>
        <v>--</v>
      </c>
      <c r="Y29" s="299" t="str">
        <f t="shared" si="10"/>
        <v>--</v>
      </c>
      <c r="Z29" s="306" t="str">
        <f t="shared" si="11"/>
        <v>--</v>
      </c>
      <c r="AA29" s="312" t="str">
        <f t="shared" si="12"/>
        <v>--</v>
      </c>
      <c r="AB29" s="21">
        <f t="shared" si="15"/>
      </c>
      <c r="AC29" s="27">
        <f t="shared" si="13"/>
      </c>
      <c r="AD29" s="322"/>
    </row>
    <row r="30" spans="1:30" s="8" customFormat="1" ht="15">
      <c r="A30" s="120"/>
      <c r="B30" s="125"/>
      <c r="C30" s="357"/>
      <c r="D30" s="357"/>
      <c r="E30" s="357"/>
      <c r="F30" s="342"/>
      <c r="G30" s="336"/>
      <c r="H30" s="362"/>
      <c r="I30" s="363"/>
      <c r="J30" s="202">
        <f t="shared" si="0"/>
        <v>0</v>
      </c>
      <c r="K30" s="366"/>
      <c r="L30" s="366"/>
      <c r="M30" s="22">
        <f t="shared" si="1"/>
      </c>
      <c r="N30" s="23">
        <f t="shared" si="2"/>
      </c>
      <c r="O30" s="367"/>
      <c r="P30" s="367">
        <f t="shared" si="3"/>
      </c>
      <c r="Q30" s="368">
        <f t="shared" si="14"/>
      </c>
      <c r="R30" s="367"/>
      <c r="S30" s="271">
        <f t="shared" si="4"/>
        <v>3</v>
      </c>
      <c r="T30" s="275" t="str">
        <f t="shared" si="5"/>
        <v>--</v>
      </c>
      <c r="U30" s="281" t="str">
        <f t="shared" si="6"/>
        <v>--</v>
      </c>
      <c r="V30" s="228" t="str">
        <f t="shared" si="7"/>
        <v>--</v>
      </c>
      <c r="W30" s="289" t="str">
        <f t="shared" si="8"/>
        <v>--</v>
      </c>
      <c r="X30" s="298" t="str">
        <f t="shared" si="9"/>
        <v>--</v>
      </c>
      <c r="Y30" s="299" t="str">
        <f t="shared" si="10"/>
        <v>--</v>
      </c>
      <c r="Z30" s="306" t="str">
        <f t="shared" si="11"/>
        <v>--</v>
      </c>
      <c r="AA30" s="312" t="str">
        <f t="shared" si="12"/>
        <v>--</v>
      </c>
      <c r="AB30" s="21">
        <f t="shared" si="15"/>
      </c>
      <c r="AC30" s="27">
        <f t="shared" si="13"/>
      </c>
      <c r="AD30" s="322"/>
    </row>
    <row r="31" spans="1:30" s="8" customFormat="1" ht="15">
      <c r="A31" s="120"/>
      <c r="B31" s="125"/>
      <c r="C31" s="357"/>
      <c r="D31" s="357"/>
      <c r="E31" s="357"/>
      <c r="F31" s="342"/>
      <c r="G31" s="336"/>
      <c r="H31" s="362"/>
      <c r="I31" s="363"/>
      <c r="J31" s="202">
        <f t="shared" si="0"/>
        <v>0</v>
      </c>
      <c r="K31" s="366"/>
      <c r="L31" s="366"/>
      <c r="M31" s="22">
        <f t="shared" si="1"/>
      </c>
      <c r="N31" s="23">
        <f t="shared" si="2"/>
      </c>
      <c r="O31" s="367"/>
      <c r="P31" s="367">
        <f t="shared" si="3"/>
      </c>
      <c r="Q31" s="368">
        <f t="shared" si="14"/>
      </c>
      <c r="R31" s="367"/>
      <c r="S31" s="271">
        <f t="shared" si="4"/>
        <v>3</v>
      </c>
      <c r="T31" s="275" t="str">
        <f t="shared" si="5"/>
        <v>--</v>
      </c>
      <c r="U31" s="281" t="str">
        <f t="shared" si="6"/>
        <v>--</v>
      </c>
      <c r="V31" s="228" t="str">
        <f t="shared" si="7"/>
        <v>--</v>
      </c>
      <c r="W31" s="289" t="str">
        <f t="shared" si="8"/>
        <v>--</v>
      </c>
      <c r="X31" s="298" t="str">
        <f t="shared" si="9"/>
        <v>--</v>
      </c>
      <c r="Y31" s="299" t="str">
        <f t="shared" si="10"/>
        <v>--</v>
      </c>
      <c r="Z31" s="306" t="str">
        <f t="shared" si="11"/>
        <v>--</v>
      </c>
      <c r="AA31" s="312" t="str">
        <f t="shared" si="12"/>
        <v>--</v>
      </c>
      <c r="AB31" s="21">
        <f t="shared" si="15"/>
      </c>
      <c r="AC31" s="27">
        <f t="shared" si="13"/>
      </c>
      <c r="AD31" s="322"/>
    </row>
    <row r="32" spans="1:30" s="8" customFormat="1" ht="15">
      <c r="A32" s="120"/>
      <c r="B32" s="125"/>
      <c r="C32" s="357"/>
      <c r="D32" s="357"/>
      <c r="E32" s="357"/>
      <c r="F32" s="342"/>
      <c r="G32" s="336"/>
      <c r="H32" s="362"/>
      <c r="I32" s="363"/>
      <c r="J32" s="202">
        <f t="shared" si="0"/>
        <v>0</v>
      </c>
      <c r="K32" s="366"/>
      <c r="L32" s="366"/>
      <c r="M32" s="22">
        <f t="shared" si="1"/>
      </c>
      <c r="N32" s="23">
        <f t="shared" si="2"/>
      </c>
      <c r="O32" s="367"/>
      <c r="P32" s="367">
        <f t="shared" si="3"/>
      </c>
      <c r="Q32" s="368">
        <f t="shared" si="14"/>
      </c>
      <c r="R32" s="367"/>
      <c r="S32" s="271">
        <f t="shared" si="4"/>
        <v>3</v>
      </c>
      <c r="T32" s="275" t="str">
        <f t="shared" si="5"/>
        <v>--</v>
      </c>
      <c r="U32" s="281" t="str">
        <f t="shared" si="6"/>
        <v>--</v>
      </c>
      <c r="V32" s="228" t="str">
        <f t="shared" si="7"/>
        <v>--</v>
      </c>
      <c r="W32" s="289" t="str">
        <f t="shared" si="8"/>
        <v>--</v>
      </c>
      <c r="X32" s="298" t="str">
        <f t="shared" si="9"/>
        <v>--</v>
      </c>
      <c r="Y32" s="299" t="str">
        <f t="shared" si="10"/>
        <v>--</v>
      </c>
      <c r="Z32" s="306" t="str">
        <f t="shared" si="11"/>
        <v>--</v>
      </c>
      <c r="AA32" s="312" t="str">
        <f t="shared" si="12"/>
        <v>--</v>
      </c>
      <c r="AB32" s="21">
        <f t="shared" si="15"/>
      </c>
      <c r="AC32" s="27">
        <f t="shared" si="13"/>
      </c>
      <c r="AD32" s="322"/>
    </row>
    <row r="33" spans="1:30" s="8" customFormat="1" ht="15">
      <c r="A33" s="120"/>
      <c r="B33" s="125"/>
      <c r="C33" s="357"/>
      <c r="D33" s="357"/>
      <c r="E33" s="357"/>
      <c r="F33" s="342"/>
      <c r="G33" s="336"/>
      <c r="H33" s="362"/>
      <c r="I33" s="363"/>
      <c r="J33" s="202">
        <f t="shared" si="0"/>
        <v>0</v>
      </c>
      <c r="K33" s="366"/>
      <c r="L33" s="366"/>
      <c r="M33" s="22">
        <f t="shared" si="1"/>
      </c>
      <c r="N33" s="23">
        <f t="shared" si="2"/>
      </c>
      <c r="O33" s="367"/>
      <c r="P33" s="367">
        <f t="shared" si="3"/>
      </c>
      <c r="Q33" s="368">
        <f t="shared" si="14"/>
      </c>
      <c r="R33" s="367"/>
      <c r="S33" s="271">
        <f t="shared" si="4"/>
        <v>3</v>
      </c>
      <c r="T33" s="275" t="str">
        <f t="shared" si="5"/>
        <v>--</v>
      </c>
      <c r="U33" s="281" t="str">
        <f t="shared" si="6"/>
        <v>--</v>
      </c>
      <c r="V33" s="228" t="str">
        <f t="shared" si="7"/>
        <v>--</v>
      </c>
      <c r="W33" s="289" t="str">
        <f t="shared" si="8"/>
        <v>--</v>
      </c>
      <c r="X33" s="298" t="str">
        <f t="shared" si="9"/>
        <v>--</v>
      </c>
      <c r="Y33" s="299" t="str">
        <f t="shared" si="10"/>
        <v>--</v>
      </c>
      <c r="Z33" s="306" t="str">
        <f t="shared" si="11"/>
        <v>--</v>
      </c>
      <c r="AA33" s="312" t="str">
        <f t="shared" si="12"/>
        <v>--</v>
      </c>
      <c r="AB33" s="21">
        <f t="shared" si="15"/>
      </c>
      <c r="AC33" s="27">
        <f t="shared" si="13"/>
      </c>
      <c r="AD33" s="322"/>
    </row>
    <row r="34" spans="1:30" s="8" customFormat="1" ht="15">
      <c r="A34" s="120"/>
      <c r="B34" s="125"/>
      <c r="C34" s="357"/>
      <c r="D34" s="357"/>
      <c r="E34" s="357"/>
      <c r="F34" s="342"/>
      <c r="G34" s="336"/>
      <c r="H34" s="362"/>
      <c r="I34" s="363"/>
      <c r="J34" s="202">
        <f t="shared" si="0"/>
        <v>0</v>
      </c>
      <c r="K34" s="366"/>
      <c r="L34" s="366"/>
      <c r="M34" s="22">
        <f t="shared" si="1"/>
      </c>
      <c r="N34" s="23">
        <f t="shared" si="2"/>
      </c>
      <c r="O34" s="367"/>
      <c r="P34" s="367">
        <f t="shared" si="3"/>
      </c>
      <c r="Q34" s="368">
        <f t="shared" si="14"/>
      </c>
      <c r="R34" s="367"/>
      <c r="S34" s="271">
        <f t="shared" si="4"/>
        <v>3</v>
      </c>
      <c r="T34" s="275" t="str">
        <f t="shared" si="5"/>
        <v>--</v>
      </c>
      <c r="U34" s="281" t="str">
        <f t="shared" si="6"/>
        <v>--</v>
      </c>
      <c r="V34" s="228" t="str">
        <f t="shared" si="7"/>
        <v>--</v>
      </c>
      <c r="W34" s="289" t="str">
        <f t="shared" si="8"/>
        <v>--</v>
      </c>
      <c r="X34" s="298" t="str">
        <f t="shared" si="9"/>
        <v>--</v>
      </c>
      <c r="Y34" s="299" t="str">
        <f t="shared" si="10"/>
        <v>--</v>
      </c>
      <c r="Z34" s="306" t="str">
        <f t="shared" si="11"/>
        <v>--</v>
      </c>
      <c r="AA34" s="312" t="str">
        <f t="shared" si="12"/>
        <v>--</v>
      </c>
      <c r="AB34" s="21">
        <f t="shared" si="15"/>
      </c>
      <c r="AC34" s="27">
        <f t="shared" si="13"/>
      </c>
      <c r="AD34" s="322"/>
    </row>
    <row r="35" spans="1:30" s="8" customFormat="1" ht="15">
      <c r="A35" s="120"/>
      <c r="B35" s="125"/>
      <c r="C35" s="357"/>
      <c r="D35" s="357"/>
      <c r="E35" s="357"/>
      <c r="F35" s="342"/>
      <c r="G35" s="336"/>
      <c r="H35" s="362"/>
      <c r="I35" s="363"/>
      <c r="J35" s="202">
        <f t="shared" si="0"/>
        <v>0</v>
      </c>
      <c r="K35" s="366"/>
      <c r="L35" s="366"/>
      <c r="M35" s="22">
        <f t="shared" si="1"/>
      </c>
      <c r="N35" s="23">
        <f t="shared" si="2"/>
      </c>
      <c r="O35" s="367"/>
      <c r="P35" s="367">
        <f t="shared" si="3"/>
      </c>
      <c r="Q35" s="368">
        <f t="shared" si="14"/>
      </c>
      <c r="R35" s="367"/>
      <c r="S35" s="271">
        <f t="shared" si="4"/>
        <v>3</v>
      </c>
      <c r="T35" s="275" t="str">
        <f t="shared" si="5"/>
        <v>--</v>
      </c>
      <c r="U35" s="281" t="str">
        <f t="shared" si="6"/>
        <v>--</v>
      </c>
      <c r="V35" s="228" t="str">
        <f t="shared" si="7"/>
        <v>--</v>
      </c>
      <c r="W35" s="289" t="str">
        <f t="shared" si="8"/>
        <v>--</v>
      </c>
      <c r="X35" s="298" t="str">
        <f t="shared" si="9"/>
        <v>--</v>
      </c>
      <c r="Y35" s="299" t="str">
        <f t="shared" si="10"/>
        <v>--</v>
      </c>
      <c r="Z35" s="306" t="str">
        <f t="shared" si="11"/>
        <v>--</v>
      </c>
      <c r="AA35" s="312" t="str">
        <f t="shared" si="12"/>
        <v>--</v>
      </c>
      <c r="AB35" s="21">
        <f t="shared" si="15"/>
      </c>
      <c r="AC35" s="27">
        <f t="shared" si="13"/>
      </c>
      <c r="AD35" s="322"/>
    </row>
    <row r="36" spans="1:30" s="8" customFormat="1" ht="15">
      <c r="A36" s="120"/>
      <c r="B36" s="125"/>
      <c r="C36" s="357"/>
      <c r="D36" s="357"/>
      <c r="E36" s="357"/>
      <c r="F36" s="342"/>
      <c r="G36" s="336"/>
      <c r="H36" s="362"/>
      <c r="I36" s="363"/>
      <c r="J36" s="202">
        <f t="shared" si="0"/>
        <v>0</v>
      </c>
      <c r="K36" s="366"/>
      <c r="L36" s="366"/>
      <c r="M36" s="22">
        <f t="shared" si="1"/>
      </c>
      <c r="N36" s="23">
        <f t="shared" si="2"/>
      </c>
      <c r="O36" s="367"/>
      <c r="P36" s="367">
        <f t="shared" si="3"/>
      </c>
      <c r="Q36" s="368">
        <f t="shared" si="14"/>
      </c>
      <c r="R36" s="367"/>
      <c r="S36" s="271">
        <f t="shared" si="4"/>
        <v>3</v>
      </c>
      <c r="T36" s="275" t="str">
        <f t="shared" si="5"/>
        <v>--</v>
      </c>
      <c r="U36" s="281" t="str">
        <f t="shared" si="6"/>
        <v>--</v>
      </c>
      <c r="V36" s="228" t="str">
        <f t="shared" si="7"/>
        <v>--</v>
      </c>
      <c r="W36" s="289" t="str">
        <f t="shared" si="8"/>
        <v>--</v>
      </c>
      <c r="X36" s="298" t="str">
        <f t="shared" si="9"/>
        <v>--</v>
      </c>
      <c r="Y36" s="299" t="str">
        <f t="shared" si="10"/>
        <v>--</v>
      </c>
      <c r="Z36" s="306" t="str">
        <f t="shared" si="11"/>
        <v>--</v>
      </c>
      <c r="AA36" s="312" t="str">
        <f t="shared" si="12"/>
        <v>--</v>
      </c>
      <c r="AB36" s="21">
        <f t="shared" si="15"/>
      </c>
      <c r="AC36" s="27">
        <f t="shared" si="13"/>
      </c>
      <c r="AD36" s="322"/>
    </row>
    <row r="37" spans="1:30" s="8" customFormat="1" ht="15">
      <c r="A37" s="120"/>
      <c r="B37" s="125"/>
      <c r="C37" s="357"/>
      <c r="D37" s="357"/>
      <c r="E37" s="357"/>
      <c r="F37" s="342"/>
      <c r="G37" s="336"/>
      <c r="H37" s="362"/>
      <c r="I37" s="363"/>
      <c r="J37" s="202">
        <f t="shared" si="0"/>
        <v>0</v>
      </c>
      <c r="K37" s="366"/>
      <c r="L37" s="366"/>
      <c r="M37" s="22">
        <f t="shared" si="1"/>
      </c>
      <c r="N37" s="23">
        <f t="shared" si="2"/>
      </c>
      <c r="O37" s="367"/>
      <c r="P37" s="367">
        <f t="shared" si="3"/>
      </c>
      <c r="Q37" s="368">
        <f t="shared" si="14"/>
      </c>
      <c r="R37" s="367"/>
      <c r="S37" s="271">
        <f t="shared" si="4"/>
        <v>3</v>
      </c>
      <c r="T37" s="275" t="str">
        <f t="shared" si="5"/>
        <v>--</v>
      </c>
      <c r="U37" s="281" t="str">
        <f t="shared" si="6"/>
        <v>--</v>
      </c>
      <c r="V37" s="228" t="str">
        <f t="shared" si="7"/>
        <v>--</v>
      </c>
      <c r="W37" s="289" t="str">
        <f t="shared" si="8"/>
        <v>--</v>
      </c>
      <c r="X37" s="298" t="str">
        <f t="shared" si="9"/>
        <v>--</v>
      </c>
      <c r="Y37" s="299" t="str">
        <f t="shared" si="10"/>
        <v>--</v>
      </c>
      <c r="Z37" s="306" t="str">
        <f t="shared" si="11"/>
        <v>--</v>
      </c>
      <c r="AA37" s="312" t="str">
        <f t="shared" si="12"/>
        <v>--</v>
      </c>
      <c r="AB37" s="21">
        <f t="shared" si="15"/>
      </c>
      <c r="AC37" s="27">
        <f t="shared" si="13"/>
      </c>
      <c r="AD37" s="30"/>
    </row>
    <row r="38" spans="1:30" s="8" customFormat="1" ht="15">
      <c r="A38" s="120"/>
      <c r="B38" s="125"/>
      <c r="C38" s="357"/>
      <c r="D38" s="357"/>
      <c r="E38" s="357"/>
      <c r="F38" s="342"/>
      <c r="G38" s="336"/>
      <c r="H38" s="362"/>
      <c r="I38" s="363"/>
      <c r="J38" s="202">
        <f t="shared" si="0"/>
        <v>0</v>
      </c>
      <c r="K38" s="366"/>
      <c r="L38" s="366"/>
      <c r="M38" s="22">
        <f t="shared" si="1"/>
      </c>
      <c r="N38" s="23">
        <f t="shared" si="2"/>
      </c>
      <c r="O38" s="367"/>
      <c r="P38" s="367">
        <f t="shared" si="3"/>
      </c>
      <c r="Q38" s="368">
        <f t="shared" si="14"/>
      </c>
      <c r="R38" s="367"/>
      <c r="S38" s="271">
        <f t="shared" si="4"/>
        <v>3</v>
      </c>
      <c r="T38" s="275" t="str">
        <f t="shared" si="5"/>
        <v>--</v>
      </c>
      <c r="U38" s="281" t="str">
        <f t="shared" si="6"/>
        <v>--</v>
      </c>
      <c r="V38" s="228" t="str">
        <f t="shared" si="7"/>
        <v>--</v>
      </c>
      <c r="W38" s="289" t="str">
        <f t="shared" si="8"/>
        <v>--</v>
      </c>
      <c r="X38" s="298" t="str">
        <f t="shared" si="9"/>
        <v>--</v>
      </c>
      <c r="Y38" s="299" t="str">
        <f t="shared" si="10"/>
        <v>--</v>
      </c>
      <c r="Z38" s="306" t="str">
        <f t="shared" si="11"/>
        <v>--</v>
      </c>
      <c r="AA38" s="312" t="str">
        <f t="shared" si="12"/>
        <v>--</v>
      </c>
      <c r="AB38" s="21">
        <f t="shared" si="15"/>
      </c>
      <c r="AC38" s="27">
        <f t="shared" si="13"/>
      </c>
      <c r="AD38" s="30"/>
    </row>
    <row r="39" spans="1:30" s="8" customFormat="1" ht="15">
      <c r="A39" s="120"/>
      <c r="B39" s="125"/>
      <c r="C39" s="357"/>
      <c r="D39" s="357"/>
      <c r="E39" s="357"/>
      <c r="F39" s="342"/>
      <c r="G39" s="336"/>
      <c r="H39" s="362"/>
      <c r="I39" s="363"/>
      <c r="J39" s="202">
        <f t="shared" si="0"/>
        <v>0</v>
      </c>
      <c r="K39" s="366"/>
      <c r="L39" s="366"/>
      <c r="M39" s="22">
        <f t="shared" si="1"/>
      </c>
      <c r="N39" s="23">
        <f t="shared" si="2"/>
      </c>
      <c r="O39" s="367"/>
      <c r="P39" s="367">
        <f t="shared" si="3"/>
      </c>
      <c r="Q39" s="368">
        <f t="shared" si="14"/>
      </c>
      <c r="R39" s="367"/>
      <c r="S39" s="271">
        <f t="shared" si="4"/>
        <v>3</v>
      </c>
      <c r="T39" s="275" t="str">
        <f t="shared" si="5"/>
        <v>--</v>
      </c>
      <c r="U39" s="281" t="str">
        <f t="shared" si="6"/>
        <v>--</v>
      </c>
      <c r="V39" s="228" t="str">
        <f t="shared" si="7"/>
        <v>--</v>
      </c>
      <c r="W39" s="289" t="str">
        <f t="shared" si="8"/>
        <v>--</v>
      </c>
      <c r="X39" s="298" t="str">
        <f t="shared" si="9"/>
        <v>--</v>
      </c>
      <c r="Y39" s="299" t="str">
        <f t="shared" si="10"/>
        <v>--</v>
      </c>
      <c r="Z39" s="306" t="str">
        <f t="shared" si="11"/>
        <v>--</v>
      </c>
      <c r="AA39" s="312" t="str">
        <f t="shared" si="12"/>
        <v>--</v>
      </c>
      <c r="AB39" s="21">
        <f t="shared" si="15"/>
      </c>
      <c r="AC39" s="27">
        <f t="shared" si="13"/>
      </c>
      <c r="AD39" s="30"/>
    </row>
    <row r="40" spans="1:30" s="8" customFormat="1" ht="15">
      <c r="A40" s="120"/>
      <c r="B40" s="125"/>
      <c r="C40" s="357"/>
      <c r="D40" s="357"/>
      <c r="E40" s="357"/>
      <c r="F40" s="342"/>
      <c r="G40" s="336"/>
      <c r="H40" s="362"/>
      <c r="I40" s="363"/>
      <c r="J40" s="202">
        <f t="shared" si="0"/>
        <v>0</v>
      </c>
      <c r="K40" s="366"/>
      <c r="L40" s="366"/>
      <c r="M40" s="22">
        <f t="shared" si="1"/>
      </c>
      <c r="N40" s="23">
        <f t="shared" si="2"/>
      </c>
      <c r="O40" s="367"/>
      <c r="P40" s="367">
        <f t="shared" si="3"/>
      </c>
      <c r="Q40" s="368">
        <f t="shared" si="14"/>
      </c>
      <c r="R40" s="367"/>
      <c r="S40" s="271">
        <f t="shared" si="4"/>
        <v>3</v>
      </c>
      <c r="T40" s="275" t="str">
        <f t="shared" si="5"/>
        <v>--</v>
      </c>
      <c r="U40" s="281" t="str">
        <f t="shared" si="6"/>
        <v>--</v>
      </c>
      <c r="V40" s="228" t="str">
        <f t="shared" si="7"/>
        <v>--</v>
      </c>
      <c r="W40" s="289" t="str">
        <f t="shared" si="8"/>
        <v>--</v>
      </c>
      <c r="X40" s="298" t="str">
        <f t="shared" si="9"/>
        <v>--</v>
      </c>
      <c r="Y40" s="299" t="str">
        <f t="shared" si="10"/>
        <v>--</v>
      </c>
      <c r="Z40" s="306" t="str">
        <f t="shared" si="11"/>
        <v>--</v>
      </c>
      <c r="AA40" s="312" t="str">
        <f t="shared" si="12"/>
        <v>--</v>
      </c>
      <c r="AB40" s="21">
        <f t="shared" si="15"/>
      </c>
      <c r="AC40" s="27">
        <f t="shared" si="13"/>
      </c>
      <c r="AD40" s="30"/>
    </row>
    <row r="41" spans="1:30" s="8" customFormat="1" ht="15">
      <c r="A41" s="120"/>
      <c r="B41" s="125"/>
      <c r="C41" s="357"/>
      <c r="D41" s="357"/>
      <c r="E41" s="357"/>
      <c r="F41" s="342"/>
      <c r="G41" s="336"/>
      <c r="H41" s="362"/>
      <c r="I41" s="363"/>
      <c r="J41" s="202">
        <f t="shared" si="0"/>
        <v>0</v>
      </c>
      <c r="K41" s="366"/>
      <c r="L41" s="366"/>
      <c r="M41" s="22">
        <f t="shared" si="1"/>
      </c>
      <c r="N41" s="23">
        <f t="shared" si="2"/>
      </c>
      <c r="O41" s="367"/>
      <c r="P41" s="367">
        <f t="shared" si="3"/>
      </c>
      <c r="Q41" s="368">
        <f t="shared" si="14"/>
      </c>
      <c r="R41" s="367"/>
      <c r="S41" s="271">
        <f t="shared" si="4"/>
        <v>3</v>
      </c>
      <c r="T41" s="275" t="str">
        <f t="shared" si="5"/>
        <v>--</v>
      </c>
      <c r="U41" s="281" t="str">
        <f t="shared" si="6"/>
        <v>--</v>
      </c>
      <c r="V41" s="228" t="str">
        <f t="shared" si="7"/>
        <v>--</v>
      </c>
      <c r="W41" s="289" t="str">
        <f t="shared" si="8"/>
        <v>--</v>
      </c>
      <c r="X41" s="298" t="str">
        <f t="shared" si="9"/>
        <v>--</v>
      </c>
      <c r="Y41" s="299" t="str">
        <f t="shared" si="10"/>
        <v>--</v>
      </c>
      <c r="Z41" s="306" t="str">
        <f t="shared" si="11"/>
        <v>--</v>
      </c>
      <c r="AA41" s="312" t="str">
        <f t="shared" si="12"/>
        <v>--</v>
      </c>
      <c r="AB41" s="21">
        <f t="shared" si="15"/>
      </c>
      <c r="AC41" s="27">
        <f t="shared" si="13"/>
      </c>
      <c r="AD41" s="30"/>
    </row>
    <row r="42" spans="1:30" s="8" customFormat="1" ht="15">
      <c r="A42" s="120"/>
      <c r="B42" s="125"/>
      <c r="C42" s="357"/>
      <c r="D42" s="357"/>
      <c r="E42" s="357"/>
      <c r="F42" s="342"/>
      <c r="G42" s="336"/>
      <c r="H42" s="362"/>
      <c r="I42" s="363"/>
      <c r="J42" s="202">
        <f t="shared" si="0"/>
        <v>0</v>
      </c>
      <c r="K42" s="366"/>
      <c r="L42" s="366"/>
      <c r="M42" s="22">
        <f t="shared" si="1"/>
      </c>
      <c r="N42" s="23">
        <f t="shared" si="2"/>
      </c>
      <c r="O42" s="367"/>
      <c r="P42" s="367">
        <f t="shared" si="3"/>
      </c>
      <c r="Q42" s="368">
        <f t="shared" si="14"/>
      </c>
      <c r="R42" s="367"/>
      <c r="S42" s="271">
        <f t="shared" si="4"/>
        <v>3</v>
      </c>
      <c r="T42" s="275" t="str">
        <f t="shared" si="5"/>
        <v>--</v>
      </c>
      <c r="U42" s="281" t="str">
        <f t="shared" si="6"/>
        <v>--</v>
      </c>
      <c r="V42" s="228" t="str">
        <f t="shared" si="7"/>
        <v>--</v>
      </c>
      <c r="W42" s="289" t="str">
        <f t="shared" si="8"/>
        <v>--</v>
      </c>
      <c r="X42" s="298" t="str">
        <f t="shared" si="9"/>
        <v>--</v>
      </c>
      <c r="Y42" s="299" t="str">
        <f t="shared" si="10"/>
        <v>--</v>
      </c>
      <c r="Z42" s="306" t="str">
        <f t="shared" si="11"/>
        <v>--</v>
      </c>
      <c r="AA42" s="312" t="str">
        <f t="shared" si="12"/>
        <v>--</v>
      </c>
      <c r="AB42" s="21">
        <f t="shared" si="15"/>
      </c>
      <c r="AC42" s="27">
        <f t="shared" si="13"/>
      </c>
      <c r="AD42" s="30"/>
    </row>
    <row r="43" spans="1:30" s="8" customFormat="1" ht="15">
      <c r="A43" s="120"/>
      <c r="B43" s="125"/>
      <c r="C43" s="357"/>
      <c r="D43" s="357"/>
      <c r="E43" s="357"/>
      <c r="F43" s="342"/>
      <c r="G43" s="336"/>
      <c r="H43" s="362"/>
      <c r="I43" s="363"/>
      <c r="J43" s="202">
        <f t="shared" si="0"/>
        <v>0</v>
      </c>
      <c r="K43" s="366"/>
      <c r="L43" s="366"/>
      <c r="M43" s="22">
        <f t="shared" si="1"/>
      </c>
      <c r="N43" s="23">
        <f t="shared" si="2"/>
      </c>
      <c r="O43" s="367"/>
      <c r="P43" s="367">
        <f t="shared" si="3"/>
      </c>
      <c r="Q43" s="368">
        <f t="shared" si="14"/>
      </c>
      <c r="R43" s="367"/>
      <c r="S43" s="271">
        <f t="shared" si="4"/>
        <v>3</v>
      </c>
      <c r="T43" s="275" t="str">
        <f t="shared" si="5"/>
        <v>--</v>
      </c>
      <c r="U43" s="281" t="str">
        <f t="shared" si="6"/>
        <v>--</v>
      </c>
      <c r="V43" s="228" t="str">
        <f t="shared" si="7"/>
        <v>--</v>
      </c>
      <c r="W43" s="289" t="str">
        <f t="shared" si="8"/>
        <v>--</v>
      </c>
      <c r="X43" s="298" t="str">
        <f t="shared" si="9"/>
        <v>--</v>
      </c>
      <c r="Y43" s="299" t="str">
        <f t="shared" si="10"/>
        <v>--</v>
      </c>
      <c r="Z43" s="306" t="str">
        <f t="shared" si="11"/>
        <v>--</v>
      </c>
      <c r="AA43" s="312" t="str">
        <f t="shared" si="12"/>
        <v>--</v>
      </c>
      <c r="AB43" s="21">
        <f t="shared" si="15"/>
      </c>
      <c r="AC43" s="27">
        <f t="shared" si="13"/>
      </c>
      <c r="AD43" s="30"/>
    </row>
    <row r="44" spans="1:30" s="8" customFormat="1" ht="15.75" thickBot="1">
      <c r="A44" s="120"/>
      <c r="B44" s="125"/>
      <c r="C44" s="364"/>
      <c r="D44" s="364"/>
      <c r="E44" s="364"/>
      <c r="F44" s="364"/>
      <c r="G44" s="364"/>
      <c r="H44" s="364"/>
      <c r="I44" s="364"/>
      <c r="J44" s="206"/>
      <c r="K44" s="364"/>
      <c r="L44" s="364"/>
      <c r="M44" s="24"/>
      <c r="N44" s="24"/>
      <c r="O44" s="364"/>
      <c r="P44" s="364"/>
      <c r="Q44" s="364"/>
      <c r="R44" s="364"/>
      <c r="S44" s="267"/>
      <c r="T44" s="276"/>
      <c r="U44" s="282"/>
      <c r="V44" s="285"/>
      <c r="W44" s="286"/>
      <c r="X44" s="300"/>
      <c r="Y44" s="301"/>
      <c r="Z44" s="307"/>
      <c r="AA44" s="313"/>
      <c r="AB44" s="24"/>
      <c r="AC44" s="209"/>
      <c r="AD44" s="30"/>
    </row>
    <row r="45" spans="1:30" s="8" customFormat="1" ht="17.25" thickBot="1" thickTop="1">
      <c r="A45" s="120"/>
      <c r="B45" s="125"/>
      <c r="C45" s="188" t="s">
        <v>41</v>
      </c>
      <c r="D45" s="437" t="s">
        <v>146</v>
      </c>
      <c r="E45" s="190"/>
      <c r="F45" s="189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77">
        <f aca="true" t="shared" si="16" ref="T45:AA45">SUM(T22:T44)</f>
        <v>150.0408</v>
      </c>
      <c r="U45" s="283">
        <f t="shared" si="16"/>
        <v>0</v>
      </c>
      <c r="V45" s="287">
        <f t="shared" si="16"/>
        <v>0</v>
      </c>
      <c r="W45" s="287">
        <f t="shared" si="16"/>
        <v>0</v>
      </c>
      <c r="X45" s="302">
        <f t="shared" si="16"/>
        <v>0</v>
      </c>
      <c r="Y45" s="302">
        <f t="shared" si="16"/>
        <v>0</v>
      </c>
      <c r="Z45" s="308">
        <f t="shared" si="16"/>
        <v>0</v>
      </c>
      <c r="AA45" s="314">
        <f t="shared" si="16"/>
        <v>0</v>
      </c>
      <c r="AB45" s="210"/>
      <c r="AC45" s="134">
        <f>ROUND(SUM(AC22:AC44),2)</f>
        <v>4889.68</v>
      </c>
      <c r="AD45" s="30"/>
    </row>
    <row r="46" spans="1:30" s="8" customFormat="1" ht="13.5" thickTop="1">
      <c r="A46" s="120"/>
      <c r="B46" s="125"/>
      <c r="C46" s="190"/>
      <c r="D46" s="190"/>
      <c r="E46" s="190"/>
      <c r="F46" s="191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30"/>
    </row>
    <row r="47" spans="1:30" s="8" customFormat="1" ht="13.5" thickBot="1">
      <c r="A47" s="120"/>
      <c r="B47" s="135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7"/>
    </row>
    <row r="48" spans="1:30" ht="16.5" customHeight="1" thickTop="1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2"/>
    </row>
    <row r="49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57" r:id="rId3"/>
  <headerFooter alignWithMargins="0">
    <oddFooter>&amp;L&amp;F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1"/>
  <dimension ref="A2:W47"/>
  <sheetViews>
    <sheetView zoomScale="75" zoomScaleNormal="75" workbookViewId="0" topLeftCell="A1">
      <selection activeCell="H31" sqref="H31"/>
    </sheetView>
  </sheetViews>
  <sheetFormatPr defaultColWidth="11.421875" defaultRowHeight="12.75"/>
  <cols>
    <col min="1" max="1" width="7.140625" style="0" customWidth="1"/>
    <col min="2" max="2" width="4.140625" style="0" customWidth="1"/>
    <col min="3" max="3" width="4.7109375" style="0" customWidth="1"/>
    <col min="4" max="5" width="13.7109375" style="0" customWidth="1"/>
    <col min="6" max="6" width="29.7109375" style="0" customWidth="1"/>
    <col min="7" max="7" width="41.57421875" style="0" customWidth="1"/>
    <col min="8" max="8" width="10.7109375" style="0" customWidth="1"/>
    <col min="9" max="9" width="14.7109375" style="0" hidden="1" customWidth="1"/>
    <col min="10" max="11" width="15.7109375" style="0" customWidth="1"/>
    <col min="12" max="14" width="9.7109375" style="0" customWidth="1"/>
    <col min="15" max="15" width="8.140625" style="0" customWidth="1"/>
    <col min="16" max="16" width="13.8515625" style="0" hidden="1" customWidth="1"/>
    <col min="17" max="20" width="16.57421875" style="0" hidden="1" customWidth="1"/>
    <col min="21" max="21" width="16.57421875" style="0" customWidth="1"/>
    <col min="22" max="22" width="15.7109375" style="0" customWidth="1"/>
    <col min="23" max="23" width="4.140625" style="0" customWidth="1"/>
  </cols>
  <sheetData>
    <row r="1" s="33" customFormat="1" ht="26.25"/>
    <row r="2" spans="2:23" s="33" customFormat="1" ht="26.25">
      <c r="B2" s="402" t="str">
        <f>+'TOT-0410'!B2</f>
        <v>ANEXO I al Memorandum D.T.E.E.  N° 928 /2011  </v>
      </c>
      <c r="C2" s="36"/>
      <c r="D2" s="36"/>
      <c r="E2" s="36"/>
      <c r="F2" s="36"/>
      <c r="G2" s="111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="8" customFormat="1" ht="19.5" customHeight="1"/>
    <row r="4" spans="1:3" s="40" customFormat="1" ht="11.25">
      <c r="A4" s="403" t="s">
        <v>67</v>
      </c>
      <c r="B4" s="113"/>
      <c r="C4" s="403"/>
    </row>
    <row r="5" spans="1:3" s="40" customFormat="1" ht="11.25">
      <c r="A5" s="403" t="s">
        <v>68</v>
      </c>
      <c r="B5" s="113"/>
      <c r="C5" s="113"/>
    </row>
    <row r="6" s="8" customFormat="1" ht="16.5" customHeight="1" thickBot="1"/>
    <row r="7" spans="2:23" s="8" customFormat="1" ht="16.5" customHeight="1" thickTop="1"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9"/>
    </row>
    <row r="8" spans="2:23" s="44" customFormat="1" ht="20.25">
      <c r="B8" s="100"/>
      <c r="C8" s="45"/>
      <c r="D8" s="45"/>
      <c r="E8" s="45"/>
      <c r="F8" s="17" t="s">
        <v>57</v>
      </c>
      <c r="G8" s="17"/>
      <c r="P8" s="45"/>
      <c r="Q8" s="45"/>
      <c r="R8" s="45"/>
      <c r="S8" s="45"/>
      <c r="T8" s="45"/>
      <c r="U8" s="45"/>
      <c r="V8" s="45"/>
      <c r="W8" s="101"/>
    </row>
    <row r="9" spans="2:23" s="8" customFormat="1" ht="16.5" customHeight="1">
      <c r="B9" s="66"/>
      <c r="C9" s="7"/>
      <c r="D9" s="7"/>
      <c r="E9" s="7"/>
      <c r="F9" s="7"/>
      <c r="G9" s="7"/>
      <c r="H9" s="7"/>
      <c r="I9" s="96"/>
      <c r="J9" s="96"/>
      <c r="K9" s="96"/>
      <c r="L9" s="96"/>
      <c r="M9" s="96"/>
      <c r="P9" s="7"/>
      <c r="Q9" s="7"/>
      <c r="R9" s="7"/>
      <c r="S9" s="7"/>
      <c r="T9" s="7"/>
      <c r="U9" s="7"/>
      <c r="V9" s="7"/>
      <c r="W9" s="9"/>
    </row>
    <row r="10" spans="2:23" s="44" customFormat="1" ht="20.25">
      <c r="B10" s="100"/>
      <c r="C10" s="45"/>
      <c r="D10" s="45"/>
      <c r="E10" s="45"/>
      <c r="F10" s="17" t="s">
        <v>58</v>
      </c>
      <c r="G10" s="17"/>
      <c r="H10" s="45"/>
      <c r="I10" s="17"/>
      <c r="J10" s="17"/>
      <c r="K10" s="17"/>
      <c r="L10" s="17"/>
      <c r="M10" s="17"/>
      <c r="P10" s="45"/>
      <c r="Q10" s="45"/>
      <c r="R10" s="45"/>
      <c r="S10" s="45"/>
      <c r="T10" s="45"/>
      <c r="U10" s="45"/>
      <c r="V10" s="45"/>
      <c r="W10" s="101"/>
    </row>
    <row r="11" spans="2:23" s="8" customFormat="1" ht="16.5" customHeight="1">
      <c r="B11" s="66"/>
      <c r="C11" s="7"/>
      <c r="D11" s="7"/>
      <c r="E11" s="7"/>
      <c r="F11" s="7"/>
      <c r="G11" s="7"/>
      <c r="H11" s="7"/>
      <c r="I11" s="96"/>
      <c r="J11" s="96"/>
      <c r="K11" s="96"/>
      <c r="L11" s="96"/>
      <c r="M11" s="96"/>
      <c r="P11" s="7"/>
      <c r="Q11" s="7"/>
      <c r="R11" s="7"/>
      <c r="S11" s="7"/>
      <c r="T11" s="7"/>
      <c r="U11" s="7"/>
      <c r="V11" s="7"/>
      <c r="W11" s="9"/>
    </row>
    <row r="12" spans="2:23" s="44" customFormat="1" ht="20.25">
      <c r="B12" s="100"/>
      <c r="C12" s="45"/>
      <c r="D12" s="45"/>
      <c r="E12" s="45"/>
      <c r="F12" s="17" t="s">
        <v>59</v>
      </c>
      <c r="G12" s="17"/>
      <c r="H12" s="45"/>
      <c r="I12" s="17"/>
      <c r="J12" s="17"/>
      <c r="K12" s="17"/>
      <c r="L12" s="17"/>
      <c r="M12" s="17"/>
      <c r="P12" s="45"/>
      <c r="Q12" s="45"/>
      <c r="R12" s="45"/>
      <c r="S12" s="45"/>
      <c r="T12" s="45"/>
      <c r="U12" s="45"/>
      <c r="V12" s="45"/>
      <c r="W12" s="101"/>
    </row>
    <row r="13" spans="2:23" s="8" customFormat="1" ht="16.5" customHeight="1">
      <c r="B13" s="66"/>
      <c r="C13" s="7"/>
      <c r="D13" s="7"/>
      <c r="E13" s="7"/>
      <c r="F13" s="98"/>
      <c r="G13" s="96"/>
      <c r="H13" s="7"/>
      <c r="I13" s="96"/>
      <c r="J13" s="96"/>
      <c r="K13" s="96"/>
      <c r="L13" s="96"/>
      <c r="M13" s="96"/>
      <c r="P13" s="7"/>
      <c r="Q13" s="7"/>
      <c r="R13" s="7"/>
      <c r="S13" s="7"/>
      <c r="T13" s="7"/>
      <c r="U13" s="7"/>
      <c r="V13" s="7"/>
      <c r="W13" s="9"/>
    </row>
    <row r="14" spans="2:23" s="51" customFormat="1" ht="19.5">
      <c r="B14" s="52" t="str">
        <f>'TOT-0410'!B14</f>
        <v>Desde el 01 al 30 de abril de 2010</v>
      </c>
      <c r="C14" s="56"/>
      <c r="D14" s="56"/>
      <c r="E14" s="56"/>
      <c r="F14" s="56"/>
      <c r="G14" s="56"/>
      <c r="H14" s="56"/>
      <c r="I14" s="56"/>
      <c r="J14" s="165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7"/>
    </row>
    <row r="15" spans="2:23" s="8" customFormat="1" ht="16.5" customHeight="1" thickBot="1">
      <c r="B15" s="66"/>
      <c r="C15" s="7"/>
      <c r="D15" s="7"/>
      <c r="E15" s="7"/>
      <c r="I15" s="90"/>
      <c r="K15" s="7"/>
      <c r="L15" s="7"/>
      <c r="M15" s="7"/>
      <c r="N15" s="90"/>
      <c r="O15" s="90"/>
      <c r="P15" s="90"/>
      <c r="Q15" s="7"/>
      <c r="R15" s="7"/>
      <c r="S15" s="7"/>
      <c r="T15" s="7"/>
      <c r="U15" s="7"/>
      <c r="V15" s="7"/>
      <c r="W15" s="9"/>
    </row>
    <row r="16" spans="2:23" s="8" customFormat="1" ht="16.5" customHeight="1" thickBot="1" thickTop="1">
      <c r="B16" s="66"/>
      <c r="C16" s="7"/>
      <c r="D16" s="7"/>
      <c r="E16" s="7"/>
      <c r="F16" s="166" t="s">
        <v>60</v>
      </c>
      <c r="G16" s="167">
        <v>4.869</v>
      </c>
      <c r="H16" s="168">
        <f>50*'TOT-0410'!B13</f>
        <v>50</v>
      </c>
      <c r="J16" s="196" t="str">
        <f>IF(H16=50," ",IF(H16=100,"  Coeficiente duplicado por tasa de falla &gt;4 Sal. x año/100 km.","REVISAR COEFICIENTE"))</f>
        <v> </v>
      </c>
      <c r="S16" s="7"/>
      <c r="T16" s="7"/>
      <c r="U16" s="7"/>
      <c r="V16" s="160"/>
      <c r="W16" s="9"/>
    </row>
    <row r="17" spans="2:23" s="8" customFormat="1" ht="16.5" customHeight="1" thickBot="1" thickTop="1">
      <c r="B17" s="66"/>
      <c r="C17" s="7"/>
      <c r="D17" s="7"/>
      <c r="E17" s="7"/>
      <c r="F17" s="169" t="s">
        <v>61</v>
      </c>
      <c r="G17" s="170">
        <v>3.653</v>
      </c>
      <c r="H17" s="171">
        <f>25*'TOT-0410'!B13</f>
        <v>25</v>
      </c>
      <c r="J17" s="196" t="str">
        <f>IF(H17=25," ",IF(H17=50,"  Coeficiente duplicado por tasa de falla &gt;4 Sal. x año/100 km.","REVISAR COEFICIENTE"))</f>
        <v> </v>
      </c>
      <c r="K17" s="91"/>
      <c r="L17" s="91"/>
      <c r="M17" s="7"/>
      <c r="P17" s="161"/>
      <c r="Q17" s="162"/>
      <c r="R17" s="84"/>
      <c r="S17" s="7"/>
      <c r="T17" s="7"/>
      <c r="U17" s="7"/>
      <c r="V17" s="160"/>
      <c r="W17" s="9"/>
    </row>
    <row r="18" spans="2:23" s="8" customFormat="1" ht="16.5" customHeight="1" thickBot="1" thickTop="1">
      <c r="B18" s="66"/>
      <c r="C18" s="7"/>
      <c r="D18" s="7"/>
      <c r="E18" s="7"/>
      <c r="F18" s="172" t="s">
        <v>62</v>
      </c>
      <c r="G18" s="170">
        <v>3.653</v>
      </c>
      <c r="H18" s="173">
        <f>20*'TOT-0410'!B13</f>
        <v>20</v>
      </c>
      <c r="J18" s="196" t="str">
        <f>IF(H18=20," ",IF(H18=40,"  Coeficiente duplicado por tasa de falla &gt;4 Sal. x año/100 km.","REVISAR COEFICIENTE"))</f>
        <v> </v>
      </c>
      <c r="K18" s="91"/>
      <c r="L18" s="91"/>
      <c r="M18" s="7"/>
      <c r="N18" s="329"/>
      <c r="O18" s="329"/>
      <c r="P18" s="327"/>
      <c r="Q18" s="328"/>
      <c r="R18" s="329"/>
      <c r="S18" s="330"/>
      <c r="T18" s="330"/>
      <c r="U18" s="331"/>
      <c r="V18" s="160"/>
      <c r="W18" s="9"/>
    </row>
    <row r="19" spans="2:23" s="8" customFormat="1" ht="16.5" customHeight="1" thickBot="1" thickTop="1">
      <c r="B19" s="66"/>
      <c r="C19" s="7"/>
      <c r="D19" s="7"/>
      <c r="E19" s="7"/>
      <c r="F19" s="163"/>
      <c r="G19" s="164"/>
      <c r="H19" s="84"/>
      <c r="I19" s="7"/>
      <c r="J19" s="84"/>
      <c r="K19" s="91"/>
      <c r="L19" s="91"/>
      <c r="M19" s="7"/>
      <c r="N19" s="7"/>
      <c r="O19" s="7"/>
      <c r="P19" s="161"/>
      <c r="Q19" s="162"/>
      <c r="R19" s="84"/>
      <c r="S19" s="7"/>
      <c r="T19" s="7"/>
      <c r="U19" s="7"/>
      <c r="V19" s="160"/>
      <c r="W19" s="9"/>
    </row>
    <row r="20" spans="2:23" s="8" customFormat="1" ht="33.75" customHeight="1" thickBot="1" thickTop="1">
      <c r="B20" s="66"/>
      <c r="C20" s="114" t="s">
        <v>23</v>
      </c>
      <c r="D20" s="114" t="s">
        <v>66</v>
      </c>
      <c r="E20" s="114" t="s">
        <v>65</v>
      </c>
      <c r="F20" s="177" t="s">
        <v>47</v>
      </c>
      <c r="G20" s="181" t="s">
        <v>48</v>
      </c>
      <c r="H20" s="182" t="s">
        <v>24</v>
      </c>
      <c r="I20" s="200" t="s">
        <v>26</v>
      </c>
      <c r="J20" s="176" t="s">
        <v>27</v>
      </c>
      <c r="K20" s="181" t="s">
        <v>28</v>
      </c>
      <c r="L20" s="183" t="s">
        <v>63</v>
      </c>
      <c r="M20" s="183" t="s">
        <v>51</v>
      </c>
      <c r="N20" s="118" t="s">
        <v>31</v>
      </c>
      <c r="O20" s="180" t="s">
        <v>52</v>
      </c>
      <c r="P20" s="315" t="s">
        <v>64</v>
      </c>
      <c r="Q20" s="316" t="s">
        <v>33</v>
      </c>
      <c r="R20" s="317" t="s">
        <v>55</v>
      </c>
      <c r="S20" s="318"/>
      <c r="T20" s="253" t="s">
        <v>37</v>
      </c>
      <c r="U20" s="179" t="s">
        <v>39</v>
      </c>
      <c r="V20" s="179" t="s">
        <v>40</v>
      </c>
      <c r="W20" s="30"/>
    </row>
    <row r="21" spans="2:23" s="8" customFormat="1" ht="16.5" customHeight="1" thickTop="1">
      <c r="B21" s="66"/>
      <c r="C21" s="360"/>
      <c r="D21" s="357"/>
      <c r="E21" s="357"/>
      <c r="F21" s="369"/>
      <c r="G21" s="370"/>
      <c r="H21" s="371"/>
      <c r="I21" s="207"/>
      <c r="J21" s="375"/>
      <c r="K21" s="377"/>
      <c r="L21" s="26"/>
      <c r="M21" s="23"/>
      <c r="N21" s="378"/>
      <c r="O21" s="378"/>
      <c r="P21" s="379"/>
      <c r="Q21" s="380"/>
      <c r="R21" s="381"/>
      <c r="S21" s="382"/>
      <c r="T21" s="383"/>
      <c r="U21" s="384"/>
      <c r="V21" s="32"/>
      <c r="W21" s="30"/>
    </row>
    <row r="22" spans="2:23" s="8" customFormat="1" ht="16.5" customHeight="1">
      <c r="B22" s="66"/>
      <c r="C22" s="360"/>
      <c r="D22" s="357"/>
      <c r="E22" s="357"/>
      <c r="F22" s="370"/>
      <c r="G22" s="370"/>
      <c r="H22" s="371"/>
      <c r="I22" s="207"/>
      <c r="J22" s="375"/>
      <c r="K22" s="377"/>
      <c r="L22" s="26"/>
      <c r="M22" s="23"/>
      <c r="N22" s="378"/>
      <c r="O22" s="378"/>
      <c r="P22" s="385"/>
      <c r="Q22" s="386"/>
      <c r="R22" s="387"/>
      <c r="S22" s="388"/>
      <c r="T22" s="389"/>
      <c r="U22" s="367"/>
      <c r="V22" s="174"/>
      <c r="W22" s="30"/>
    </row>
    <row r="23" spans="2:23" s="8" customFormat="1" ht="16.5" customHeight="1">
      <c r="B23" s="66"/>
      <c r="C23" s="360">
        <v>80</v>
      </c>
      <c r="D23" s="357">
        <v>220468</v>
      </c>
      <c r="E23" s="357">
        <v>4905</v>
      </c>
      <c r="F23" s="370" t="s">
        <v>133</v>
      </c>
      <c r="G23" s="370" t="s">
        <v>147</v>
      </c>
      <c r="H23" s="371">
        <v>13.2</v>
      </c>
      <c r="I23" s="207">
        <f aca="true" t="shared" si="0" ref="I23:I42">IF(OR(H23=132,H23=66),$G$16,IF(H23=33,$G$17,$G$18))</f>
        <v>3.653</v>
      </c>
      <c r="J23" s="375">
        <v>40277.625</v>
      </c>
      <c r="K23" s="377">
        <v>40277.78958333333</v>
      </c>
      <c r="L23" s="26">
        <f aca="true" t="shared" si="1" ref="L23:L42">IF(F23="","",(K23-J23)*24)</f>
        <v>3.949999999953434</v>
      </c>
      <c r="M23" s="23">
        <f aca="true" t="shared" si="2" ref="M23:M42">IF(F23="","",ROUND((K23-J23)*24*60,0))</f>
        <v>237</v>
      </c>
      <c r="N23" s="378" t="s">
        <v>71</v>
      </c>
      <c r="O23" s="378" t="str">
        <f aca="true" t="shared" si="3" ref="O23:O42">IF(F23="","",IF(OR(N23="P",N23="RP"),"--","NO"))</f>
        <v>--</v>
      </c>
      <c r="P23" s="385">
        <f aca="true" t="shared" si="4" ref="P23:P42">IF(H23&gt;33,$H$16,IF(H23=33,$H$17,$H$18))</f>
        <v>20</v>
      </c>
      <c r="Q23" s="386">
        <f aca="true" t="shared" si="5" ref="Q23:Q42">IF(N23="P",I23*P23*ROUND(M23/60,2)*0.1,"--")</f>
        <v>28.858700000000006</v>
      </c>
      <c r="R23" s="387" t="str">
        <f aca="true" t="shared" si="6" ref="R23:R42">IF(AND(N23="F",O23="NO"),I23*P23,"--")</f>
        <v>--</v>
      </c>
      <c r="S23" s="388" t="str">
        <f aca="true" t="shared" si="7" ref="S23:S42">IF(N23="F",I23*P23*ROUND(M23/60,2),"--")</f>
        <v>--</v>
      </c>
      <c r="T23" s="389" t="str">
        <f aca="true" t="shared" si="8" ref="T23:T42">IF(N23="RF",I23*P23*ROUND(M23/60,2),"--")</f>
        <v>--</v>
      </c>
      <c r="U23" s="367" t="s">
        <v>72</v>
      </c>
      <c r="V23" s="28">
        <f aca="true" t="shared" si="9" ref="V23:V42">IF(F23="","",SUM(Q23:T23)*IF(U23="SI",1,2)*IF(H23="500/220",0,1))</f>
        <v>28.858700000000006</v>
      </c>
      <c r="W23" s="322"/>
    </row>
    <row r="24" spans="2:23" s="8" customFormat="1" ht="16.5" customHeight="1">
      <c r="B24" s="66"/>
      <c r="C24" s="360">
        <v>81</v>
      </c>
      <c r="D24" s="357">
        <v>220469</v>
      </c>
      <c r="E24" s="357">
        <v>4904</v>
      </c>
      <c r="F24" s="370" t="s">
        <v>133</v>
      </c>
      <c r="G24" s="370" t="s">
        <v>147</v>
      </c>
      <c r="H24" s="371">
        <v>33</v>
      </c>
      <c r="I24" s="207">
        <f t="shared" si="0"/>
        <v>3.653</v>
      </c>
      <c r="J24" s="375">
        <v>40277.625</v>
      </c>
      <c r="K24" s="377">
        <v>40277.78958333333</v>
      </c>
      <c r="L24" s="26">
        <f t="shared" si="1"/>
        <v>3.949999999953434</v>
      </c>
      <c r="M24" s="23">
        <f t="shared" si="2"/>
        <v>237</v>
      </c>
      <c r="N24" s="378" t="s">
        <v>71</v>
      </c>
      <c r="O24" s="378" t="str">
        <f t="shared" si="3"/>
        <v>--</v>
      </c>
      <c r="P24" s="385">
        <f t="shared" si="4"/>
        <v>25</v>
      </c>
      <c r="Q24" s="386">
        <f t="shared" si="5"/>
        <v>36.073375000000006</v>
      </c>
      <c r="R24" s="387" t="str">
        <f t="shared" si="6"/>
        <v>--</v>
      </c>
      <c r="S24" s="388" t="str">
        <f t="shared" si="7"/>
        <v>--</v>
      </c>
      <c r="T24" s="389" t="str">
        <f t="shared" si="8"/>
        <v>--</v>
      </c>
      <c r="U24" s="367" t="s">
        <v>72</v>
      </c>
      <c r="V24" s="28">
        <f t="shared" si="9"/>
        <v>36.073375000000006</v>
      </c>
      <c r="W24" s="322"/>
    </row>
    <row r="25" spans="2:23" s="8" customFormat="1" ht="16.5" customHeight="1">
      <c r="B25" s="66"/>
      <c r="C25" s="360">
        <v>82</v>
      </c>
      <c r="D25" s="357">
        <v>220717</v>
      </c>
      <c r="E25" s="357">
        <v>4899</v>
      </c>
      <c r="F25" s="370" t="s">
        <v>134</v>
      </c>
      <c r="G25" s="370" t="s">
        <v>135</v>
      </c>
      <c r="H25" s="371">
        <v>33</v>
      </c>
      <c r="I25" s="207">
        <f t="shared" si="0"/>
        <v>3.653</v>
      </c>
      <c r="J25" s="375">
        <v>40283.59027777778</v>
      </c>
      <c r="K25" s="377">
        <v>40283.72083333333</v>
      </c>
      <c r="L25" s="26">
        <f t="shared" si="1"/>
        <v>3.1333333332440816</v>
      </c>
      <c r="M25" s="23">
        <f t="shared" si="2"/>
        <v>188</v>
      </c>
      <c r="N25" s="378" t="s">
        <v>71</v>
      </c>
      <c r="O25" s="378" t="str">
        <f t="shared" si="3"/>
        <v>--</v>
      </c>
      <c r="P25" s="385">
        <f t="shared" si="4"/>
        <v>25</v>
      </c>
      <c r="Q25" s="386">
        <f t="shared" si="5"/>
        <v>28.584725</v>
      </c>
      <c r="R25" s="387" t="str">
        <f t="shared" si="6"/>
        <v>--</v>
      </c>
      <c r="S25" s="388" t="str">
        <f t="shared" si="7"/>
        <v>--</v>
      </c>
      <c r="T25" s="389" t="str">
        <f t="shared" si="8"/>
        <v>--</v>
      </c>
      <c r="U25" s="367" t="s">
        <v>72</v>
      </c>
      <c r="V25" s="28">
        <f t="shared" si="9"/>
        <v>28.584725</v>
      </c>
      <c r="W25" s="322"/>
    </row>
    <row r="26" spans="2:23" s="8" customFormat="1" ht="16.5" customHeight="1">
      <c r="B26" s="66"/>
      <c r="C26" s="360">
        <v>83</v>
      </c>
      <c r="D26" s="357">
        <v>220718</v>
      </c>
      <c r="E26" s="357">
        <v>4898</v>
      </c>
      <c r="F26" s="370" t="s">
        <v>134</v>
      </c>
      <c r="G26" s="370" t="s">
        <v>136</v>
      </c>
      <c r="H26" s="371">
        <v>33</v>
      </c>
      <c r="I26" s="207">
        <f t="shared" si="0"/>
        <v>3.653</v>
      </c>
      <c r="J26" s="375">
        <v>40283.59027777778</v>
      </c>
      <c r="K26" s="377">
        <v>40283.72083333333</v>
      </c>
      <c r="L26" s="26">
        <f t="shared" si="1"/>
        <v>3.1333333332440816</v>
      </c>
      <c r="M26" s="23">
        <f t="shared" si="2"/>
        <v>188</v>
      </c>
      <c r="N26" s="378" t="s">
        <v>71</v>
      </c>
      <c r="O26" s="378" t="str">
        <f t="shared" si="3"/>
        <v>--</v>
      </c>
      <c r="P26" s="385">
        <f t="shared" si="4"/>
        <v>25</v>
      </c>
      <c r="Q26" s="386">
        <f t="shared" si="5"/>
        <v>28.584725</v>
      </c>
      <c r="R26" s="387" t="str">
        <f t="shared" si="6"/>
        <v>--</v>
      </c>
      <c r="S26" s="388" t="str">
        <f t="shared" si="7"/>
        <v>--</v>
      </c>
      <c r="T26" s="389" t="str">
        <f t="shared" si="8"/>
        <v>--</v>
      </c>
      <c r="U26" s="367" t="s">
        <v>72</v>
      </c>
      <c r="V26" s="28">
        <f t="shared" si="9"/>
        <v>28.584725</v>
      </c>
      <c r="W26" s="30"/>
    </row>
    <row r="27" spans="2:23" s="8" customFormat="1" ht="16.5" customHeight="1">
      <c r="B27" s="66"/>
      <c r="C27" s="360">
        <v>84</v>
      </c>
      <c r="D27" s="357">
        <v>221026</v>
      </c>
      <c r="E27" s="357">
        <v>3586</v>
      </c>
      <c r="F27" s="370" t="s">
        <v>110</v>
      </c>
      <c r="G27" s="370" t="s">
        <v>118</v>
      </c>
      <c r="H27" s="371">
        <v>13.199999809265137</v>
      </c>
      <c r="I27" s="207">
        <f t="shared" si="0"/>
        <v>3.653</v>
      </c>
      <c r="J27" s="375">
        <v>40288.59305555555</v>
      </c>
      <c r="K27" s="377">
        <v>40288.61041666667</v>
      </c>
      <c r="L27" s="26">
        <f t="shared" si="1"/>
        <v>0.41666666680248454</v>
      </c>
      <c r="M27" s="23">
        <f t="shared" si="2"/>
        <v>25</v>
      </c>
      <c r="N27" s="378" t="s">
        <v>71</v>
      </c>
      <c r="O27" s="378" t="str">
        <f t="shared" si="3"/>
        <v>--</v>
      </c>
      <c r="P27" s="385">
        <f t="shared" si="4"/>
        <v>20</v>
      </c>
      <c r="Q27" s="386">
        <f t="shared" si="5"/>
        <v>3.06852</v>
      </c>
      <c r="R27" s="387" t="str">
        <f t="shared" si="6"/>
        <v>--</v>
      </c>
      <c r="S27" s="388" t="str">
        <f t="shared" si="7"/>
        <v>--</v>
      </c>
      <c r="T27" s="389" t="str">
        <f t="shared" si="8"/>
        <v>--</v>
      </c>
      <c r="U27" s="367" t="s">
        <v>72</v>
      </c>
      <c r="V27" s="28">
        <f t="shared" si="9"/>
        <v>3.06852</v>
      </c>
      <c r="W27" s="30"/>
    </row>
    <row r="28" spans="2:23" s="8" customFormat="1" ht="16.5" customHeight="1">
      <c r="B28" s="66"/>
      <c r="C28" s="360">
        <v>85</v>
      </c>
      <c r="D28" s="357">
        <v>221027</v>
      </c>
      <c r="E28" s="357">
        <v>3587</v>
      </c>
      <c r="F28" s="370" t="s">
        <v>110</v>
      </c>
      <c r="G28" s="370" t="s">
        <v>119</v>
      </c>
      <c r="H28" s="371">
        <v>13.199999809265137</v>
      </c>
      <c r="I28" s="207">
        <f t="shared" si="0"/>
        <v>3.653</v>
      </c>
      <c r="J28" s="375">
        <v>40288.59305555555</v>
      </c>
      <c r="K28" s="377">
        <v>40288.61041666667</v>
      </c>
      <c r="L28" s="26">
        <f t="shared" si="1"/>
        <v>0.41666666680248454</v>
      </c>
      <c r="M28" s="23">
        <f t="shared" si="2"/>
        <v>25</v>
      </c>
      <c r="N28" s="378" t="s">
        <v>71</v>
      </c>
      <c r="O28" s="378" t="str">
        <f t="shared" si="3"/>
        <v>--</v>
      </c>
      <c r="P28" s="385">
        <f t="shared" si="4"/>
        <v>20</v>
      </c>
      <c r="Q28" s="386">
        <f t="shared" si="5"/>
        <v>3.06852</v>
      </c>
      <c r="R28" s="387" t="str">
        <f t="shared" si="6"/>
        <v>--</v>
      </c>
      <c r="S28" s="388" t="str">
        <f t="shared" si="7"/>
        <v>--</v>
      </c>
      <c r="T28" s="389" t="str">
        <f t="shared" si="8"/>
        <v>--</v>
      </c>
      <c r="U28" s="367" t="s">
        <v>72</v>
      </c>
      <c r="V28" s="28">
        <f t="shared" si="9"/>
        <v>3.06852</v>
      </c>
      <c r="W28" s="30"/>
    </row>
    <row r="29" spans="2:23" s="8" customFormat="1" ht="16.5" customHeight="1">
      <c r="B29" s="66"/>
      <c r="C29" s="360">
        <v>86</v>
      </c>
      <c r="D29" s="357">
        <v>221028</v>
      </c>
      <c r="E29" s="357">
        <v>3588</v>
      </c>
      <c r="F29" s="370" t="s">
        <v>110</v>
      </c>
      <c r="G29" s="370" t="s">
        <v>120</v>
      </c>
      <c r="H29" s="371">
        <v>13.199999809265137</v>
      </c>
      <c r="I29" s="207">
        <f t="shared" si="0"/>
        <v>3.653</v>
      </c>
      <c r="J29" s="375">
        <v>40288.59305555555</v>
      </c>
      <c r="K29" s="377">
        <v>40288.61041666667</v>
      </c>
      <c r="L29" s="26">
        <f t="shared" si="1"/>
        <v>0.41666666680248454</v>
      </c>
      <c r="M29" s="23">
        <f t="shared" si="2"/>
        <v>25</v>
      </c>
      <c r="N29" s="378" t="s">
        <v>71</v>
      </c>
      <c r="O29" s="378" t="str">
        <f t="shared" si="3"/>
        <v>--</v>
      </c>
      <c r="P29" s="385">
        <f t="shared" si="4"/>
        <v>20</v>
      </c>
      <c r="Q29" s="386">
        <f t="shared" si="5"/>
        <v>3.06852</v>
      </c>
      <c r="R29" s="387" t="str">
        <f t="shared" si="6"/>
        <v>--</v>
      </c>
      <c r="S29" s="388" t="str">
        <f t="shared" si="7"/>
        <v>--</v>
      </c>
      <c r="T29" s="389" t="str">
        <f t="shared" si="8"/>
        <v>--</v>
      </c>
      <c r="U29" s="367" t="s">
        <v>72</v>
      </c>
      <c r="V29" s="28">
        <f t="shared" si="9"/>
        <v>3.06852</v>
      </c>
      <c r="W29" s="30"/>
    </row>
    <row r="30" spans="2:23" s="8" customFormat="1" ht="16.5" customHeight="1">
      <c r="B30" s="66"/>
      <c r="C30" s="360">
        <v>87</v>
      </c>
      <c r="D30" s="357">
        <v>221029</v>
      </c>
      <c r="E30" s="357">
        <v>3679</v>
      </c>
      <c r="F30" s="370" t="s">
        <v>110</v>
      </c>
      <c r="G30" s="370" t="s">
        <v>121</v>
      </c>
      <c r="H30" s="371">
        <v>13.199999809265137</v>
      </c>
      <c r="I30" s="207">
        <f t="shared" si="0"/>
        <v>3.653</v>
      </c>
      <c r="J30" s="375">
        <v>40288.59305555555</v>
      </c>
      <c r="K30" s="377">
        <v>40288.61041666667</v>
      </c>
      <c r="L30" s="26">
        <f t="shared" si="1"/>
        <v>0.41666666680248454</v>
      </c>
      <c r="M30" s="23">
        <f t="shared" si="2"/>
        <v>25</v>
      </c>
      <c r="N30" s="378" t="s">
        <v>71</v>
      </c>
      <c r="O30" s="378" t="str">
        <f t="shared" si="3"/>
        <v>--</v>
      </c>
      <c r="P30" s="385">
        <f t="shared" si="4"/>
        <v>20</v>
      </c>
      <c r="Q30" s="386">
        <f t="shared" si="5"/>
        <v>3.06852</v>
      </c>
      <c r="R30" s="387" t="str">
        <f t="shared" si="6"/>
        <v>--</v>
      </c>
      <c r="S30" s="388" t="str">
        <f t="shared" si="7"/>
        <v>--</v>
      </c>
      <c r="T30" s="389" t="str">
        <f t="shared" si="8"/>
        <v>--</v>
      </c>
      <c r="U30" s="367" t="s">
        <v>72</v>
      </c>
      <c r="V30" s="28">
        <f t="shared" si="9"/>
        <v>3.06852</v>
      </c>
      <c r="W30" s="30"/>
    </row>
    <row r="31" spans="2:23" s="8" customFormat="1" ht="16.5" customHeight="1">
      <c r="B31" s="66"/>
      <c r="C31" s="360">
        <v>88</v>
      </c>
      <c r="D31" s="357">
        <v>221030</v>
      </c>
      <c r="E31" s="357">
        <v>3680</v>
      </c>
      <c r="F31" s="370" t="s">
        <v>110</v>
      </c>
      <c r="G31" s="370" t="s">
        <v>122</v>
      </c>
      <c r="H31" s="371">
        <v>33</v>
      </c>
      <c r="I31" s="207">
        <f t="shared" si="0"/>
        <v>3.653</v>
      </c>
      <c r="J31" s="375">
        <v>40288.680555555555</v>
      </c>
      <c r="K31" s="377">
        <v>40288.68472222222</v>
      </c>
      <c r="L31" s="26">
        <f t="shared" si="1"/>
        <v>0.09999999997671694</v>
      </c>
      <c r="M31" s="23">
        <f t="shared" si="2"/>
        <v>6</v>
      </c>
      <c r="N31" s="378" t="s">
        <v>71</v>
      </c>
      <c r="O31" s="378" t="str">
        <f t="shared" si="3"/>
        <v>--</v>
      </c>
      <c r="P31" s="385">
        <f t="shared" si="4"/>
        <v>25</v>
      </c>
      <c r="Q31" s="386">
        <f t="shared" si="5"/>
        <v>0.9132500000000001</v>
      </c>
      <c r="R31" s="387" t="str">
        <f t="shared" si="6"/>
        <v>--</v>
      </c>
      <c r="S31" s="388" t="str">
        <f t="shared" si="7"/>
        <v>--</v>
      </c>
      <c r="T31" s="389" t="str">
        <f t="shared" si="8"/>
        <v>--</v>
      </c>
      <c r="U31" s="367" t="s">
        <v>72</v>
      </c>
      <c r="V31" s="28">
        <f t="shared" si="9"/>
        <v>0.9132500000000001</v>
      </c>
      <c r="W31" s="30"/>
    </row>
    <row r="32" spans="2:23" s="8" customFormat="1" ht="16.5" customHeight="1">
      <c r="B32" s="66"/>
      <c r="C32" s="360">
        <v>89</v>
      </c>
      <c r="D32" s="357">
        <v>221317</v>
      </c>
      <c r="E32" s="357">
        <v>3582</v>
      </c>
      <c r="F32" s="370" t="s">
        <v>117</v>
      </c>
      <c r="G32" s="370" t="s">
        <v>123</v>
      </c>
      <c r="H32" s="371">
        <v>13.199999809265137</v>
      </c>
      <c r="I32" s="207">
        <f t="shared" si="0"/>
        <v>3.653</v>
      </c>
      <c r="J32" s="375">
        <v>40297.376388888886</v>
      </c>
      <c r="K32" s="377">
        <v>40297.379166666666</v>
      </c>
      <c r="L32" s="26">
        <f t="shared" si="1"/>
        <v>0.06666666670935228</v>
      </c>
      <c r="M32" s="23">
        <f t="shared" si="2"/>
        <v>4</v>
      </c>
      <c r="N32" s="378" t="s">
        <v>71</v>
      </c>
      <c r="O32" s="378" t="str">
        <f t="shared" si="3"/>
        <v>--</v>
      </c>
      <c r="P32" s="385">
        <f t="shared" si="4"/>
        <v>20</v>
      </c>
      <c r="Q32" s="386">
        <f t="shared" si="5"/>
        <v>0.5114200000000001</v>
      </c>
      <c r="R32" s="387" t="str">
        <f t="shared" si="6"/>
        <v>--</v>
      </c>
      <c r="S32" s="388" t="str">
        <f t="shared" si="7"/>
        <v>--</v>
      </c>
      <c r="T32" s="389" t="str">
        <f t="shared" si="8"/>
        <v>--</v>
      </c>
      <c r="U32" s="367" t="s">
        <v>72</v>
      </c>
      <c r="V32" s="28">
        <f t="shared" si="9"/>
        <v>0.5114200000000001</v>
      </c>
      <c r="W32" s="30"/>
    </row>
    <row r="33" spans="2:23" s="8" customFormat="1" ht="16.5" customHeight="1">
      <c r="B33" s="66"/>
      <c r="C33" s="360">
        <v>90</v>
      </c>
      <c r="D33" s="357">
        <v>221318</v>
      </c>
      <c r="E33" s="357">
        <v>3583</v>
      </c>
      <c r="F33" s="370" t="s">
        <v>117</v>
      </c>
      <c r="G33" s="370" t="s">
        <v>124</v>
      </c>
      <c r="H33" s="371">
        <v>13.199999809265137</v>
      </c>
      <c r="I33" s="207">
        <f t="shared" si="0"/>
        <v>3.653</v>
      </c>
      <c r="J33" s="375">
        <v>40297.376388888886</v>
      </c>
      <c r="K33" s="377">
        <v>40297.379166666666</v>
      </c>
      <c r="L33" s="26">
        <f t="shared" si="1"/>
        <v>0.06666666670935228</v>
      </c>
      <c r="M33" s="23">
        <f t="shared" si="2"/>
        <v>4</v>
      </c>
      <c r="N33" s="378" t="s">
        <v>71</v>
      </c>
      <c r="O33" s="378" t="str">
        <f t="shared" si="3"/>
        <v>--</v>
      </c>
      <c r="P33" s="385">
        <f t="shared" si="4"/>
        <v>20</v>
      </c>
      <c r="Q33" s="386">
        <f t="shared" si="5"/>
        <v>0.5114200000000001</v>
      </c>
      <c r="R33" s="387" t="str">
        <f t="shared" si="6"/>
        <v>--</v>
      </c>
      <c r="S33" s="388" t="str">
        <f t="shared" si="7"/>
        <v>--</v>
      </c>
      <c r="T33" s="389" t="str">
        <f t="shared" si="8"/>
        <v>--</v>
      </c>
      <c r="U33" s="367" t="s">
        <v>72</v>
      </c>
      <c r="V33" s="28">
        <f t="shared" si="9"/>
        <v>0.5114200000000001</v>
      </c>
      <c r="W33" s="30"/>
    </row>
    <row r="34" spans="2:23" s="8" customFormat="1" ht="16.5" customHeight="1">
      <c r="B34" s="66"/>
      <c r="C34" s="360">
        <v>91</v>
      </c>
      <c r="D34" s="357">
        <v>221319</v>
      </c>
      <c r="E34" s="357">
        <v>3584</v>
      </c>
      <c r="F34" s="370" t="s">
        <v>117</v>
      </c>
      <c r="G34" s="370" t="s">
        <v>125</v>
      </c>
      <c r="H34" s="371">
        <v>13.199999809265137</v>
      </c>
      <c r="I34" s="207">
        <f t="shared" si="0"/>
        <v>3.653</v>
      </c>
      <c r="J34" s="375">
        <v>40297.376388888886</v>
      </c>
      <c r="K34" s="377">
        <v>40297.379166666666</v>
      </c>
      <c r="L34" s="26">
        <f t="shared" si="1"/>
        <v>0.06666666670935228</v>
      </c>
      <c r="M34" s="23">
        <f t="shared" si="2"/>
        <v>4</v>
      </c>
      <c r="N34" s="378" t="s">
        <v>71</v>
      </c>
      <c r="O34" s="378" t="str">
        <f t="shared" si="3"/>
        <v>--</v>
      </c>
      <c r="P34" s="385">
        <f t="shared" si="4"/>
        <v>20</v>
      </c>
      <c r="Q34" s="386">
        <f t="shared" si="5"/>
        <v>0.5114200000000001</v>
      </c>
      <c r="R34" s="387" t="str">
        <f t="shared" si="6"/>
        <v>--</v>
      </c>
      <c r="S34" s="388" t="str">
        <f t="shared" si="7"/>
        <v>--</v>
      </c>
      <c r="T34" s="389" t="str">
        <f t="shared" si="8"/>
        <v>--</v>
      </c>
      <c r="U34" s="367" t="s">
        <v>72</v>
      </c>
      <c r="V34" s="28">
        <f t="shared" si="9"/>
        <v>0.5114200000000001</v>
      </c>
      <c r="W34" s="30"/>
    </row>
    <row r="35" spans="2:23" s="8" customFormat="1" ht="16.5" customHeight="1">
      <c r="B35" s="66"/>
      <c r="C35" s="360">
        <v>92</v>
      </c>
      <c r="D35" s="357">
        <v>221320</v>
      </c>
      <c r="E35" s="357">
        <v>3735</v>
      </c>
      <c r="F35" s="370" t="s">
        <v>117</v>
      </c>
      <c r="G35" s="370" t="s">
        <v>148</v>
      </c>
      <c r="H35" s="371">
        <v>33</v>
      </c>
      <c r="I35" s="207">
        <f t="shared" si="0"/>
        <v>3.653</v>
      </c>
      <c r="J35" s="375">
        <v>40297.48263888889</v>
      </c>
      <c r="K35" s="377">
        <v>40297.48611111111</v>
      </c>
      <c r="L35" s="26">
        <f t="shared" si="1"/>
        <v>0.08333333325572312</v>
      </c>
      <c r="M35" s="23">
        <f t="shared" si="2"/>
        <v>5</v>
      </c>
      <c r="N35" s="378" t="s">
        <v>71</v>
      </c>
      <c r="O35" s="378" t="str">
        <f t="shared" si="3"/>
        <v>--</v>
      </c>
      <c r="P35" s="385">
        <f t="shared" si="4"/>
        <v>25</v>
      </c>
      <c r="Q35" s="386">
        <f t="shared" si="5"/>
        <v>0.7306</v>
      </c>
      <c r="R35" s="387" t="str">
        <f t="shared" si="6"/>
        <v>--</v>
      </c>
      <c r="S35" s="388" t="str">
        <f t="shared" si="7"/>
        <v>--</v>
      </c>
      <c r="T35" s="389" t="str">
        <f t="shared" si="8"/>
        <v>--</v>
      </c>
      <c r="U35" s="367" t="s">
        <v>72</v>
      </c>
      <c r="V35" s="28">
        <f t="shared" si="9"/>
        <v>0.7306</v>
      </c>
      <c r="W35" s="30"/>
    </row>
    <row r="36" spans="2:23" s="8" customFormat="1" ht="16.5" customHeight="1">
      <c r="B36" s="66"/>
      <c r="C36" s="360">
        <v>93</v>
      </c>
      <c r="D36" s="357">
        <v>221321</v>
      </c>
      <c r="E36" s="357">
        <v>3582</v>
      </c>
      <c r="F36" s="370" t="s">
        <v>117</v>
      </c>
      <c r="G36" s="370" t="s">
        <v>123</v>
      </c>
      <c r="H36" s="371">
        <v>13.199999809265137</v>
      </c>
      <c r="I36" s="207">
        <f t="shared" si="0"/>
        <v>3.653</v>
      </c>
      <c r="J36" s="375">
        <v>40297.48263888889</v>
      </c>
      <c r="K36" s="377">
        <v>40297.48611111111</v>
      </c>
      <c r="L36" s="26">
        <f t="shared" si="1"/>
        <v>0.08333333325572312</v>
      </c>
      <c r="M36" s="23">
        <f t="shared" si="2"/>
        <v>5</v>
      </c>
      <c r="N36" s="378" t="s">
        <v>71</v>
      </c>
      <c r="O36" s="378" t="str">
        <f t="shared" si="3"/>
        <v>--</v>
      </c>
      <c r="P36" s="385">
        <f t="shared" si="4"/>
        <v>20</v>
      </c>
      <c r="Q36" s="386">
        <f t="shared" si="5"/>
        <v>0.58448</v>
      </c>
      <c r="R36" s="387" t="str">
        <f t="shared" si="6"/>
        <v>--</v>
      </c>
      <c r="S36" s="388" t="str">
        <f t="shared" si="7"/>
        <v>--</v>
      </c>
      <c r="T36" s="389" t="str">
        <f t="shared" si="8"/>
        <v>--</v>
      </c>
      <c r="U36" s="367" t="s">
        <v>72</v>
      </c>
      <c r="V36" s="28">
        <f t="shared" si="9"/>
        <v>0.58448</v>
      </c>
      <c r="W36" s="30"/>
    </row>
    <row r="37" spans="2:23" s="8" customFormat="1" ht="16.5" customHeight="1">
      <c r="B37" s="66"/>
      <c r="C37" s="360">
        <v>94</v>
      </c>
      <c r="D37" s="357">
        <v>221322</v>
      </c>
      <c r="E37" s="357">
        <v>3583</v>
      </c>
      <c r="F37" s="370" t="s">
        <v>117</v>
      </c>
      <c r="G37" s="370" t="s">
        <v>124</v>
      </c>
      <c r="H37" s="371">
        <v>13.199999809265137</v>
      </c>
      <c r="I37" s="207">
        <f t="shared" si="0"/>
        <v>3.653</v>
      </c>
      <c r="J37" s="375">
        <v>40297.48263888889</v>
      </c>
      <c r="K37" s="377">
        <v>40297.48611111111</v>
      </c>
      <c r="L37" s="26">
        <f t="shared" si="1"/>
        <v>0.08333333325572312</v>
      </c>
      <c r="M37" s="23">
        <f t="shared" si="2"/>
        <v>5</v>
      </c>
      <c r="N37" s="378" t="s">
        <v>71</v>
      </c>
      <c r="O37" s="378" t="str">
        <f t="shared" si="3"/>
        <v>--</v>
      </c>
      <c r="P37" s="385">
        <f t="shared" si="4"/>
        <v>20</v>
      </c>
      <c r="Q37" s="386">
        <f t="shared" si="5"/>
        <v>0.58448</v>
      </c>
      <c r="R37" s="387" t="str">
        <f t="shared" si="6"/>
        <v>--</v>
      </c>
      <c r="S37" s="388" t="str">
        <f t="shared" si="7"/>
        <v>--</v>
      </c>
      <c r="T37" s="389" t="str">
        <f t="shared" si="8"/>
        <v>--</v>
      </c>
      <c r="U37" s="367" t="s">
        <v>72</v>
      </c>
      <c r="V37" s="28">
        <f t="shared" si="9"/>
        <v>0.58448</v>
      </c>
      <c r="W37" s="30"/>
    </row>
    <row r="38" spans="2:23" s="8" customFormat="1" ht="16.5" customHeight="1">
      <c r="B38" s="66"/>
      <c r="C38" s="360">
        <v>95</v>
      </c>
      <c r="D38" s="357">
        <v>221323</v>
      </c>
      <c r="E38" s="357">
        <v>3584</v>
      </c>
      <c r="F38" s="370" t="s">
        <v>117</v>
      </c>
      <c r="G38" s="370" t="s">
        <v>125</v>
      </c>
      <c r="H38" s="371">
        <v>13.199999809265137</v>
      </c>
      <c r="I38" s="207">
        <f t="shared" si="0"/>
        <v>3.653</v>
      </c>
      <c r="J38" s="375">
        <v>40297.48263888889</v>
      </c>
      <c r="K38" s="377">
        <v>40297.48611111111</v>
      </c>
      <c r="L38" s="26">
        <f t="shared" si="1"/>
        <v>0.08333333325572312</v>
      </c>
      <c r="M38" s="23">
        <f t="shared" si="2"/>
        <v>5</v>
      </c>
      <c r="N38" s="378" t="s">
        <v>71</v>
      </c>
      <c r="O38" s="378" t="str">
        <f t="shared" si="3"/>
        <v>--</v>
      </c>
      <c r="P38" s="385">
        <f t="shared" si="4"/>
        <v>20</v>
      </c>
      <c r="Q38" s="386">
        <f t="shared" si="5"/>
        <v>0.58448</v>
      </c>
      <c r="R38" s="387" t="str">
        <f t="shared" si="6"/>
        <v>--</v>
      </c>
      <c r="S38" s="388" t="str">
        <f t="shared" si="7"/>
        <v>--</v>
      </c>
      <c r="T38" s="389" t="str">
        <f t="shared" si="8"/>
        <v>--</v>
      </c>
      <c r="U38" s="367" t="s">
        <v>72</v>
      </c>
      <c r="V38" s="28">
        <f t="shared" si="9"/>
        <v>0.58448</v>
      </c>
      <c r="W38" s="30"/>
    </row>
    <row r="39" spans="2:23" s="8" customFormat="1" ht="16.5" customHeight="1">
      <c r="B39" s="66"/>
      <c r="C39" s="360">
        <v>96</v>
      </c>
      <c r="D39" s="357">
        <v>221324</v>
      </c>
      <c r="E39" s="357">
        <v>3814</v>
      </c>
      <c r="F39" s="370" t="s">
        <v>117</v>
      </c>
      <c r="G39" s="370" t="s">
        <v>126</v>
      </c>
      <c r="H39" s="371">
        <v>33</v>
      </c>
      <c r="I39" s="207">
        <f t="shared" si="0"/>
        <v>3.653</v>
      </c>
      <c r="J39" s="375">
        <v>40297.48263888889</v>
      </c>
      <c r="K39" s="377">
        <v>40297.48611111111</v>
      </c>
      <c r="L39" s="26">
        <f t="shared" si="1"/>
        <v>0.08333333325572312</v>
      </c>
      <c r="M39" s="23">
        <f t="shared" si="2"/>
        <v>5</v>
      </c>
      <c r="N39" s="378" t="s">
        <v>71</v>
      </c>
      <c r="O39" s="378" t="str">
        <f t="shared" si="3"/>
        <v>--</v>
      </c>
      <c r="P39" s="385">
        <f t="shared" si="4"/>
        <v>25</v>
      </c>
      <c r="Q39" s="386">
        <f t="shared" si="5"/>
        <v>0.7306</v>
      </c>
      <c r="R39" s="387" t="str">
        <f t="shared" si="6"/>
        <v>--</v>
      </c>
      <c r="S39" s="388" t="str">
        <f t="shared" si="7"/>
        <v>--</v>
      </c>
      <c r="T39" s="389" t="str">
        <f t="shared" si="8"/>
        <v>--</v>
      </c>
      <c r="U39" s="367" t="s">
        <v>72</v>
      </c>
      <c r="V39" s="28">
        <f t="shared" si="9"/>
        <v>0.7306</v>
      </c>
      <c r="W39" s="30"/>
    </row>
    <row r="40" spans="2:23" s="8" customFormat="1" ht="16.5" customHeight="1">
      <c r="B40" s="66"/>
      <c r="C40" s="360"/>
      <c r="D40" s="357"/>
      <c r="E40" s="357"/>
      <c r="F40" s="370"/>
      <c r="G40" s="370"/>
      <c r="H40" s="371"/>
      <c r="I40" s="207">
        <f t="shared" si="0"/>
        <v>3.653</v>
      </c>
      <c r="J40" s="375"/>
      <c r="K40" s="377"/>
      <c r="L40" s="26">
        <f t="shared" si="1"/>
      </c>
      <c r="M40" s="23">
        <f t="shared" si="2"/>
      </c>
      <c r="N40" s="378"/>
      <c r="O40" s="378">
        <f t="shared" si="3"/>
      </c>
      <c r="P40" s="385">
        <f t="shared" si="4"/>
        <v>20</v>
      </c>
      <c r="Q40" s="386" t="str">
        <f t="shared" si="5"/>
        <v>--</v>
      </c>
      <c r="R40" s="387" t="str">
        <f t="shared" si="6"/>
        <v>--</v>
      </c>
      <c r="S40" s="388" t="str">
        <f t="shared" si="7"/>
        <v>--</v>
      </c>
      <c r="T40" s="389" t="str">
        <f t="shared" si="8"/>
        <v>--</v>
      </c>
      <c r="U40" s="367">
        <f>IF(F40="","","SI")</f>
      </c>
      <c r="V40" s="28">
        <f t="shared" si="9"/>
      </c>
      <c r="W40" s="30"/>
    </row>
    <row r="41" spans="2:23" s="8" customFormat="1" ht="16.5" customHeight="1">
      <c r="B41" s="66"/>
      <c r="C41" s="360"/>
      <c r="D41" s="357"/>
      <c r="E41" s="357"/>
      <c r="F41" s="370"/>
      <c r="G41" s="370"/>
      <c r="H41" s="371"/>
      <c r="I41" s="207">
        <f t="shared" si="0"/>
        <v>3.653</v>
      </c>
      <c r="J41" s="375"/>
      <c r="K41" s="377"/>
      <c r="L41" s="26">
        <f t="shared" si="1"/>
      </c>
      <c r="M41" s="23">
        <f t="shared" si="2"/>
      </c>
      <c r="N41" s="378"/>
      <c r="O41" s="378">
        <f t="shared" si="3"/>
      </c>
      <c r="P41" s="385">
        <f t="shared" si="4"/>
        <v>20</v>
      </c>
      <c r="Q41" s="386" t="str">
        <f t="shared" si="5"/>
        <v>--</v>
      </c>
      <c r="R41" s="387" t="str">
        <f t="shared" si="6"/>
        <v>--</v>
      </c>
      <c r="S41" s="388" t="str">
        <f t="shared" si="7"/>
        <v>--</v>
      </c>
      <c r="T41" s="389" t="str">
        <f t="shared" si="8"/>
        <v>--</v>
      </c>
      <c r="U41" s="367">
        <f>IF(F41="","","SI")</f>
      </c>
      <c r="V41" s="28">
        <f t="shared" si="9"/>
      </c>
      <c r="W41" s="30"/>
    </row>
    <row r="42" spans="2:23" s="8" customFormat="1" ht="16.5" customHeight="1">
      <c r="B42" s="66"/>
      <c r="C42" s="360"/>
      <c r="D42" s="357"/>
      <c r="E42" s="357"/>
      <c r="F42" s="370"/>
      <c r="G42" s="370"/>
      <c r="H42" s="371"/>
      <c r="I42" s="207">
        <f t="shared" si="0"/>
        <v>3.653</v>
      </c>
      <c r="J42" s="375"/>
      <c r="K42" s="377"/>
      <c r="L42" s="26">
        <f t="shared" si="1"/>
      </c>
      <c r="M42" s="23">
        <f t="shared" si="2"/>
      </c>
      <c r="N42" s="378"/>
      <c r="O42" s="378">
        <f t="shared" si="3"/>
      </c>
      <c r="P42" s="385">
        <f t="shared" si="4"/>
        <v>20</v>
      </c>
      <c r="Q42" s="386" t="str">
        <f t="shared" si="5"/>
        <v>--</v>
      </c>
      <c r="R42" s="387" t="str">
        <f t="shared" si="6"/>
        <v>--</v>
      </c>
      <c r="S42" s="388" t="str">
        <f t="shared" si="7"/>
        <v>--</v>
      </c>
      <c r="T42" s="389" t="str">
        <f t="shared" si="8"/>
        <v>--</v>
      </c>
      <c r="U42" s="367">
        <f>IF(F42="","","SI")</f>
      </c>
      <c r="V42" s="28">
        <f t="shared" si="9"/>
      </c>
      <c r="W42" s="30"/>
    </row>
    <row r="43" spans="2:23" s="8" customFormat="1" ht="16.5" customHeight="1" thickBot="1">
      <c r="B43" s="66"/>
      <c r="C43" s="372"/>
      <c r="D43" s="401"/>
      <c r="E43" s="401"/>
      <c r="F43" s="373"/>
      <c r="G43" s="373"/>
      <c r="H43" s="374"/>
      <c r="I43" s="208"/>
      <c r="J43" s="376"/>
      <c r="K43" s="376"/>
      <c r="L43" s="31"/>
      <c r="M43" s="31"/>
      <c r="N43" s="390"/>
      <c r="O43" s="390"/>
      <c r="P43" s="391"/>
      <c r="Q43" s="392"/>
      <c r="R43" s="393"/>
      <c r="S43" s="394"/>
      <c r="T43" s="395"/>
      <c r="U43" s="396"/>
      <c r="V43" s="175"/>
      <c r="W43" s="30"/>
    </row>
    <row r="44" spans="2:23" s="8" customFormat="1" ht="16.5" customHeight="1" thickBot="1" thickTop="1">
      <c r="B44" s="66"/>
      <c r="C44" s="188" t="s">
        <v>41</v>
      </c>
      <c r="D44" s="438" t="s">
        <v>137</v>
      </c>
      <c r="E44" s="190"/>
      <c r="F44" s="189"/>
      <c r="Q44" s="319">
        <f>SUM(Q21:Q43)</f>
        <v>140.03775500000006</v>
      </c>
      <c r="R44" s="320">
        <f>SUM(R21:R43)</f>
        <v>0</v>
      </c>
      <c r="S44" s="320">
        <f>SUM(S21:S43)</f>
        <v>0</v>
      </c>
      <c r="T44" s="265">
        <f>SUM(T21:T43)</f>
        <v>0</v>
      </c>
      <c r="V44" s="199">
        <f>ROUND(SUM(V21:V43),2)</f>
        <v>140.04</v>
      </c>
      <c r="W44" s="30"/>
    </row>
    <row r="45" spans="2:23" s="194" customFormat="1" ht="9.75" thickTop="1">
      <c r="B45" s="193"/>
      <c r="C45" s="190"/>
      <c r="D45" s="190"/>
      <c r="E45" s="190"/>
      <c r="F45" s="191"/>
      <c r="V45" s="198"/>
      <c r="W45" s="197"/>
    </row>
    <row r="46" spans="2:23" s="8" customFormat="1" ht="16.5" customHeight="1" thickBot="1">
      <c r="B46" s="93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137"/>
    </row>
    <row r="47" spans="1:23" ht="16.5" customHeight="1" thickTop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</sheetData>
  <printOptions/>
  <pageMargins left="1.13" right="0.1968503937007874" top="0.7874015748031497" bottom="0.7874015748031497" header="0.5118110236220472" footer="0.5118110236220472"/>
  <pageSetup horizontalDpi="300" verticalDpi="300" orientation="landscape" paperSize="9" scale="45" r:id="rId3"/>
  <headerFooter alignWithMargins="0">
    <oddFooter>&amp;L&amp;F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U115"/>
  <sheetViews>
    <sheetView zoomScale="75" zoomScaleNormal="75" workbookViewId="0" topLeftCell="A73">
      <selection activeCell="V104" sqref="V104"/>
    </sheetView>
  </sheetViews>
  <sheetFormatPr defaultColWidth="11.421875" defaultRowHeight="12.75"/>
  <cols>
    <col min="1" max="1" width="16.7109375" style="0" customWidth="1"/>
    <col min="2" max="2" width="8.7109375" style="0" customWidth="1"/>
    <col min="3" max="3" width="5.7109375" style="0" customWidth="1"/>
    <col min="4" max="4" width="53.140625" style="0" bestFit="1" customWidth="1"/>
    <col min="5" max="5" width="8.57421875" style="0" customWidth="1"/>
    <col min="6" max="6" width="10.7109375" style="0" customWidth="1"/>
    <col min="7" max="19" width="7.7109375" style="0" customWidth="1"/>
    <col min="20" max="20" width="8.7109375" style="0" customWidth="1"/>
  </cols>
  <sheetData>
    <row r="1" ht="40.5" customHeight="1">
      <c r="T1" s="441"/>
    </row>
    <row r="2" spans="2:20" s="442" customFormat="1" ht="27.75">
      <c r="B2" s="443" t="str">
        <f>'TOT-0410'!B2</f>
        <v>ANEXO I al Memorandum D.T.E.E.  N° 928 /2011  </v>
      </c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</row>
    <row r="3" spans="1:3" ht="12.75" customHeight="1">
      <c r="A3" s="507" t="s">
        <v>3</v>
      </c>
      <c r="B3" s="507"/>
      <c r="C3" s="507"/>
    </row>
    <row r="4" spans="1:4" ht="12.75" customHeight="1">
      <c r="A4" s="507" t="s">
        <v>4</v>
      </c>
      <c r="B4" s="507"/>
      <c r="C4" s="507"/>
      <c r="D4" s="409"/>
    </row>
    <row r="5" spans="1:4" ht="12" customHeight="1">
      <c r="A5" s="408"/>
      <c r="D5" s="409"/>
    </row>
    <row r="6" spans="1:20" ht="26.25">
      <c r="A6" s="408"/>
      <c r="B6" s="410" t="s">
        <v>138</v>
      </c>
      <c r="C6" s="411"/>
      <c r="D6" s="409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</row>
    <row r="7" spans="1:4" ht="18.75" customHeight="1">
      <c r="A7" s="408"/>
      <c r="D7" s="409"/>
    </row>
    <row r="8" spans="1:20" ht="26.25">
      <c r="A8" s="408"/>
      <c r="B8" s="412" t="s">
        <v>1</v>
      </c>
      <c r="C8" s="411"/>
      <c r="D8" s="409"/>
      <c r="E8" s="411"/>
      <c r="F8" s="411"/>
      <c r="G8" s="411"/>
      <c r="H8" s="411"/>
      <c r="I8" s="411"/>
      <c r="J8" s="411"/>
      <c r="K8" s="411"/>
      <c r="L8" s="411"/>
      <c r="M8" s="411"/>
      <c r="N8" s="411"/>
      <c r="O8" s="411"/>
      <c r="P8" s="411"/>
      <c r="Q8" s="411"/>
      <c r="R8" s="411"/>
      <c r="S8" s="411"/>
      <c r="T8" s="411"/>
    </row>
    <row r="9" spans="1:4" ht="18.75" customHeight="1">
      <c r="A9" s="408"/>
      <c r="D9" s="409"/>
    </row>
    <row r="10" spans="1:20" ht="26.25">
      <c r="A10" s="408"/>
      <c r="B10" s="412" t="s">
        <v>139</v>
      </c>
      <c r="C10" s="411"/>
      <c r="D10" s="409"/>
      <c r="E10" s="411"/>
      <c r="F10" s="411"/>
      <c r="G10" s="411"/>
      <c r="H10" s="411"/>
      <c r="I10" s="411"/>
      <c r="J10" s="411"/>
      <c r="K10" s="411"/>
      <c r="L10" s="411"/>
      <c r="M10" s="411"/>
      <c r="N10" s="411"/>
      <c r="O10" s="411"/>
      <c r="P10" s="411"/>
      <c r="Q10" s="411"/>
      <c r="R10" s="411"/>
      <c r="S10" s="411"/>
      <c r="T10" s="411"/>
    </row>
    <row r="11" ht="18.75" customHeight="1" thickBot="1"/>
    <row r="12" spans="2:20" ht="18.75" customHeight="1" thickTop="1">
      <c r="B12" s="413"/>
      <c r="C12" s="414"/>
      <c r="D12" s="415"/>
      <c r="E12" s="415"/>
      <c r="F12" s="415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Q12" s="414"/>
      <c r="R12" s="414"/>
      <c r="S12" s="414"/>
      <c r="T12" s="416"/>
    </row>
    <row r="13" spans="1:20" ht="19.5">
      <c r="A13" s="419"/>
      <c r="B13" s="440" t="s">
        <v>150</v>
      </c>
      <c r="C13" s="445"/>
      <c r="D13" s="55" t="s">
        <v>140</v>
      </c>
      <c r="E13" s="417"/>
      <c r="F13" s="417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46"/>
    </row>
    <row r="14" spans="2:20" ht="18.75" customHeight="1" thickBot="1">
      <c r="B14" s="420"/>
      <c r="C14" s="421"/>
      <c r="D14" s="422"/>
      <c r="E14" s="422"/>
      <c r="F14" s="423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419"/>
    </row>
    <row r="15" spans="1:20" s="455" customFormat="1" ht="34.5" customHeight="1" thickBot="1" thickTop="1">
      <c r="A15" s="447"/>
      <c r="B15" s="448"/>
      <c r="C15" s="449"/>
      <c r="D15" s="450" t="s">
        <v>2</v>
      </c>
      <c r="E15" s="451" t="s">
        <v>24</v>
      </c>
      <c r="F15" s="452" t="s">
        <v>25</v>
      </c>
      <c r="G15" s="453">
        <v>39904</v>
      </c>
      <c r="H15" s="453">
        <v>39934</v>
      </c>
      <c r="I15" s="453">
        <v>39965</v>
      </c>
      <c r="J15" s="453">
        <v>39995</v>
      </c>
      <c r="K15" s="453">
        <v>40026</v>
      </c>
      <c r="L15" s="453">
        <v>40057</v>
      </c>
      <c r="M15" s="453">
        <v>40087</v>
      </c>
      <c r="N15" s="453">
        <v>40118</v>
      </c>
      <c r="O15" s="453">
        <v>40148</v>
      </c>
      <c r="P15" s="453">
        <v>40179</v>
      </c>
      <c r="Q15" s="453">
        <v>40210</v>
      </c>
      <c r="R15" s="453">
        <v>40238</v>
      </c>
      <c r="S15" s="453">
        <v>40269</v>
      </c>
      <c r="T15" s="454"/>
    </row>
    <row r="16" spans="2:20" s="456" customFormat="1" ht="19.5" customHeight="1" thickTop="1">
      <c r="B16" s="457"/>
      <c r="C16" s="458"/>
      <c r="D16" s="459"/>
      <c r="E16" s="459"/>
      <c r="F16" s="460"/>
      <c r="G16" s="461">
        <f>IF('[1]Tasa de Falla'!GC16=0,"",'[1]Tasa de Falla'!GC16)</f>
      </c>
      <c r="H16" s="461">
        <f>IF('[1]Tasa de Falla'!GD16=0,"",'[1]Tasa de Falla'!GD16)</f>
      </c>
      <c r="I16" s="461">
        <f>IF('[1]Tasa de Falla'!GE16=0,"",'[1]Tasa de Falla'!GE16)</f>
      </c>
      <c r="J16" s="461">
        <f>IF('[1]Tasa de Falla'!GF16=0,"",'[1]Tasa de Falla'!GF16)</f>
      </c>
      <c r="K16" s="461">
        <f>IF('[1]Tasa de Falla'!GG16=0,"",'[1]Tasa de Falla'!GG16)</f>
      </c>
      <c r="L16" s="461">
        <f>IF('[1]Tasa de Falla'!GH16=0,"",'[1]Tasa de Falla'!GH16)</f>
      </c>
      <c r="M16" s="461">
        <f>IF('[1]Tasa de Falla'!GI16=0,"",'[1]Tasa de Falla'!GI16)</f>
      </c>
      <c r="N16" s="461">
        <f>IF('[1]Tasa de Falla'!GJ16=0,"",'[1]Tasa de Falla'!GJ16)</f>
      </c>
      <c r="O16" s="461">
        <f>IF('[1]Tasa de Falla'!GK16=0,"",'[1]Tasa de Falla'!GK16)</f>
      </c>
      <c r="P16" s="461">
        <f>IF('[1]Tasa de Falla'!GL16=0,"",'[1]Tasa de Falla'!GL16)</f>
      </c>
      <c r="Q16" s="461">
        <f>IF('[1]Tasa de Falla'!GM16=0,"",'[1]Tasa de Falla'!GM16)</f>
      </c>
      <c r="R16" s="461">
        <f>IF('[1]Tasa de Falla'!GN16=0,"",'[1]Tasa de Falla'!GN16)</f>
      </c>
      <c r="S16" s="462"/>
      <c r="T16" s="463"/>
    </row>
    <row r="17" spans="2:20" s="456" customFormat="1" ht="19.5" customHeight="1">
      <c r="B17" s="457"/>
      <c r="C17" s="464">
        <f>'[1]Tasa de Falla'!C17</f>
        <v>1</v>
      </c>
      <c r="D17" s="465" t="str">
        <f>'[1]Tasa de Falla'!D17</f>
        <v>AGUA BLANCA - VILLA QUINTEROS</v>
      </c>
      <c r="E17" s="465">
        <f>'[1]Tasa de Falla'!E17</f>
        <v>132</v>
      </c>
      <c r="F17" s="466">
        <f>'[1]Tasa de Falla'!F17</f>
        <v>23.8</v>
      </c>
      <c r="G17" s="461">
        <f>IF('[1]Tasa de Falla'!GC17=0,"",'[1]Tasa de Falla'!GC17)</f>
      </c>
      <c r="H17" s="461">
        <f>IF('[1]Tasa de Falla'!GD17=0,"",'[1]Tasa de Falla'!GD17)</f>
      </c>
      <c r="I17" s="461">
        <f>IF('[1]Tasa de Falla'!GE17=0,"",'[1]Tasa de Falla'!GE17)</f>
      </c>
      <c r="J17" s="461">
        <f>IF('[1]Tasa de Falla'!GF17=0,"",'[1]Tasa de Falla'!GF17)</f>
      </c>
      <c r="K17" s="461">
        <f>IF('[1]Tasa de Falla'!GG17=0,"",'[1]Tasa de Falla'!GG17)</f>
      </c>
      <c r="L17" s="461">
        <f>IF('[1]Tasa de Falla'!GH17=0,"",'[1]Tasa de Falla'!GH17)</f>
      </c>
      <c r="M17" s="461">
        <f>IF('[1]Tasa de Falla'!GI17=0,"",'[1]Tasa de Falla'!GI17)</f>
        <v>1</v>
      </c>
      <c r="N17" s="461">
        <f>IF('[1]Tasa de Falla'!GJ17=0,"",'[1]Tasa de Falla'!GJ17)</f>
      </c>
      <c r="O17" s="461">
        <f>IF('[1]Tasa de Falla'!GK17=0,"",'[1]Tasa de Falla'!GK17)</f>
      </c>
      <c r="P17" s="461">
        <f>IF('[1]Tasa de Falla'!GL17=0,"",'[1]Tasa de Falla'!GL17)</f>
      </c>
      <c r="Q17" s="461">
        <f>IF('[1]Tasa de Falla'!GM17=0,"",'[1]Tasa de Falla'!GM17)</f>
      </c>
      <c r="R17" s="461">
        <f>IF('[1]Tasa de Falla'!GN17=0,"",'[1]Tasa de Falla'!GN17)</f>
      </c>
      <c r="S17" s="467"/>
      <c r="T17" s="468"/>
    </row>
    <row r="18" spans="2:20" s="456" customFormat="1" ht="19.5" customHeight="1">
      <c r="B18" s="457"/>
      <c r="C18" s="469">
        <f>'[1]Tasa de Falla'!C18</f>
        <v>2</v>
      </c>
      <c r="D18" s="470" t="str">
        <f>'[1]Tasa de Falla'!D18</f>
        <v>AGUILARES - ESCABA</v>
      </c>
      <c r="E18" s="470">
        <f>'[1]Tasa de Falla'!E18</f>
        <v>132</v>
      </c>
      <c r="F18" s="471">
        <f>'[1]Tasa de Falla'!F18</f>
        <v>27.6</v>
      </c>
      <c r="G18" s="461">
        <f>IF('[1]Tasa de Falla'!GC18=0,"",'[1]Tasa de Falla'!GC18)</f>
      </c>
      <c r="H18" s="461">
        <f>IF('[1]Tasa de Falla'!GD18=0,"",'[1]Tasa de Falla'!GD18)</f>
      </c>
      <c r="I18" s="461">
        <f>IF('[1]Tasa de Falla'!GE18=0,"",'[1]Tasa de Falla'!GE18)</f>
      </c>
      <c r="J18" s="461">
        <f>IF('[1]Tasa de Falla'!GF18=0,"",'[1]Tasa de Falla'!GF18)</f>
      </c>
      <c r="K18" s="461">
        <f>IF('[1]Tasa de Falla'!GG18=0,"",'[1]Tasa de Falla'!GG18)</f>
      </c>
      <c r="L18" s="461">
        <f>IF('[1]Tasa de Falla'!GH18=0,"",'[1]Tasa de Falla'!GH18)</f>
      </c>
      <c r="M18" s="461">
        <f>IF('[1]Tasa de Falla'!GI18=0,"",'[1]Tasa de Falla'!GI18)</f>
      </c>
      <c r="N18" s="461">
        <f>IF('[1]Tasa de Falla'!GJ18=0,"",'[1]Tasa de Falla'!GJ18)</f>
      </c>
      <c r="O18" s="461">
        <f>IF('[1]Tasa de Falla'!GK18=0,"",'[1]Tasa de Falla'!GK18)</f>
      </c>
      <c r="P18" s="461">
        <f>IF('[1]Tasa de Falla'!GL18=0,"",'[1]Tasa de Falla'!GL18)</f>
      </c>
      <c r="Q18" s="461">
        <f>IF('[1]Tasa de Falla'!GM18=0,"",'[1]Tasa de Falla'!GM18)</f>
      </c>
      <c r="R18" s="461">
        <f>IF('[1]Tasa de Falla'!GN18=0,"",'[1]Tasa de Falla'!GN18)</f>
      </c>
      <c r="S18" s="467"/>
      <c r="T18" s="468"/>
    </row>
    <row r="19" spans="2:20" s="456" customFormat="1" ht="18">
      <c r="B19" s="457"/>
      <c r="C19" s="469">
        <f>'[1]Tasa de Falla'!C19</f>
        <v>3</v>
      </c>
      <c r="D19" s="472" t="str">
        <f>'[1]Tasa de Falla'!D19</f>
        <v>CABRA CORRAL - SALTA SUR</v>
      </c>
      <c r="E19" s="472">
        <f>'[1]Tasa de Falla'!E19</f>
        <v>132</v>
      </c>
      <c r="F19" s="473">
        <f>'[1]Tasa de Falla'!F19</f>
        <v>62</v>
      </c>
      <c r="G19" s="461" t="str">
        <f>IF('[1]Tasa de Falla'!GC19=0,"",'[1]Tasa de Falla'!GC19)</f>
        <v>XXXX</v>
      </c>
      <c r="H19" s="461" t="str">
        <f>IF('[1]Tasa de Falla'!GD19=0,"",'[1]Tasa de Falla'!GD19)</f>
        <v>XXXX</v>
      </c>
      <c r="I19" s="461" t="str">
        <f>IF('[1]Tasa de Falla'!GE19=0,"",'[1]Tasa de Falla'!GE19)</f>
        <v>XXXX</v>
      </c>
      <c r="J19" s="461" t="str">
        <f>IF('[1]Tasa de Falla'!GF19=0,"",'[1]Tasa de Falla'!GF19)</f>
        <v>XXXX</v>
      </c>
      <c r="K19" s="461" t="str">
        <f>IF('[1]Tasa de Falla'!GG19=0,"",'[1]Tasa de Falla'!GG19)</f>
        <v>XXXX</v>
      </c>
      <c r="L19" s="461" t="str">
        <f>IF('[1]Tasa de Falla'!GH19=0,"",'[1]Tasa de Falla'!GH19)</f>
        <v>XXXX</v>
      </c>
      <c r="M19" s="461" t="str">
        <f>IF('[1]Tasa de Falla'!GI19=0,"",'[1]Tasa de Falla'!GI19)</f>
        <v>XXXX</v>
      </c>
      <c r="N19" s="461" t="str">
        <f>IF('[1]Tasa de Falla'!GJ19=0,"",'[1]Tasa de Falla'!GJ19)</f>
        <v>XXXX</v>
      </c>
      <c r="O19" s="461" t="str">
        <f>IF('[1]Tasa de Falla'!GK19=0,"",'[1]Tasa de Falla'!GK19)</f>
        <v>XXXX</v>
      </c>
      <c r="P19" s="461" t="str">
        <f>IF('[1]Tasa de Falla'!GL19=0,"",'[1]Tasa de Falla'!GL19)</f>
        <v>XXXX</v>
      </c>
      <c r="Q19" s="461" t="str">
        <f>IF('[1]Tasa de Falla'!GM19=0,"",'[1]Tasa de Falla'!GM19)</f>
        <v>XXXX</v>
      </c>
      <c r="R19" s="461" t="str">
        <f>IF('[1]Tasa de Falla'!GN19=0,"",'[1]Tasa de Falla'!GN19)</f>
        <v>XXXX</v>
      </c>
      <c r="S19" s="467"/>
      <c r="T19" s="468"/>
    </row>
    <row r="20" spans="2:20" s="456" customFormat="1" ht="19.5" customHeight="1">
      <c r="B20" s="457"/>
      <c r="C20" s="464">
        <f>'[1]Tasa de Falla'!C20</f>
        <v>4</v>
      </c>
      <c r="D20" s="465" t="str">
        <f>'[1]Tasa de Falla'!D20</f>
        <v>CEVIL POZO - TUCUMAN NORTE</v>
      </c>
      <c r="E20" s="465">
        <f>'[1]Tasa de Falla'!E20</f>
        <v>132</v>
      </c>
      <c r="F20" s="466">
        <f>'[1]Tasa de Falla'!F20</f>
        <v>14.5</v>
      </c>
      <c r="G20" s="461">
        <f>IF('[1]Tasa de Falla'!GC20=0,"",'[1]Tasa de Falla'!GC20)</f>
      </c>
      <c r="H20" s="461">
        <f>IF('[1]Tasa de Falla'!GD20=0,"",'[1]Tasa de Falla'!GD20)</f>
      </c>
      <c r="I20" s="461">
        <f>IF('[1]Tasa de Falla'!GE20=0,"",'[1]Tasa de Falla'!GE20)</f>
      </c>
      <c r="J20" s="461">
        <f>IF('[1]Tasa de Falla'!GF20=0,"",'[1]Tasa de Falla'!GF20)</f>
      </c>
      <c r="K20" s="461">
        <f>IF('[1]Tasa de Falla'!GG20=0,"",'[1]Tasa de Falla'!GG20)</f>
      </c>
      <c r="L20" s="461">
        <f>IF('[1]Tasa de Falla'!GH20=0,"",'[1]Tasa de Falla'!GH20)</f>
      </c>
      <c r="M20" s="461">
        <f>IF('[1]Tasa de Falla'!GI20=0,"",'[1]Tasa de Falla'!GI20)</f>
      </c>
      <c r="N20" s="461">
        <f>IF('[1]Tasa de Falla'!GJ20=0,"",'[1]Tasa de Falla'!GJ20)</f>
      </c>
      <c r="O20" s="461">
        <f>IF('[1]Tasa de Falla'!GK20=0,"",'[1]Tasa de Falla'!GK20)</f>
      </c>
      <c r="P20" s="461">
        <f>IF('[1]Tasa de Falla'!GL20=0,"",'[1]Tasa de Falla'!GL20)</f>
      </c>
      <c r="Q20" s="461">
        <f>IF('[1]Tasa de Falla'!GM20=0,"",'[1]Tasa de Falla'!GM20)</f>
      </c>
      <c r="R20" s="461">
        <f>IF('[1]Tasa de Falla'!GN20=0,"",'[1]Tasa de Falla'!GN20)</f>
      </c>
      <c r="S20" s="467"/>
      <c r="T20" s="468"/>
    </row>
    <row r="21" spans="2:20" s="456" customFormat="1" ht="19.5" customHeight="1">
      <c r="B21" s="457"/>
      <c r="C21" s="469">
        <f>'[1]Tasa de Falla'!C21</f>
        <v>5</v>
      </c>
      <c r="D21" s="470" t="str">
        <f>'[1]Tasa de Falla'!D21</f>
        <v>CAMPO SANTO - MINETTI</v>
      </c>
      <c r="E21" s="470">
        <f>'[1]Tasa de Falla'!E21</f>
        <v>132</v>
      </c>
      <c r="F21" s="471">
        <f>'[1]Tasa de Falla'!F21</f>
        <v>29.9</v>
      </c>
      <c r="G21" s="461" t="str">
        <f>IF('[1]Tasa de Falla'!GC21=0,"",'[1]Tasa de Falla'!GC21)</f>
        <v>XXXX</v>
      </c>
      <c r="H21" s="461" t="str">
        <f>IF('[1]Tasa de Falla'!GD21=0,"",'[1]Tasa de Falla'!GD21)</f>
        <v>XXXX</v>
      </c>
      <c r="I21" s="461" t="str">
        <f>IF('[1]Tasa de Falla'!GE21=0,"",'[1]Tasa de Falla'!GE21)</f>
        <v>XXXX</v>
      </c>
      <c r="J21" s="461" t="str">
        <f>IF('[1]Tasa de Falla'!GF21=0,"",'[1]Tasa de Falla'!GF21)</f>
        <v>XXXX</v>
      </c>
      <c r="K21" s="461" t="str">
        <f>IF('[1]Tasa de Falla'!GG21=0,"",'[1]Tasa de Falla'!GG21)</f>
        <v>XXXX</v>
      </c>
      <c r="L21" s="461" t="str">
        <f>IF('[1]Tasa de Falla'!GH21=0,"",'[1]Tasa de Falla'!GH21)</f>
        <v>XXXX</v>
      </c>
      <c r="M21" s="461" t="str">
        <f>IF('[1]Tasa de Falla'!GI21=0,"",'[1]Tasa de Falla'!GI21)</f>
        <v>XXXX</v>
      </c>
      <c r="N21" s="461" t="str">
        <f>IF('[1]Tasa de Falla'!GJ21=0,"",'[1]Tasa de Falla'!GJ21)</f>
        <v>XXXX</v>
      </c>
      <c r="O21" s="461" t="str">
        <f>IF('[1]Tasa de Falla'!GK21=0,"",'[1]Tasa de Falla'!GK21)</f>
        <v>XXXX</v>
      </c>
      <c r="P21" s="461" t="str">
        <f>IF('[1]Tasa de Falla'!GL21=0,"",'[1]Tasa de Falla'!GL21)</f>
        <v>XXXX</v>
      </c>
      <c r="Q21" s="461" t="str">
        <f>IF('[1]Tasa de Falla'!GM21=0,"",'[1]Tasa de Falla'!GM21)</f>
        <v>XXXX</v>
      </c>
      <c r="R21" s="461" t="str">
        <f>IF('[1]Tasa de Falla'!GN21=0,"",'[1]Tasa de Falla'!GN21)</f>
        <v>XXXX</v>
      </c>
      <c r="S21" s="467"/>
      <c r="T21" s="468"/>
    </row>
    <row r="22" spans="2:20" s="456" customFormat="1" ht="18">
      <c r="B22" s="457"/>
      <c r="C22" s="469">
        <f>'[1]Tasa de Falla'!C22</f>
        <v>6</v>
      </c>
      <c r="D22" s="472" t="str">
        <f>'[1]Tasa de Falla'!D22</f>
        <v>ESCABA - HUACRA</v>
      </c>
      <c r="E22" s="472">
        <f>'[1]Tasa de Falla'!E22</f>
        <v>132</v>
      </c>
      <c r="F22" s="473">
        <f>'[1]Tasa de Falla'!F22</f>
        <v>49.9</v>
      </c>
      <c r="G22" s="461" t="str">
        <f>IF('[1]Tasa de Falla'!GC22=0,"",'[1]Tasa de Falla'!GC22)</f>
        <v>XXXX</v>
      </c>
      <c r="H22" s="461" t="str">
        <f>IF('[1]Tasa de Falla'!GD22=0,"",'[1]Tasa de Falla'!GD22)</f>
        <v>XXXX</v>
      </c>
      <c r="I22" s="461" t="str">
        <f>IF('[1]Tasa de Falla'!GE22=0,"",'[1]Tasa de Falla'!GE22)</f>
        <v>XXXX</v>
      </c>
      <c r="J22" s="461" t="str">
        <f>IF('[1]Tasa de Falla'!GF22=0,"",'[1]Tasa de Falla'!GF22)</f>
        <v>XXXX</v>
      </c>
      <c r="K22" s="461" t="str">
        <f>IF('[1]Tasa de Falla'!GG22=0,"",'[1]Tasa de Falla'!GG22)</f>
        <v>XXXX</v>
      </c>
      <c r="L22" s="461" t="str">
        <f>IF('[1]Tasa de Falla'!GH22=0,"",'[1]Tasa de Falla'!GH22)</f>
        <v>XXXX</v>
      </c>
      <c r="M22" s="461" t="str">
        <f>IF('[1]Tasa de Falla'!GI22=0,"",'[1]Tasa de Falla'!GI22)</f>
        <v>XXXX</v>
      </c>
      <c r="N22" s="461" t="str">
        <f>IF('[1]Tasa de Falla'!GJ22=0,"",'[1]Tasa de Falla'!GJ22)</f>
        <v>XXXX</v>
      </c>
      <c r="O22" s="461" t="str">
        <f>IF('[1]Tasa de Falla'!GK22=0,"",'[1]Tasa de Falla'!GK22)</f>
        <v>XXXX</v>
      </c>
      <c r="P22" s="461" t="str">
        <f>IF('[1]Tasa de Falla'!GL22=0,"",'[1]Tasa de Falla'!GL22)</f>
        <v>XXXX</v>
      </c>
      <c r="Q22" s="461" t="str">
        <f>IF('[1]Tasa de Falla'!GM22=0,"",'[1]Tasa de Falla'!GM22)</f>
        <v>XXXX</v>
      </c>
      <c r="R22" s="461" t="str">
        <f>IF('[1]Tasa de Falla'!GN22=0,"",'[1]Tasa de Falla'!GN22)</f>
        <v>XXXX</v>
      </c>
      <c r="S22" s="467"/>
      <c r="T22" s="468"/>
    </row>
    <row r="23" spans="2:20" s="456" customFormat="1" ht="19.5" customHeight="1">
      <c r="B23" s="457"/>
      <c r="C23" s="464">
        <f>'[1]Tasa de Falla'!C23</f>
        <v>7</v>
      </c>
      <c r="D23" s="465" t="str">
        <f>'[1]Tasa de Falla'!D23</f>
        <v>ESTATICA SUR - EL BRACHO</v>
      </c>
      <c r="E23" s="465">
        <f>'[1]Tasa de Falla'!E23</f>
        <v>132</v>
      </c>
      <c r="F23" s="466">
        <f>'[1]Tasa de Falla'!F23</f>
        <v>19.6</v>
      </c>
      <c r="G23" s="461">
        <f>IF('[1]Tasa de Falla'!GC23=0,"",'[1]Tasa de Falla'!GC23)</f>
      </c>
      <c r="H23" s="461">
        <f>IF('[1]Tasa de Falla'!GD23=0,"",'[1]Tasa de Falla'!GD23)</f>
      </c>
      <c r="I23" s="461">
        <f>IF('[1]Tasa de Falla'!GE23=0,"",'[1]Tasa de Falla'!GE23)</f>
      </c>
      <c r="J23" s="461">
        <f>IF('[1]Tasa de Falla'!GF23=0,"",'[1]Tasa de Falla'!GF23)</f>
      </c>
      <c r="K23" s="461">
        <f>IF('[1]Tasa de Falla'!GG23=0,"",'[1]Tasa de Falla'!GG23)</f>
      </c>
      <c r="L23" s="461">
        <f>IF('[1]Tasa de Falla'!GH23=0,"",'[1]Tasa de Falla'!GH23)</f>
      </c>
      <c r="M23" s="461">
        <f>IF('[1]Tasa de Falla'!GI23=0,"",'[1]Tasa de Falla'!GI23)</f>
      </c>
      <c r="N23" s="461">
        <f>IF('[1]Tasa de Falla'!GJ23=0,"",'[1]Tasa de Falla'!GJ23)</f>
      </c>
      <c r="O23" s="461">
        <f>IF('[1]Tasa de Falla'!GK23=0,"",'[1]Tasa de Falla'!GK23)</f>
      </c>
      <c r="P23" s="461">
        <f>IF('[1]Tasa de Falla'!GL23=0,"",'[1]Tasa de Falla'!GL23)</f>
      </c>
      <c r="Q23" s="461">
        <f>IF('[1]Tasa de Falla'!GM23=0,"",'[1]Tasa de Falla'!GM23)</f>
      </c>
      <c r="R23" s="461">
        <f>IF('[1]Tasa de Falla'!GN23=0,"",'[1]Tasa de Falla'!GN23)</f>
      </c>
      <c r="S23" s="467"/>
      <c r="T23" s="468"/>
    </row>
    <row r="24" spans="2:20" s="456" customFormat="1" ht="19.5" customHeight="1">
      <c r="B24" s="457"/>
      <c r="C24" s="469">
        <f>'[1]Tasa de Falla'!C24</f>
        <v>8</v>
      </c>
      <c r="D24" s="470" t="str">
        <f>'[1]Tasa de Falla'!D24</f>
        <v>ESTATICA SUR - INDEPENDENCIA (O.F.)</v>
      </c>
      <c r="E24" s="470">
        <f>'[1]Tasa de Falla'!E24</f>
        <v>132</v>
      </c>
      <c r="F24" s="471">
        <f>'[1]Tasa de Falla'!F24</f>
        <v>2.6</v>
      </c>
      <c r="G24" s="461">
        <f>IF('[1]Tasa de Falla'!GC24=0,"",'[1]Tasa de Falla'!GC24)</f>
      </c>
      <c r="H24" s="461">
        <f>IF('[1]Tasa de Falla'!GD24=0,"",'[1]Tasa de Falla'!GD24)</f>
      </c>
      <c r="I24" s="461">
        <f>IF('[1]Tasa de Falla'!GE24=0,"",'[1]Tasa de Falla'!GE24)</f>
      </c>
      <c r="J24" s="461">
        <f>IF('[1]Tasa de Falla'!GF24=0,"",'[1]Tasa de Falla'!GF24)</f>
      </c>
      <c r="K24" s="461">
        <f>IF('[1]Tasa de Falla'!GG24=0,"",'[1]Tasa de Falla'!GG24)</f>
      </c>
      <c r="L24" s="461">
        <f>IF('[1]Tasa de Falla'!GH24=0,"",'[1]Tasa de Falla'!GH24)</f>
      </c>
      <c r="M24" s="461">
        <f>IF('[1]Tasa de Falla'!GI24=0,"",'[1]Tasa de Falla'!GI24)</f>
        <v>1</v>
      </c>
      <c r="N24" s="461">
        <f>IF('[1]Tasa de Falla'!GJ24=0,"",'[1]Tasa de Falla'!GJ24)</f>
      </c>
      <c r="O24" s="461">
        <f>IF('[1]Tasa de Falla'!GK24=0,"",'[1]Tasa de Falla'!GK24)</f>
        <v>1</v>
      </c>
      <c r="P24" s="461">
        <f>IF('[1]Tasa de Falla'!GL24=0,"",'[1]Tasa de Falla'!GL24)</f>
      </c>
      <c r="Q24" s="461">
        <f>IF('[1]Tasa de Falla'!GM24=0,"",'[1]Tasa de Falla'!GM24)</f>
      </c>
      <c r="R24" s="461">
        <f>IF('[1]Tasa de Falla'!GN24=0,"",'[1]Tasa de Falla'!GN24)</f>
      </c>
      <c r="S24" s="467"/>
      <c r="T24" s="468"/>
    </row>
    <row r="25" spans="2:20" s="456" customFormat="1" ht="19.5" customHeight="1">
      <c r="B25" s="457"/>
      <c r="C25" s="464">
        <f>'[1]Tasa de Falla'!C25</f>
        <v>9</v>
      </c>
      <c r="D25" s="465" t="str">
        <f>'[1]Tasa de Falla'!D25</f>
        <v>ESTATICA SUR - SARMIENTO "TRANSNOA S.A."</v>
      </c>
      <c r="E25" s="465">
        <f>'[1]Tasa de Falla'!E25</f>
        <v>132</v>
      </c>
      <c r="F25" s="466">
        <f>'[1]Tasa de Falla'!F25</f>
        <v>4.4</v>
      </c>
      <c r="G25" s="461">
        <f>IF('[1]Tasa de Falla'!GC25=0,"",'[1]Tasa de Falla'!GC25)</f>
      </c>
      <c r="H25" s="461">
        <f>IF('[1]Tasa de Falla'!GD25=0,"",'[1]Tasa de Falla'!GD25)</f>
      </c>
      <c r="I25" s="461">
        <f>IF('[1]Tasa de Falla'!GE25=0,"",'[1]Tasa de Falla'!GE25)</f>
      </c>
      <c r="J25" s="461">
        <f>IF('[1]Tasa de Falla'!GF25=0,"",'[1]Tasa de Falla'!GF25)</f>
        <v>1</v>
      </c>
      <c r="K25" s="461">
        <f>IF('[1]Tasa de Falla'!GG25=0,"",'[1]Tasa de Falla'!GG25)</f>
      </c>
      <c r="L25" s="461">
        <f>IF('[1]Tasa de Falla'!GH25=0,"",'[1]Tasa de Falla'!GH25)</f>
      </c>
      <c r="M25" s="461">
        <f>IF('[1]Tasa de Falla'!GI25=0,"",'[1]Tasa de Falla'!GI25)</f>
        <v>1</v>
      </c>
      <c r="N25" s="461">
        <f>IF('[1]Tasa de Falla'!GJ25=0,"",'[1]Tasa de Falla'!GJ25)</f>
      </c>
      <c r="O25" s="461">
        <f>IF('[1]Tasa de Falla'!GK25=0,"",'[1]Tasa de Falla'!GK25)</f>
        <v>1</v>
      </c>
      <c r="P25" s="461">
        <f>IF('[1]Tasa de Falla'!GL25=0,"",'[1]Tasa de Falla'!GL25)</f>
      </c>
      <c r="Q25" s="461">
        <f>IF('[1]Tasa de Falla'!GM25=0,"",'[1]Tasa de Falla'!GM25)</f>
      </c>
      <c r="R25" s="461">
        <f>IF('[1]Tasa de Falla'!GN25=0,"",'[1]Tasa de Falla'!GN25)</f>
      </c>
      <c r="S25" s="467"/>
      <c r="T25" s="468"/>
    </row>
    <row r="26" spans="2:20" s="456" customFormat="1" ht="18">
      <c r="B26" s="457"/>
      <c r="C26" s="469">
        <f>'[1]Tasa de Falla'!C26</f>
        <v>10</v>
      </c>
      <c r="D26" s="470" t="str">
        <f>'[1]Tasa de Falla'!D26</f>
        <v>GÜEMES - EL BRACHO</v>
      </c>
      <c r="E26" s="470">
        <f>'[1]Tasa de Falla'!E26</f>
        <v>132</v>
      </c>
      <c r="F26" s="471">
        <f>'[1]Tasa de Falla'!F26</f>
        <v>308</v>
      </c>
      <c r="G26" s="461" t="str">
        <f>IF('[1]Tasa de Falla'!GC26=0,"",'[1]Tasa de Falla'!GC26)</f>
        <v>XXXX</v>
      </c>
      <c r="H26" s="461" t="str">
        <f>IF('[1]Tasa de Falla'!GD26=0,"",'[1]Tasa de Falla'!GD26)</f>
        <v>XXXX</v>
      </c>
      <c r="I26" s="461" t="str">
        <f>IF('[1]Tasa de Falla'!GE26=0,"",'[1]Tasa de Falla'!GE26)</f>
        <v>XXXX</v>
      </c>
      <c r="J26" s="461" t="str">
        <f>IF('[1]Tasa de Falla'!GF26=0,"",'[1]Tasa de Falla'!GF26)</f>
        <v>XXXX</v>
      </c>
      <c r="K26" s="461" t="str">
        <f>IF('[1]Tasa de Falla'!GG26=0,"",'[1]Tasa de Falla'!GG26)</f>
        <v>XXXX</v>
      </c>
      <c r="L26" s="461" t="str">
        <f>IF('[1]Tasa de Falla'!GH26=0,"",'[1]Tasa de Falla'!GH26)</f>
        <v>XXXX</v>
      </c>
      <c r="M26" s="461" t="str">
        <f>IF('[1]Tasa de Falla'!GI26=0,"",'[1]Tasa de Falla'!GI26)</f>
        <v>XXXX</v>
      </c>
      <c r="N26" s="461" t="str">
        <f>IF('[1]Tasa de Falla'!GJ26=0,"",'[1]Tasa de Falla'!GJ26)</f>
        <v>XXXX</v>
      </c>
      <c r="O26" s="461" t="str">
        <f>IF('[1]Tasa de Falla'!GK26=0,"",'[1]Tasa de Falla'!GK26)</f>
        <v>XXXX</v>
      </c>
      <c r="P26" s="461" t="str">
        <f>IF('[1]Tasa de Falla'!GL26=0,"",'[1]Tasa de Falla'!GL26)</f>
        <v>XXXX</v>
      </c>
      <c r="Q26" s="461" t="str">
        <f>IF('[1]Tasa de Falla'!GM26=0,"",'[1]Tasa de Falla'!GM26)</f>
        <v>XXXX</v>
      </c>
      <c r="R26" s="461" t="str">
        <f>IF('[1]Tasa de Falla'!GN26=0,"",'[1]Tasa de Falla'!GN26)</f>
        <v>XXXX</v>
      </c>
      <c r="S26" s="467"/>
      <c r="T26" s="468"/>
    </row>
    <row r="27" spans="2:20" s="456" customFormat="1" ht="19.5" customHeight="1">
      <c r="B27" s="457"/>
      <c r="C27" s="469">
        <f>'[1]Tasa de Falla'!C27</f>
        <v>11</v>
      </c>
      <c r="D27" s="472" t="str">
        <f>'[1]Tasa de Falla'!D27</f>
        <v>CAMPO SANTO - GÜEMES</v>
      </c>
      <c r="E27" s="472">
        <f>'[1]Tasa de Falla'!E27</f>
        <v>132</v>
      </c>
      <c r="F27" s="473">
        <f>'[1]Tasa de Falla'!F27</f>
        <v>6.2</v>
      </c>
      <c r="G27" s="461" t="str">
        <f>IF('[1]Tasa de Falla'!GC27=0,"",'[1]Tasa de Falla'!GC27)</f>
        <v>XXXX</v>
      </c>
      <c r="H27" s="461" t="str">
        <f>IF('[1]Tasa de Falla'!GD27=0,"",'[1]Tasa de Falla'!GD27)</f>
        <v>XXXX</v>
      </c>
      <c r="I27" s="461" t="str">
        <f>IF('[1]Tasa de Falla'!GE27=0,"",'[1]Tasa de Falla'!GE27)</f>
        <v>XXXX</v>
      </c>
      <c r="J27" s="461" t="str">
        <f>IF('[1]Tasa de Falla'!GF27=0,"",'[1]Tasa de Falla'!GF27)</f>
        <v>XXXX</v>
      </c>
      <c r="K27" s="461" t="str">
        <f>IF('[1]Tasa de Falla'!GG27=0,"",'[1]Tasa de Falla'!GG27)</f>
        <v>XXXX</v>
      </c>
      <c r="L27" s="461" t="str">
        <f>IF('[1]Tasa de Falla'!GH27=0,"",'[1]Tasa de Falla'!GH27)</f>
        <v>XXXX</v>
      </c>
      <c r="M27" s="461" t="str">
        <f>IF('[1]Tasa de Falla'!GI27=0,"",'[1]Tasa de Falla'!GI27)</f>
        <v>XXXX</v>
      </c>
      <c r="N27" s="461" t="str">
        <f>IF('[1]Tasa de Falla'!GJ27=0,"",'[1]Tasa de Falla'!GJ27)</f>
        <v>XXXX</v>
      </c>
      <c r="O27" s="461" t="str">
        <f>IF('[1]Tasa de Falla'!GK27=0,"",'[1]Tasa de Falla'!GK27)</f>
        <v>XXXX</v>
      </c>
      <c r="P27" s="461" t="str">
        <f>IF('[1]Tasa de Falla'!GL27=0,"",'[1]Tasa de Falla'!GL27)</f>
        <v>XXXX</v>
      </c>
      <c r="Q27" s="461" t="str">
        <f>IF('[1]Tasa de Falla'!GM27=0,"",'[1]Tasa de Falla'!GM27)</f>
        <v>XXXX</v>
      </c>
      <c r="R27" s="461" t="str">
        <f>IF('[1]Tasa de Falla'!GN27=0,"",'[1]Tasa de Falla'!GN27)</f>
        <v>XXXX</v>
      </c>
      <c r="S27" s="467"/>
      <c r="T27" s="468"/>
    </row>
    <row r="28" spans="2:20" s="456" customFormat="1" ht="19.5" customHeight="1">
      <c r="B28" s="457"/>
      <c r="C28" s="464">
        <f>'[1]Tasa de Falla'!C28</f>
        <v>12</v>
      </c>
      <c r="D28" s="465" t="str">
        <f>'[1]Tasa de Falla'!D28</f>
        <v>GÜEMES - SAN JUANCITO</v>
      </c>
      <c r="E28" s="465">
        <f>'[1]Tasa de Falla'!E28</f>
        <v>132</v>
      </c>
      <c r="F28" s="466">
        <f>'[1]Tasa de Falla'!F28</f>
        <v>36.24</v>
      </c>
      <c r="G28" s="461">
        <f>IF('[1]Tasa de Falla'!GC28=0,"",'[1]Tasa de Falla'!GC28)</f>
      </c>
      <c r="H28" s="461">
        <f>IF('[1]Tasa de Falla'!GD28=0,"",'[1]Tasa de Falla'!GD28)</f>
      </c>
      <c r="I28" s="461">
        <f>IF('[1]Tasa de Falla'!GE28=0,"",'[1]Tasa de Falla'!GE28)</f>
      </c>
      <c r="J28" s="461">
        <f>IF('[1]Tasa de Falla'!GF28=0,"",'[1]Tasa de Falla'!GF28)</f>
      </c>
      <c r="K28" s="461">
        <f>IF('[1]Tasa de Falla'!GG28=0,"",'[1]Tasa de Falla'!GG28)</f>
      </c>
      <c r="L28" s="461">
        <f>IF('[1]Tasa de Falla'!GH28=0,"",'[1]Tasa de Falla'!GH28)</f>
      </c>
      <c r="M28" s="461">
        <f>IF('[1]Tasa de Falla'!GI28=0,"",'[1]Tasa de Falla'!GI28)</f>
      </c>
      <c r="N28" s="461">
        <f>IF('[1]Tasa de Falla'!GJ28=0,"",'[1]Tasa de Falla'!GJ28)</f>
      </c>
      <c r="O28" s="461">
        <f>IF('[1]Tasa de Falla'!GK28=0,"",'[1]Tasa de Falla'!GK28)</f>
      </c>
      <c r="P28" s="461">
        <f>IF('[1]Tasa de Falla'!GL28=0,"",'[1]Tasa de Falla'!GL28)</f>
      </c>
      <c r="Q28" s="461">
        <f>IF('[1]Tasa de Falla'!GM28=0,"",'[1]Tasa de Falla'!GM28)</f>
      </c>
      <c r="R28" s="461">
        <f>IF('[1]Tasa de Falla'!GN28=0,"",'[1]Tasa de Falla'!GN28)</f>
      </c>
      <c r="S28" s="467"/>
      <c r="T28" s="468"/>
    </row>
    <row r="29" spans="2:20" s="456" customFormat="1" ht="19.5" customHeight="1">
      <c r="B29" s="457"/>
      <c r="C29" s="469">
        <f>'[1]Tasa de Falla'!C29</f>
        <v>13</v>
      </c>
      <c r="D29" s="470" t="str">
        <f>'[1]Tasa de Falla'!D29</f>
        <v>CATAMARCA - HUACRA</v>
      </c>
      <c r="E29" s="470">
        <f>'[1]Tasa de Falla'!E29</f>
        <v>132</v>
      </c>
      <c r="F29" s="471">
        <f>'[1]Tasa de Falla'!F29</f>
        <v>67.3</v>
      </c>
      <c r="G29" s="461">
        <f>IF('[1]Tasa de Falla'!GC29=0,"",'[1]Tasa de Falla'!GC29)</f>
      </c>
      <c r="H29" s="461">
        <f>IF('[1]Tasa de Falla'!GD29=0,"",'[1]Tasa de Falla'!GD29)</f>
      </c>
      <c r="I29" s="461">
        <f>IF('[1]Tasa de Falla'!GE29=0,"",'[1]Tasa de Falla'!GE29)</f>
      </c>
      <c r="J29" s="461">
        <f>IF('[1]Tasa de Falla'!GF29=0,"",'[1]Tasa de Falla'!GF29)</f>
      </c>
      <c r="K29" s="461">
        <f>IF('[1]Tasa de Falla'!GG29=0,"",'[1]Tasa de Falla'!GG29)</f>
      </c>
      <c r="L29" s="461">
        <f>IF('[1]Tasa de Falla'!GH29=0,"",'[1]Tasa de Falla'!GH29)</f>
      </c>
      <c r="M29" s="461">
        <f>IF('[1]Tasa de Falla'!GI29=0,"",'[1]Tasa de Falla'!GI29)</f>
      </c>
      <c r="N29" s="461">
        <f>IF('[1]Tasa de Falla'!GJ29=0,"",'[1]Tasa de Falla'!GJ29)</f>
      </c>
      <c r="O29" s="461">
        <f>IF('[1]Tasa de Falla'!GK29=0,"",'[1]Tasa de Falla'!GK29)</f>
      </c>
      <c r="P29" s="461">
        <f>IF('[1]Tasa de Falla'!GL29=0,"",'[1]Tasa de Falla'!GL29)</f>
      </c>
      <c r="Q29" s="461">
        <f>IF('[1]Tasa de Falla'!GM29=0,"",'[1]Tasa de Falla'!GM29)</f>
      </c>
      <c r="R29" s="461">
        <f>IF('[1]Tasa de Falla'!GN29=0,"",'[1]Tasa de Falla'!GN29)</f>
      </c>
      <c r="S29" s="467"/>
      <c r="T29" s="468"/>
    </row>
    <row r="30" spans="2:20" s="456" customFormat="1" ht="19.5" customHeight="1">
      <c r="B30" s="457"/>
      <c r="C30" s="464">
        <f>'[1]Tasa de Falla'!C30</f>
        <v>14</v>
      </c>
      <c r="D30" s="465" t="str">
        <f>'[1]Tasa de Falla'!D30</f>
        <v>HUACRA - LA CALERA</v>
      </c>
      <c r="E30" s="465">
        <f>'[1]Tasa de Falla'!E30</f>
        <v>132</v>
      </c>
      <c r="F30" s="466">
        <f>'[1]Tasa de Falla'!F30</f>
        <v>91.2</v>
      </c>
      <c r="G30" s="461">
        <f>IF('[1]Tasa de Falla'!GC30=0,"",'[1]Tasa de Falla'!GC30)</f>
      </c>
      <c r="H30" s="461">
        <f>IF('[1]Tasa de Falla'!GD30=0,"",'[1]Tasa de Falla'!GD30)</f>
      </c>
      <c r="I30" s="461">
        <f>IF('[1]Tasa de Falla'!GE30=0,"",'[1]Tasa de Falla'!GE30)</f>
      </c>
      <c r="J30" s="461">
        <f>IF('[1]Tasa de Falla'!GF30=0,"",'[1]Tasa de Falla'!GF30)</f>
      </c>
      <c r="K30" s="461">
        <f>IF('[1]Tasa de Falla'!GG30=0,"",'[1]Tasa de Falla'!GG30)</f>
      </c>
      <c r="L30" s="461">
        <f>IF('[1]Tasa de Falla'!GH30=0,"",'[1]Tasa de Falla'!GH30)</f>
      </c>
      <c r="M30" s="461">
        <f>IF('[1]Tasa de Falla'!GI30=0,"",'[1]Tasa de Falla'!GI30)</f>
      </c>
      <c r="N30" s="461">
        <f>IF('[1]Tasa de Falla'!GJ30=0,"",'[1]Tasa de Falla'!GJ30)</f>
      </c>
      <c r="O30" s="461">
        <f>IF('[1]Tasa de Falla'!GK30=0,"",'[1]Tasa de Falla'!GK30)</f>
      </c>
      <c r="P30" s="461">
        <f>IF('[1]Tasa de Falla'!GL30=0,"",'[1]Tasa de Falla'!GL30)</f>
        <v>1</v>
      </c>
      <c r="Q30" s="461">
        <f>IF('[1]Tasa de Falla'!GM30=0,"",'[1]Tasa de Falla'!GM30)</f>
      </c>
      <c r="R30" s="461">
        <f>IF('[1]Tasa de Falla'!GN30=0,"",'[1]Tasa de Falla'!GN30)</f>
      </c>
      <c r="S30" s="467"/>
      <c r="T30" s="468"/>
    </row>
    <row r="31" spans="2:20" s="456" customFormat="1" ht="19.5" customHeight="1">
      <c r="B31" s="457"/>
      <c r="C31" s="469">
        <f>'[1]Tasa de Falla'!C31</f>
        <v>15</v>
      </c>
      <c r="D31" s="470" t="str">
        <f>'[1]Tasa de Falla'!D31</f>
        <v>AGUA BLANCA - INDEPENDENCIA</v>
      </c>
      <c r="E31" s="470">
        <f>'[1]Tasa de Falla'!E31</f>
        <v>132</v>
      </c>
      <c r="F31" s="471">
        <f>'[1]Tasa de Falla'!F31</f>
        <v>34.14</v>
      </c>
      <c r="G31" s="461">
        <f>IF('[1]Tasa de Falla'!GC31=0,"",'[1]Tasa de Falla'!GC31)</f>
      </c>
      <c r="H31" s="461">
        <f>IF('[1]Tasa de Falla'!GD31=0,"",'[1]Tasa de Falla'!GD31)</f>
      </c>
      <c r="I31" s="461">
        <f>IF('[1]Tasa de Falla'!GE31=0,"",'[1]Tasa de Falla'!GE31)</f>
      </c>
      <c r="J31" s="461">
        <f>IF('[1]Tasa de Falla'!GF31=0,"",'[1]Tasa de Falla'!GF31)</f>
      </c>
      <c r="K31" s="461">
        <f>IF('[1]Tasa de Falla'!GG31=0,"",'[1]Tasa de Falla'!GG31)</f>
      </c>
      <c r="L31" s="461">
        <f>IF('[1]Tasa de Falla'!GH31=0,"",'[1]Tasa de Falla'!GH31)</f>
      </c>
      <c r="M31" s="461">
        <f>IF('[1]Tasa de Falla'!GI31=0,"",'[1]Tasa de Falla'!GI31)</f>
      </c>
      <c r="N31" s="461">
        <f>IF('[1]Tasa de Falla'!GJ31=0,"",'[1]Tasa de Falla'!GJ31)</f>
      </c>
      <c r="O31" s="461">
        <f>IF('[1]Tasa de Falla'!GK31=0,"",'[1]Tasa de Falla'!GK31)</f>
      </c>
      <c r="P31" s="461">
        <f>IF('[1]Tasa de Falla'!GL31=0,"",'[1]Tasa de Falla'!GL31)</f>
      </c>
      <c r="Q31" s="461">
        <f>IF('[1]Tasa de Falla'!GM31=0,"",'[1]Tasa de Falla'!GM31)</f>
      </c>
      <c r="R31" s="461">
        <f>IF('[1]Tasa de Falla'!GN31=0,"",'[1]Tasa de Falla'!GN31)</f>
        <v>1</v>
      </c>
      <c r="S31" s="467"/>
      <c r="T31" s="468"/>
    </row>
    <row r="32" spans="2:20" s="456" customFormat="1" ht="19.5" customHeight="1">
      <c r="B32" s="457"/>
      <c r="C32" s="464">
        <f>'[1]Tasa de Falla'!C32</f>
        <v>16</v>
      </c>
      <c r="D32" s="465" t="str">
        <f>'[1]Tasa de Falla'!D32</f>
        <v>INDEPENDENCIA - EL BRACHO 1</v>
      </c>
      <c r="E32" s="465">
        <f>'[1]Tasa de Falla'!E32</f>
        <v>132</v>
      </c>
      <c r="F32" s="466">
        <f>'[1]Tasa de Falla'!F32</f>
        <v>17.1</v>
      </c>
      <c r="G32" s="461">
        <f>IF('[1]Tasa de Falla'!GC32=0,"",'[1]Tasa de Falla'!GC32)</f>
      </c>
      <c r="H32" s="461">
        <f>IF('[1]Tasa de Falla'!GD32=0,"",'[1]Tasa de Falla'!GD32)</f>
      </c>
      <c r="I32" s="461">
        <f>IF('[1]Tasa de Falla'!GE32=0,"",'[1]Tasa de Falla'!GE32)</f>
      </c>
      <c r="J32" s="461">
        <f>IF('[1]Tasa de Falla'!GF32=0,"",'[1]Tasa de Falla'!GF32)</f>
      </c>
      <c r="K32" s="461">
        <f>IF('[1]Tasa de Falla'!GG32=0,"",'[1]Tasa de Falla'!GG32)</f>
      </c>
      <c r="L32" s="461">
        <f>IF('[1]Tasa de Falla'!GH32=0,"",'[1]Tasa de Falla'!GH32)</f>
      </c>
      <c r="M32" s="461">
        <f>IF('[1]Tasa de Falla'!GI32=0,"",'[1]Tasa de Falla'!GI32)</f>
      </c>
      <c r="N32" s="461">
        <f>IF('[1]Tasa de Falla'!GJ32=0,"",'[1]Tasa de Falla'!GJ32)</f>
      </c>
      <c r="O32" s="461">
        <f>IF('[1]Tasa de Falla'!GK32=0,"",'[1]Tasa de Falla'!GK32)</f>
      </c>
      <c r="P32" s="461">
        <f>IF('[1]Tasa de Falla'!GL32=0,"",'[1]Tasa de Falla'!GL32)</f>
      </c>
      <c r="Q32" s="461">
        <f>IF('[1]Tasa de Falla'!GM32=0,"",'[1]Tasa de Falla'!GM32)</f>
      </c>
      <c r="R32" s="461">
        <f>IF('[1]Tasa de Falla'!GN32=0,"",'[1]Tasa de Falla'!GN32)</f>
        <v>1</v>
      </c>
      <c r="S32" s="467"/>
      <c r="T32" s="468"/>
    </row>
    <row r="33" spans="2:20" s="456" customFormat="1" ht="19.5" customHeight="1">
      <c r="B33" s="457"/>
      <c r="C33" s="469">
        <f>'[1]Tasa de Falla'!C33</f>
        <v>17</v>
      </c>
      <c r="D33" s="470" t="str">
        <f>'[1]Tasa de Falla'!D33</f>
        <v>INDEPENDENCIA - LULES - PAPEL TUCUMAN</v>
      </c>
      <c r="E33" s="470">
        <f>'[1]Tasa de Falla'!E33</f>
        <v>132</v>
      </c>
      <c r="F33" s="471">
        <f>'[1]Tasa de Falla'!F33</f>
        <v>19.3</v>
      </c>
      <c r="G33" s="461">
        <f>IF('[1]Tasa de Falla'!GC33=0,"",'[1]Tasa de Falla'!GC33)</f>
      </c>
      <c r="H33" s="461">
        <f>IF('[1]Tasa de Falla'!GD33=0,"",'[1]Tasa de Falla'!GD33)</f>
      </c>
      <c r="I33" s="461">
        <f>IF('[1]Tasa de Falla'!GE33=0,"",'[1]Tasa de Falla'!GE33)</f>
      </c>
      <c r="J33" s="461">
        <f>IF('[1]Tasa de Falla'!GF33=0,"",'[1]Tasa de Falla'!GF33)</f>
      </c>
      <c r="K33" s="461">
        <f>IF('[1]Tasa de Falla'!GG33=0,"",'[1]Tasa de Falla'!GG33)</f>
      </c>
      <c r="L33" s="461">
        <f>IF('[1]Tasa de Falla'!GH33=0,"",'[1]Tasa de Falla'!GH33)</f>
      </c>
      <c r="M33" s="461">
        <f>IF('[1]Tasa de Falla'!GI33=0,"",'[1]Tasa de Falla'!GI33)</f>
      </c>
      <c r="N33" s="461">
        <f>IF('[1]Tasa de Falla'!GJ33=0,"",'[1]Tasa de Falla'!GJ33)</f>
      </c>
      <c r="O33" s="461">
        <f>IF('[1]Tasa de Falla'!GK33=0,"",'[1]Tasa de Falla'!GK33)</f>
      </c>
      <c r="P33" s="461">
        <f>IF('[1]Tasa de Falla'!GL33=0,"",'[1]Tasa de Falla'!GL33)</f>
      </c>
      <c r="Q33" s="461">
        <f>IF('[1]Tasa de Falla'!GM33=0,"",'[1]Tasa de Falla'!GM33)</f>
      </c>
      <c r="R33" s="461">
        <f>IF('[1]Tasa de Falla'!GN33=0,"",'[1]Tasa de Falla'!GN33)</f>
      </c>
      <c r="S33" s="467"/>
      <c r="T33" s="468"/>
    </row>
    <row r="34" spans="2:20" s="456" customFormat="1" ht="19.5" customHeight="1">
      <c r="B34" s="457"/>
      <c r="C34" s="464">
        <f>'[1]Tasa de Falla'!C34</f>
        <v>18</v>
      </c>
      <c r="D34" s="465" t="str">
        <f>'[1]Tasa de Falla'!D34</f>
        <v>FRIAS - LA CALERA NOA.</v>
      </c>
      <c r="E34" s="465">
        <f>'[1]Tasa de Falla'!E34</f>
        <v>132</v>
      </c>
      <c r="F34" s="466">
        <f>'[1]Tasa de Falla'!F34</f>
        <v>27.3</v>
      </c>
      <c r="G34" s="461">
        <f>IF('[1]Tasa de Falla'!GC34=0,"",'[1]Tasa de Falla'!GC34)</f>
      </c>
      <c r="H34" s="461">
        <f>IF('[1]Tasa de Falla'!GD34=0,"",'[1]Tasa de Falla'!GD34)</f>
      </c>
      <c r="I34" s="461">
        <f>IF('[1]Tasa de Falla'!GE34=0,"",'[1]Tasa de Falla'!GE34)</f>
      </c>
      <c r="J34" s="461">
        <f>IF('[1]Tasa de Falla'!GF34=0,"",'[1]Tasa de Falla'!GF34)</f>
      </c>
      <c r="K34" s="461">
        <f>IF('[1]Tasa de Falla'!GG34=0,"",'[1]Tasa de Falla'!GG34)</f>
      </c>
      <c r="L34" s="461">
        <f>IF('[1]Tasa de Falla'!GH34=0,"",'[1]Tasa de Falla'!GH34)</f>
      </c>
      <c r="M34" s="461">
        <f>IF('[1]Tasa de Falla'!GI34=0,"",'[1]Tasa de Falla'!GI34)</f>
      </c>
      <c r="N34" s="461">
        <f>IF('[1]Tasa de Falla'!GJ34=0,"",'[1]Tasa de Falla'!GJ34)</f>
      </c>
      <c r="O34" s="461">
        <f>IF('[1]Tasa de Falla'!GK34=0,"",'[1]Tasa de Falla'!GK34)</f>
      </c>
      <c r="P34" s="461">
        <f>IF('[1]Tasa de Falla'!GL34=0,"",'[1]Tasa de Falla'!GL34)</f>
      </c>
      <c r="Q34" s="461">
        <f>IF('[1]Tasa de Falla'!GM34=0,"",'[1]Tasa de Falla'!GM34)</f>
      </c>
      <c r="R34" s="461">
        <f>IF('[1]Tasa de Falla'!GN34=0,"",'[1]Tasa de Falla'!GN34)</f>
      </c>
      <c r="S34" s="467"/>
      <c r="T34" s="468"/>
    </row>
    <row r="35" spans="2:20" s="456" customFormat="1" ht="19.5" customHeight="1">
      <c r="B35" s="457"/>
      <c r="C35" s="469">
        <f>'[1]Tasa de Falla'!C35</f>
        <v>19</v>
      </c>
      <c r="D35" s="470" t="str">
        <f>'[1]Tasa de Falla'!D35</f>
        <v>LA BANDA - SANTIAGO CENTRO</v>
      </c>
      <c r="E35" s="470">
        <f>'[1]Tasa de Falla'!E35</f>
        <v>132</v>
      </c>
      <c r="F35" s="471">
        <f>'[1]Tasa de Falla'!F35</f>
        <v>10.91</v>
      </c>
      <c r="G35" s="461">
        <f>IF('[1]Tasa de Falla'!GC35=0,"",'[1]Tasa de Falla'!GC35)</f>
      </c>
      <c r="H35" s="461">
        <f>IF('[1]Tasa de Falla'!GD35=0,"",'[1]Tasa de Falla'!GD35)</f>
      </c>
      <c r="I35" s="461">
        <f>IF('[1]Tasa de Falla'!GE35=0,"",'[1]Tasa de Falla'!GE35)</f>
      </c>
      <c r="J35" s="461">
        <f>IF('[1]Tasa de Falla'!GF35=0,"",'[1]Tasa de Falla'!GF35)</f>
      </c>
      <c r="K35" s="461">
        <f>IF('[1]Tasa de Falla'!GG35=0,"",'[1]Tasa de Falla'!GG35)</f>
      </c>
      <c r="L35" s="461">
        <f>IF('[1]Tasa de Falla'!GH35=0,"",'[1]Tasa de Falla'!GH35)</f>
      </c>
      <c r="M35" s="461">
        <f>IF('[1]Tasa de Falla'!GI35=0,"",'[1]Tasa de Falla'!GI35)</f>
        <v>1</v>
      </c>
      <c r="N35" s="461">
        <f>IF('[1]Tasa de Falla'!GJ35=0,"",'[1]Tasa de Falla'!GJ35)</f>
      </c>
      <c r="O35" s="461">
        <f>IF('[1]Tasa de Falla'!GK35=0,"",'[1]Tasa de Falla'!GK35)</f>
      </c>
      <c r="P35" s="461">
        <f>IF('[1]Tasa de Falla'!GL35=0,"",'[1]Tasa de Falla'!GL35)</f>
      </c>
      <c r="Q35" s="461">
        <f>IF('[1]Tasa de Falla'!GM35=0,"",'[1]Tasa de Falla'!GM35)</f>
      </c>
      <c r="R35" s="461">
        <f>IF('[1]Tasa de Falla'!GN35=0,"",'[1]Tasa de Falla'!GN35)</f>
      </c>
      <c r="S35" s="467"/>
      <c r="T35" s="468"/>
    </row>
    <row r="36" spans="2:20" s="456" customFormat="1" ht="19.5" customHeight="1">
      <c r="B36" s="457"/>
      <c r="C36" s="464">
        <f>'[1]Tasa de Falla'!C36</f>
        <v>20</v>
      </c>
      <c r="D36" s="465" t="str">
        <f>'[1]Tasa de Falla'!D36</f>
        <v>LIBERTADOR NOA. - PICHANAL</v>
      </c>
      <c r="E36" s="465">
        <f>'[1]Tasa de Falla'!E36</f>
        <v>132</v>
      </c>
      <c r="F36" s="466">
        <f>'[1]Tasa de Falla'!F36</f>
        <v>76</v>
      </c>
      <c r="G36" s="461">
        <f>IF('[1]Tasa de Falla'!GC36=0,"",'[1]Tasa de Falla'!GC36)</f>
      </c>
      <c r="H36" s="461">
        <f>IF('[1]Tasa de Falla'!GD36=0,"",'[1]Tasa de Falla'!GD36)</f>
      </c>
      <c r="I36" s="461">
        <f>IF('[1]Tasa de Falla'!GE36=0,"",'[1]Tasa de Falla'!GE36)</f>
      </c>
      <c r="J36" s="461">
        <f>IF('[1]Tasa de Falla'!GF36=0,"",'[1]Tasa de Falla'!GF36)</f>
      </c>
      <c r="K36" s="461">
        <f>IF('[1]Tasa de Falla'!GG36=0,"",'[1]Tasa de Falla'!GG36)</f>
      </c>
      <c r="L36" s="461">
        <f>IF('[1]Tasa de Falla'!GH36=0,"",'[1]Tasa de Falla'!GH36)</f>
      </c>
      <c r="M36" s="461">
        <f>IF('[1]Tasa de Falla'!GI36=0,"",'[1]Tasa de Falla'!GI36)</f>
      </c>
      <c r="N36" s="461">
        <f>IF('[1]Tasa de Falla'!GJ36=0,"",'[1]Tasa de Falla'!GJ36)</f>
        <v>2</v>
      </c>
      <c r="O36" s="461">
        <f>IF('[1]Tasa de Falla'!GK36=0,"",'[1]Tasa de Falla'!GK36)</f>
        <v>2</v>
      </c>
      <c r="P36" s="461">
        <f>IF('[1]Tasa de Falla'!GL36=0,"",'[1]Tasa de Falla'!GL36)</f>
      </c>
      <c r="Q36" s="461">
        <f>IF('[1]Tasa de Falla'!GM36=0,"",'[1]Tasa de Falla'!GM36)</f>
      </c>
      <c r="R36" s="461">
        <f>IF('[1]Tasa de Falla'!GN36=0,"",'[1]Tasa de Falla'!GN36)</f>
      </c>
      <c r="S36" s="467"/>
      <c r="T36" s="468"/>
    </row>
    <row r="37" spans="2:20" s="456" customFormat="1" ht="19.5" customHeight="1">
      <c r="B37" s="457"/>
      <c r="C37" s="469">
        <f>'[1]Tasa de Falla'!C37</f>
        <v>21</v>
      </c>
      <c r="D37" s="470" t="str">
        <f>'[1]Tasa de Falla'!D37</f>
        <v>GÜEMES - METAN</v>
      </c>
      <c r="E37" s="470">
        <f>'[1]Tasa de Falla'!E37</f>
        <v>132</v>
      </c>
      <c r="F37" s="471">
        <f>'[1]Tasa de Falla'!F37</f>
        <v>97.13</v>
      </c>
      <c r="G37" s="461" t="str">
        <f>IF('[1]Tasa de Falla'!GC37=0,"",'[1]Tasa de Falla'!GC37)</f>
        <v>XXXX</v>
      </c>
      <c r="H37" s="461" t="str">
        <f>IF('[1]Tasa de Falla'!GD37=0,"",'[1]Tasa de Falla'!GD37)</f>
        <v>XXXX</v>
      </c>
      <c r="I37" s="461" t="str">
        <f>IF('[1]Tasa de Falla'!GE37=0,"",'[1]Tasa de Falla'!GE37)</f>
        <v>XXXX</v>
      </c>
      <c r="J37" s="461" t="str">
        <f>IF('[1]Tasa de Falla'!GF37=0,"",'[1]Tasa de Falla'!GF37)</f>
        <v>XXXX</v>
      </c>
      <c r="K37" s="461" t="str">
        <f>IF('[1]Tasa de Falla'!GG37=0,"",'[1]Tasa de Falla'!GG37)</f>
        <v>XXXX</v>
      </c>
      <c r="L37" s="461" t="str">
        <f>IF('[1]Tasa de Falla'!GH37=0,"",'[1]Tasa de Falla'!GH37)</f>
        <v>XXXX</v>
      </c>
      <c r="M37" s="461" t="str">
        <f>IF('[1]Tasa de Falla'!GI37=0,"",'[1]Tasa de Falla'!GI37)</f>
        <v>XXXX</v>
      </c>
      <c r="N37" s="461" t="str">
        <f>IF('[1]Tasa de Falla'!GJ37=0,"",'[1]Tasa de Falla'!GJ37)</f>
        <v>XXXX</v>
      </c>
      <c r="O37" s="461" t="str">
        <f>IF('[1]Tasa de Falla'!GK37=0,"",'[1]Tasa de Falla'!GK37)</f>
        <v>XXXX</v>
      </c>
      <c r="P37" s="461" t="str">
        <f>IF('[1]Tasa de Falla'!GL37=0,"",'[1]Tasa de Falla'!GL37)</f>
        <v>XXXX</v>
      </c>
      <c r="Q37" s="461" t="str">
        <f>IF('[1]Tasa de Falla'!GM37=0,"",'[1]Tasa de Falla'!GM37)</f>
        <v>XXXX</v>
      </c>
      <c r="R37" s="461" t="str">
        <f>IF('[1]Tasa de Falla'!GN37=0,"",'[1]Tasa de Falla'!GN37)</f>
        <v>XXXX</v>
      </c>
      <c r="S37" s="467"/>
      <c r="T37" s="468"/>
    </row>
    <row r="38" spans="2:20" s="456" customFormat="1" ht="19.5" customHeight="1">
      <c r="B38" s="457"/>
      <c r="C38" s="464">
        <f>'[1]Tasa de Falla'!C38</f>
        <v>22</v>
      </c>
      <c r="D38" s="465" t="str">
        <f>'[1]Tasa de Falla'!D38</f>
        <v>MINETTI - SAN JUANCITO</v>
      </c>
      <c r="E38" s="465">
        <f>'[1]Tasa de Falla'!E38</f>
        <v>132</v>
      </c>
      <c r="F38" s="466">
        <f>'[1]Tasa de Falla'!F38</f>
        <v>26</v>
      </c>
      <c r="G38" s="461">
        <f>IF('[1]Tasa de Falla'!GC38=0,"",'[1]Tasa de Falla'!GC38)</f>
      </c>
      <c r="H38" s="461">
        <f>IF('[1]Tasa de Falla'!GD38=0,"",'[1]Tasa de Falla'!GD38)</f>
      </c>
      <c r="I38" s="461">
        <f>IF('[1]Tasa de Falla'!GE38=0,"",'[1]Tasa de Falla'!GE38)</f>
      </c>
      <c r="J38" s="461">
        <f>IF('[1]Tasa de Falla'!GF38=0,"",'[1]Tasa de Falla'!GF38)</f>
      </c>
      <c r="K38" s="461">
        <f>IF('[1]Tasa de Falla'!GG38=0,"",'[1]Tasa de Falla'!GG38)</f>
      </c>
      <c r="L38" s="461">
        <f>IF('[1]Tasa de Falla'!GH38=0,"",'[1]Tasa de Falla'!GH38)</f>
      </c>
      <c r="M38" s="461">
        <f>IF('[1]Tasa de Falla'!GI38=0,"",'[1]Tasa de Falla'!GI38)</f>
      </c>
      <c r="N38" s="461">
        <f>IF('[1]Tasa de Falla'!GJ38=0,"",'[1]Tasa de Falla'!GJ38)</f>
      </c>
      <c r="O38" s="461">
        <f>IF('[1]Tasa de Falla'!GK38=0,"",'[1]Tasa de Falla'!GK38)</f>
      </c>
      <c r="P38" s="461">
        <f>IF('[1]Tasa de Falla'!GL38=0,"",'[1]Tasa de Falla'!GL38)</f>
      </c>
      <c r="Q38" s="461">
        <f>IF('[1]Tasa de Falla'!GM38=0,"",'[1]Tasa de Falla'!GM38)</f>
      </c>
      <c r="R38" s="461">
        <f>IF('[1]Tasa de Falla'!GN38=0,"",'[1]Tasa de Falla'!GN38)</f>
      </c>
      <c r="S38" s="467"/>
      <c r="T38" s="468"/>
    </row>
    <row r="39" spans="2:20" s="456" customFormat="1" ht="18">
      <c r="B39" s="457"/>
      <c r="C39" s="469">
        <f>'[1]Tasa de Falla'!C39</f>
        <v>23</v>
      </c>
      <c r="D39" s="470" t="str">
        <f>'[1]Tasa de Falla'!D39</f>
        <v>PALPALA - JUJUY SUR</v>
      </c>
      <c r="E39" s="470">
        <f>'[1]Tasa de Falla'!E39</f>
        <v>132</v>
      </c>
      <c r="F39" s="471">
        <f>'[1]Tasa de Falla'!F39</f>
        <v>14</v>
      </c>
      <c r="G39" s="461" t="str">
        <f>IF('[1]Tasa de Falla'!GC39=0,"",'[1]Tasa de Falla'!GC39)</f>
        <v>XXXX</v>
      </c>
      <c r="H39" s="461" t="str">
        <f>IF('[1]Tasa de Falla'!GD39=0,"",'[1]Tasa de Falla'!GD39)</f>
        <v>XXXX</v>
      </c>
      <c r="I39" s="461" t="str">
        <f>IF('[1]Tasa de Falla'!GE39=0,"",'[1]Tasa de Falla'!GE39)</f>
        <v>XXXX</v>
      </c>
      <c r="J39" s="461" t="str">
        <f>IF('[1]Tasa de Falla'!GF39=0,"",'[1]Tasa de Falla'!GF39)</f>
        <v>XXXX</v>
      </c>
      <c r="K39" s="461" t="str">
        <f>IF('[1]Tasa de Falla'!GG39=0,"",'[1]Tasa de Falla'!GG39)</f>
        <v>XXXX</v>
      </c>
      <c r="L39" s="461" t="str">
        <f>IF('[1]Tasa de Falla'!GH39=0,"",'[1]Tasa de Falla'!GH39)</f>
        <v>XXXX</v>
      </c>
      <c r="M39" s="461" t="str">
        <f>IF('[1]Tasa de Falla'!GI39=0,"",'[1]Tasa de Falla'!GI39)</f>
        <v>XXXX</v>
      </c>
      <c r="N39" s="461" t="str">
        <f>IF('[1]Tasa de Falla'!GJ39=0,"",'[1]Tasa de Falla'!GJ39)</f>
        <v>XXXX</v>
      </c>
      <c r="O39" s="461" t="str">
        <f>IF('[1]Tasa de Falla'!GK39=0,"",'[1]Tasa de Falla'!GK39)</f>
        <v>XXXX</v>
      </c>
      <c r="P39" s="461" t="str">
        <f>IF('[1]Tasa de Falla'!GL39=0,"",'[1]Tasa de Falla'!GL39)</f>
        <v>XXXX</v>
      </c>
      <c r="Q39" s="461" t="str">
        <f>IF('[1]Tasa de Falla'!GM39=0,"",'[1]Tasa de Falla'!GM39)</f>
        <v>XXXX</v>
      </c>
      <c r="R39" s="461" t="str">
        <f>IF('[1]Tasa de Falla'!GN39=0,"",'[1]Tasa de Falla'!GN39)</f>
        <v>XXXX</v>
      </c>
      <c r="S39" s="467"/>
      <c r="T39" s="468"/>
    </row>
    <row r="40" spans="2:20" s="456" customFormat="1" ht="19.5" customHeight="1">
      <c r="B40" s="457"/>
      <c r="C40" s="469">
        <f>'[1]Tasa de Falla'!C40</f>
        <v>24</v>
      </c>
      <c r="D40" s="472" t="str">
        <f>'[1]Tasa de Falla'!D40</f>
        <v>ORAN - PICHANAL</v>
      </c>
      <c r="E40" s="472">
        <f>'[1]Tasa de Falla'!E40</f>
        <v>132</v>
      </c>
      <c r="F40" s="473">
        <f>'[1]Tasa de Falla'!F40</f>
        <v>17</v>
      </c>
      <c r="G40" s="461">
        <f>IF('[1]Tasa de Falla'!GC40=0,"",'[1]Tasa de Falla'!GC40)</f>
      </c>
      <c r="H40" s="461">
        <f>IF('[1]Tasa de Falla'!GD40=0,"",'[1]Tasa de Falla'!GD40)</f>
      </c>
      <c r="I40" s="461">
        <f>IF('[1]Tasa de Falla'!GE40=0,"",'[1]Tasa de Falla'!GE40)</f>
      </c>
      <c r="J40" s="461">
        <f>IF('[1]Tasa de Falla'!GF40=0,"",'[1]Tasa de Falla'!GF40)</f>
      </c>
      <c r="K40" s="461">
        <f>IF('[1]Tasa de Falla'!GG40=0,"",'[1]Tasa de Falla'!GG40)</f>
      </c>
      <c r="L40" s="461">
        <f>IF('[1]Tasa de Falla'!GH40=0,"",'[1]Tasa de Falla'!GH40)</f>
      </c>
      <c r="M40" s="461">
        <f>IF('[1]Tasa de Falla'!GI40=0,"",'[1]Tasa de Falla'!GI40)</f>
      </c>
      <c r="N40" s="461">
        <f>IF('[1]Tasa de Falla'!GJ40=0,"",'[1]Tasa de Falla'!GJ40)</f>
      </c>
      <c r="O40" s="461">
        <f>IF('[1]Tasa de Falla'!GK40=0,"",'[1]Tasa de Falla'!GK40)</f>
      </c>
      <c r="P40" s="461">
        <f>IF('[1]Tasa de Falla'!GL40=0,"",'[1]Tasa de Falla'!GL40)</f>
      </c>
      <c r="Q40" s="461">
        <f>IF('[1]Tasa de Falla'!GM40=0,"",'[1]Tasa de Falla'!GM40)</f>
      </c>
      <c r="R40" s="461">
        <f>IF('[1]Tasa de Falla'!GN40=0,"",'[1]Tasa de Falla'!GN40)</f>
      </c>
      <c r="S40" s="467"/>
      <c r="T40" s="468"/>
    </row>
    <row r="41" spans="2:20" s="456" customFormat="1" ht="19.5" customHeight="1">
      <c r="B41" s="457"/>
      <c r="C41" s="464">
        <f>'[1]Tasa de Falla'!C41</f>
        <v>25</v>
      </c>
      <c r="D41" s="465" t="str">
        <f>'[1]Tasa de Falla'!D41</f>
        <v>PICHANAL - TARTAGAL</v>
      </c>
      <c r="E41" s="465">
        <f>'[1]Tasa de Falla'!E41</f>
        <v>132</v>
      </c>
      <c r="F41" s="466">
        <f>'[1]Tasa de Falla'!F41</f>
        <v>105</v>
      </c>
      <c r="G41" s="461">
        <f>IF('[1]Tasa de Falla'!GC41=0,"",'[1]Tasa de Falla'!GC41)</f>
      </c>
      <c r="H41" s="461">
        <f>IF('[1]Tasa de Falla'!GD41=0,"",'[1]Tasa de Falla'!GD41)</f>
      </c>
      <c r="I41" s="461">
        <f>IF('[1]Tasa de Falla'!GE41=0,"",'[1]Tasa de Falla'!GE41)</f>
      </c>
      <c r="J41" s="461">
        <f>IF('[1]Tasa de Falla'!GF41=0,"",'[1]Tasa de Falla'!GF41)</f>
      </c>
      <c r="K41" s="461">
        <f>IF('[1]Tasa de Falla'!GG41=0,"",'[1]Tasa de Falla'!GG41)</f>
        <v>5</v>
      </c>
      <c r="L41" s="461">
        <f>IF('[1]Tasa de Falla'!GH41=0,"",'[1]Tasa de Falla'!GH41)</f>
      </c>
      <c r="M41" s="461">
        <f>IF('[1]Tasa de Falla'!GI41=0,"",'[1]Tasa de Falla'!GI41)</f>
        <v>1</v>
      </c>
      <c r="N41" s="461">
        <f>IF('[1]Tasa de Falla'!GJ41=0,"",'[1]Tasa de Falla'!GJ41)</f>
      </c>
      <c r="O41" s="461">
        <f>IF('[1]Tasa de Falla'!GK41=0,"",'[1]Tasa de Falla'!GK41)</f>
      </c>
      <c r="P41" s="461">
        <f>IF('[1]Tasa de Falla'!GL41=0,"",'[1]Tasa de Falla'!GL41)</f>
      </c>
      <c r="Q41" s="461">
        <f>IF('[1]Tasa de Falla'!GM41=0,"",'[1]Tasa de Falla'!GM41)</f>
      </c>
      <c r="R41" s="461">
        <f>IF('[1]Tasa de Falla'!GN41=0,"",'[1]Tasa de Falla'!GN41)</f>
      </c>
      <c r="S41" s="467"/>
      <c r="T41" s="468"/>
    </row>
    <row r="42" spans="2:20" s="456" customFormat="1" ht="18">
      <c r="B42" s="457"/>
      <c r="C42" s="469">
        <f>'[1]Tasa de Falla'!C42</f>
        <v>26</v>
      </c>
      <c r="D42" s="472" t="str">
        <f>'[1]Tasa de Falla'!D42</f>
        <v>C.H. RIO HONDO - LA BANDA</v>
      </c>
      <c r="E42" s="472">
        <f>'[1]Tasa de Falla'!E42</f>
        <v>132</v>
      </c>
      <c r="F42" s="473">
        <f>'[1]Tasa de Falla'!F42</f>
        <v>76.5</v>
      </c>
      <c r="G42" s="461">
        <f>IF('[1]Tasa de Falla'!GC42=0,"",'[1]Tasa de Falla'!GC42)</f>
      </c>
      <c r="H42" s="461">
        <f>IF('[1]Tasa de Falla'!GD42=0,"",'[1]Tasa de Falla'!GD42)</f>
      </c>
      <c r="I42" s="461">
        <f>IF('[1]Tasa de Falla'!GE42=0,"",'[1]Tasa de Falla'!GE42)</f>
      </c>
      <c r="J42" s="461">
        <f>IF('[1]Tasa de Falla'!GF42=0,"",'[1]Tasa de Falla'!GF42)</f>
      </c>
      <c r="K42" s="461">
        <f>IF('[1]Tasa de Falla'!GG42=0,"",'[1]Tasa de Falla'!GG42)</f>
      </c>
      <c r="L42" s="461">
        <f>IF('[1]Tasa de Falla'!GH42=0,"",'[1]Tasa de Falla'!GH42)</f>
      </c>
      <c r="M42" s="461">
        <f>IF('[1]Tasa de Falla'!GI42=0,"",'[1]Tasa de Falla'!GI42)</f>
      </c>
      <c r="N42" s="461">
        <f>IF('[1]Tasa de Falla'!GJ42=0,"",'[1]Tasa de Falla'!GJ42)</f>
      </c>
      <c r="O42" s="461">
        <f>IF('[1]Tasa de Falla'!GK42=0,"",'[1]Tasa de Falla'!GK42)</f>
      </c>
      <c r="P42" s="461">
        <f>IF('[1]Tasa de Falla'!GL42=0,"",'[1]Tasa de Falla'!GL42)</f>
      </c>
      <c r="Q42" s="461">
        <f>IF('[1]Tasa de Falla'!GM42=0,"",'[1]Tasa de Falla'!GM42)</f>
        <v>1</v>
      </c>
      <c r="R42" s="461">
        <f>IF('[1]Tasa de Falla'!GN42=0,"",'[1]Tasa de Falla'!GN42)</f>
      </c>
      <c r="S42" s="467"/>
      <c r="T42" s="468"/>
    </row>
    <row r="43" spans="2:20" s="456" customFormat="1" ht="18">
      <c r="B43" s="457"/>
      <c r="C43" s="464">
        <f>'[1]Tasa de Falla'!C43</f>
        <v>27</v>
      </c>
      <c r="D43" s="465" t="str">
        <f>'[1]Tasa de Falla'!D43</f>
        <v>LA RIOJA - RECREO  2</v>
      </c>
      <c r="E43" s="465">
        <f>'[1]Tasa de Falla'!E43</f>
        <v>132</v>
      </c>
      <c r="F43" s="466">
        <f>'[1]Tasa de Falla'!F43</f>
        <v>220</v>
      </c>
      <c r="G43" s="461" t="str">
        <f>IF('[1]Tasa de Falla'!GC43=0,"",'[1]Tasa de Falla'!GC43)</f>
        <v>XXXX</v>
      </c>
      <c r="H43" s="461" t="str">
        <f>IF('[1]Tasa de Falla'!GD43=0,"",'[1]Tasa de Falla'!GD43)</f>
        <v>XXXX</v>
      </c>
      <c r="I43" s="461" t="str">
        <f>IF('[1]Tasa de Falla'!GE43=0,"",'[1]Tasa de Falla'!GE43)</f>
        <v>XXXX</v>
      </c>
      <c r="J43" s="461" t="str">
        <f>IF('[1]Tasa de Falla'!GF43=0,"",'[1]Tasa de Falla'!GF43)</f>
        <v>XXXX</v>
      </c>
      <c r="K43" s="461" t="str">
        <f>IF('[1]Tasa de Falla'!GG43=0,"",'[1]Tasa de Falla'!GG43)</f>
        <v>XXXX</v>
      </c>
      <c r="L43" s="461" t="str">
        <f>IF('[1]Tasa de Falla'!GH43=0,"",'[1]Tasa de Falla'!GH43)</f>
        <v>XXXX</v>
      </c>
      <c r="M43" s="461" t="str">
        <f>IF('[1]Tasa de Falla'!GI43=0,"",'[1]Tasa de Falla'!GI43)</f>
        <v>XXXX</v>
      </c>
      <c r="N43" s="461" t="str">
        <f>IF('[1]Tasa de Falla'!GJ43=0,"",'[1]Tasa de Falla'!GJ43)</f>
        <v>XXXX</v>
      </c>
      <c r="O43" s="461" t="str">
        <f>IF('[1]Tasa de Falla'!GK43=0,"",'[1]Tasa de Falla'!GK43)</f>
        <v>XXXX</v>
      </c>
      <c r="P43" s="461" t="str">
        <f>IF('[1]Tasa de Falla'!GL43=0,"",'[1]Tasa de Falla'!GL43)</f>
        <v>XXXX</v>
      </c>
      <c r="Q43" s="461" t="str">
        <f>IF('[1]Tasa de Falla'!GM43=0,"",'[1]Tasa de Falla'!GM43)</f>
        <v>XXXX</v>
      </c>
      <c r="R43" s="461" t="str">
        <f>IF('[1]Tasa de Falla'!GN43=0,"",'[1]Tasa de Falla'!GN43)</f>
        <v>XXXX</v>
      </c>
      <c r="S43" s="467"/>
      <c r="T43" s="468"/>
    </row>
    <row r="44" spans="2:20" s="456" customFormat="1" ht="19.5" customHeight="1">
      <c r="B44" s="457"/>
      <c r="C44" s="464">
        <f>'[1]Tasa de Falla'!C44</f>
        <v>28</v>
      </c>
      <c r="D44" s="465" t="str">
        <f>'[1]Tasa de Falla'!D44</f>
        <v>CAMPO SANTO - SALTA SUR</v>
      </c>
      <c r="E44" s="465">
        <f>'[1]Tasa de Falla'!E44</f>
        <v>132</v>
      </c>
      <c r="F44" s="466">
        <f>'[1]Tasa de Falla'!F44</f>
        <v>40.92</v>
      </c>
      <c r="G44" s="461" t="str">
        <f>IF('[1]Tasa de Falla'!GC44=0,"",'[1]Tasa de Falla'!GC44)</f>
        <v>XXXX</v>
      </c>
      <c r="H44" s="461" t="str">
        <f>IF('[1]Tasa de Falla'!GD44=0,"",'[1]Tasa de Falla'!GD44)</f>
        <v>XXXX</v>
      </c>
      <c r="I44" s="461" t="str">
        <f>IF('[1]Tasa de Falla'!GE44=0,"",'[1]Tasa de Falla'!GE44)</f>
        <v>XXXX</v>
      </c>
      <c r="J44" s="461" t="str">
        <f>IF('[1]Tasa de Falla'!GF44=0,"",'[1]Tasa de Falla'!GF44)</f>
        <v>XXXX</v>
      </c>
      <c r="K44" s="461" t="str">
        <f>IF('[1]Tasa de Falla'!GG44=0,"",'[1]Tasa de Falla'!GG44)</f>
        <v>XXXX</v>
      </c>
      <c r="L44" s="461" t="str">
        <f>IF('[1]Tasa de Falla'!GH44=0,"",'[1]Tasa de Falla'!GH44)</f>
        <v>XXXX</v>
      </c>
      <c r="M44" s="461" t="str">
        <f>IF('[1]Tasa de Falla'!GI44=0,"",'[1]Tasa de Falla'!GI44)</f>
        <v>XXXX</v>
      </c>
      <c r="N44" s="461" t="str">
        <f>IF('[1]Tasa de Falla'!GJ44=0,"",'[1]Tasa de Falla'!GJ44)</f>
        <v>XXXX</v>
      </c>
      <c r="O44" s="461" t="str">
        <f>IF('[1]Tasa de Falla'!GK44=0,"",'[1]Tasa de Falla'!GK44)</f>
        <v>XXXX</v>
      </c>
      <c r="P44" s="461" t="str">
        <f>IF('[1]Tasa de Falla'!GL44=0,"",'[1]Tasa de Falla'!GL44)</f>
        <v>XXXX</v>
      </c>
      <c r="Q44" s="461" t="str">
        <f>IF('[1]Tasa de Falla'!GM44=0,"",'[1]Tasa de Falla'!GM44)</f>
        <v>XXXX</v>
      </c>
      <c r="R44" s="461" t="str">
        <f>IF('[1]Tasa de Falla'!GN44=0,"",'[1]Tasa de Falla'!GN44)</f>
        <v>XXXX</v>
      </c>
      <c r="S44" s="467"/>
      <c r="T44" s="468"/>
    </row>
    <row r="45" spans="2:20" s="456" customFormat="1" ht="19.5" customHeight="1">
      <c r="B45" s="457"/>
      <c r="C45" s="469">
        <f>'[1]Tasa de Falla'!C45</f>
        <v>29</v>
      </c>
      <c r="D45" s="470" t="str">
        <f>'[1]Tasa de Falla'!D45</f>
        <v>PALPALA - SAN JUANCITO</v>
      </c>
      <c r="E45" s="470">
        <f>'[1]Tasa de Falla'!E45</f>
        <v>132</v>
      </c>
      <c r="F45" s="471">
        <f>'[1]Tasa de Falla'!F45</f>
        <v>23.9</v>
      </c>
      <c r="G45" s="461">
        <f>IF('[1]Tasa de Falla'!GC45=0,"",'[1]Tasa de Falla'!GC45)</f>
      </c>
      <c r="H45" s="461">
        <f>IF('[1]Tasa de Falla'!GD45=0,"",'[1]Tasa de Falla'!GD45)</f>
      </c>
      <c r="I45" s="461">
        <f>IF('[1]Tasa de Falla'!GE45=0,"",'[1]Tasa de Falla'!GE45)</f>
      </c>
      <c r="J45" s="461">
        <f>IF('[1]Tasa de Falla'!GF45=0,"",'[1]Tasa de Falla'!GF45)</f>
      </c>
      <c r="K45" s="461">
        <f>IF('[1]Tasa de Falla'!GG45=0,"",'[1]Tasa de Falla'!GG45)</f>
      </c>
      <c r="L45" s="461">
        <f>IF('[1]Tasa de Falla'!GH45=0,"",'[1]Tasa de Falla'!GH45)</f>
      </c>
      <c r="M45" s="461">
        <f>IF('[1]Tasa de Falla'!GI45=0,"",'[1]Tasa de Falla'!GI45)</f>
      </c>
      <c r="N45" s="461">
        <f>IF('[1]Tasa de Falla'!GJ45=0,"",'[1]Tasa de Falla'!GJ45)</f>
      </c>
      <c r="O45" s="461">
        <f>IF('[1]Tasa de Falla'!GK45=0,"",'[1]Tasa de Falla'!GK45)</f>
        <v>2</v>
      </c>
      <c r="P45" s="461">
        <f>IF('[1]Tasa de Falla'!GL45=0,"",'[1]Tasa de Falla'!GL45)</f>
      </c>
      <c r="Q45" s="461">
        <f>IF('[1]Tasa de Falla'!GM45=0,"",'[1]Tasa de Falla'!GM45)</f>
      </c>
      <c r="R45" s="461">
        <f>IF('[1]Tasa de Falla'!GN45=0,"",'[1]Tasa de Falla'!GN45)</f>
      </c>
      <c r="S45" s="467"/>
      <c r="T45" s="468"/>
    </row>
    <row r="46" spans="2:20" s="456" customFormat="1" ht="19.5" customHeight="1">
      <c r="B46" s="457"/>
      <c r="C46" s="464">
        <f>'[1]Tasa de Falla'!C46</f>
        <v>30</v>
      </c>
      <c r="D46" s="465" t="str">
        <f>'[1]Tasa de Falla'!D46</f>
        <v>SAN JUANCITO - SAN PEDRO JUJUY</v>
      </c>
      <c r="E46" s="465">
        <f>'[1]Tasa de Falla'!E46</f>
        <v>132</v>
      </c>
      <c r="F46" s="466">
        <f>'[1]Tasa de Falla'!F46</f>
        <v>27</v>
      </c>
      <c r="G46" s="461">
        <f>IF('[1]Tasa de Falla'!GC46=0,"",'[1]Tasa de Falla'!GC46)</f>
      </c>
      <c r="H46" s="461">
        <f>IF('[1]Tasa de Falla'!GD46=0,"",'[1]Tasa de Falla'!GD46)</f>
      </c>
      <c r="I46" s="461">
        <f>IF('[1]Tasa de Falla'!GE46=0,"",'[1]Tasa de Falla'!GE46)</f>
      </c>
      <c r="J46" s="461">
        <f>IF('[1]Tasa de Falla'!GF46=0,"",'[1]Tasa de Falla'!GF46)</f>
      </c>
      <c r="K46" s="461">
        <f>IF('[1]Tasa de Falla'!GG46=0,"",'[1]Tasa de Falla'!GG46)</f>
      </c>
      <c r="L46" s="461">
        <f>IF('[1]Tasa de Falla'!GH46=0,"",'[1]Tasa de Falla'!GH46)</f>
      </c>
      <c r="M46" s="461">
        <f>IF('[1]Tasa de Falla'!GI46=0,"",'[1]Tasa de Falla'!GI46)</f>
      </c>
      <c r="N46" s="461">
        <f>IF('[1]Tasa de Falla'!GJ46=0,"",'[1]Tasa de Falla'!GJ46)</f>
      </c>
      <c r="O46" s="461">
        <f>IF('[1]Tasa de Falla'!GK46=0,"",'[1]Tasa de Falla'!GK46)</f>
      </c>
      <c r="P46" s="461">
        <f>IF('[1]Tasa de Falla'!GL46=0,"",'[1]Tasa de Falla'!GL46)</f>
      </c>
      <c r="Q46" s="461">
        <f>IF('[1]Tasa de Falla'!GM46=0,"",'[1]Tasa de Falla'!GM46)</f>
      </c>
      <c r="R46" s="461">
        <f>IF('[1]Tasa de Falla'!GN46=0,"",'[1]Tasa de Falla'!GN46)</f>
      </c>
      <c r="S46" s="467"/>
      <c r="T46" s="468"/>
    </row>
    <row r="47" spans="2:20" s="456" customFormat="1" ht="18">
      <c r="B47" s="457"/>
      <c r="C47" s="469">
        <f>'[1]Tasa de Falla'!C47</f>
        <v>31</v>
      </c>
      <c r="D47" s="470" t="str">
        <f>'[1]Tasa de Falla'!D47</f>
        <v>SAN MARTIN - CATAMARCA</v>
      </c>
      <c r="E47" s="470">
        <f>'[1]Tasa de Falla'!E47</f>
        <v>132</v>
      </c>
      <c r="F47" s="471">
        <f>'[1]Tasa de Falla'!F47</f>
        <v>88</v>
      </c>
      <c r="G47" s="461" t="str">
        <f>IF('[1]Tasa de Falla'!GC47=0,"",'[1]Tasa de Falla'!GC47)</f>
        <v>XXXX</v>
      </c>
      <c r="H47" s="461" t="str">
        <f>IF('[1]Tasa de Falla'!GD47=0,"",'[1]Tasa de Falla'!GD47)</f>
        <v>XXXX</v>
      </c>
      <c r="I47" s="461" t="str">
        <f>IF('[1]Tasa de Falla'!GE47=0,"",'[1]Tasa de Falla'!GE47)</f>
        <v>XXXX</v>
      </c>
      <c r="J47" s="461" t="str">
        <f>IF('[1]Tasa de Falla'!GF47=0,"",'[1]Tasa de Falla'!GF47)</f>
        <v>XXXX</v>
      </c>
      <c r="K47" s="461" t="str">
        <f>IF('[1]Tasa de Falla'!GG47=0,"",'[1]Tasa de Falla'!GG47)</f>
        <v>XXXX</v>
      </c>
      <c r="L47" s="461" t="str">
        <f>IF('[1]Tasa de Falla'!GH47=0,"",'[1]Tasa de Falla'!GH47)</f>
        <v>XXXX</v>
      </c>
      <c r="M47" s="461" t="str">
        <f>IF('[1]Tasa de Falla'!GI47=0,"",'[1]Tasa de Falla'!GI47)</f>
        <v>XXXX</v>
      </c>
      <c r="N47" s="461" t="str">
        <f>IF('[1]Tasa de Falla'!GJ47=0,"",'[1]Tasa de Falla'!GJ47)</f>
        <v>XXXX</v>
      </c>
      <c r="O47" s="461" t="str">
        <f>IF('[1]Tasa de Falla'!GK47=0,"",'[1]Tasa de Falla'!GK47)</f>
        <v>XXXX</v>
      </c>
      <c r="P47" s="461" t="str">
        <f>IF('[1]Tasa de Falla'!GL47=0,"",'[1]Tasa de Falla'!GL47)</f>
        <v>XXXX</v>
      </c>
      <c r="Q47" s="461" t="str">
        <f>IF('[1]Tasa de Falla'!GM47=0,"",'[1]Tasa de Falla'!GM47)</f>
        <v>XXXX</v>
      </c>
      <c r="R47" s="461" t="str">
        <f>IF('[1]Tasa de Falla'!GN47=0,"",'[1]Tasa de Falla'!GN47)</f>
        <v>XXXX</v>
      </c>
      <c r="S47" s="467"/>
      <c r="T47" s="468"/>
    </row>
    <row r="48" spans="2:20" s="456" customFormat="1" ht="18">
      <c r="B48" s="457"/>
      <c r="C48" s="469">
        <f>'[1]Tasa de Falla'!C48</f>
        <v>32</v>
      </c>
      <c r="D48" s="472" t="str">
        <f>'[1]Tasa de Falla'!D48</f>
        <v>SAN MARTIN - RECREO</v>
      </c>
      <c r="E48" s="472">
        <f>'[1]Tasa de Falla'!E48</f>
        <v>132</v>
      </c>
      <c r="F48" s="473">
        <f>'[1]Tasa de Falla'!F48</f>
        <v>115</v>
      </c>
      <c r="G48" s="461" t="str">
        <f>IF('[1]Tasa de Falla'!GC48=0,"",'[1]Tasa de Falla'!GC48)</f>
        <v>XXXX</v>
      </c>
      <c r="H48" s="461" t="str">
        <f>IF('[1]Tasa de Falla'!GD48=0,"",'[1]Tasa de Falla'!GD48)</f>
        <v>XXXX</v>
      </c>
      <c r="I48" s="461" t="str">
        <f>IF('[1]Tasa de Falla'!GE48=0,"",'[1]Tasa de Falla'!GE48)</f>
        <v>XXXX</v>
      </c>
      <c r="J48" s="461" t="str">
        <f>IF('[1]Tasa de Falla'!GF48=0,"",'[1]Tasa de Falla'!GF48)</f>
        <v>XXXX</v>
      </c>
      <c r="K48" s="461" t="str">
        <f>IF('[1]Tasa de Falla'!GG48=0,"",'[1]Tasa de Falla'!GG48)</f>
        <v>XXXX</v>
      </c>
      <c r="L48" s="461" t="str">
        <f>IF('[1]Tasa de Falla'!GH48=0,"",'[1]Tasa de Falla'!GH48)</f>
        <v>XXXX</v>
      </c>
      <c r="M48" s="461" t="str">
        <f>IF('[1]Tasa de Falla'!GI48=0,"",'[1]Tasa de Falla'!GI48)</f>
        <v>XXXX</v>
      </c>
      <c r="N48" s="461" t="str">
        <f>IF('[1]Tasa de Falla'!GJ48=0,"",'[1]Tasa de Falla'!GJ48)</f>
        <v>XXXX</v>
      </c>
      <c r="O48" s="461" t="str">
        <f>IF('[1]Tasa de Falla'!GK48=0,"",'[1]Tasa de Falla'!GK48)</f>
        <v>XXXX</v>
      </c>
      <c r="P48" s="461" t="str">
        <f>IF('[1]Tasa de Falla'!GL48=0,"",'[1]Tasa de Falla'!GL48)</f>
        <v>XXXX</v>
      </c>
      <c r="Q48" s="461" t="str">
        <f>IF('[1]Tasa de Falla'!GM48=0,"",'[1]Tasa de Falla'!GM48)</f>
        <v>XXXX</v>
      </c>
      <c r="R48" s="461" t="str">
        <f>IF('[1]Tasa de Falla'!GN48=0,"",'[1]Tasa de Falla'!GN48)</f>
        <v>XXXX</v>
      </c>
      <c r="S48" s="467"/>
      <c r="T48" s="468"/>
    </row>
    <row r="49" spans="2:20" s="456" customFormat="1" ht="18">
      <c r="B49" s="457"/>
      <c r="C49" s="464">
        <f>'[1]Tasa de Falla'!C49</f>
        <v>33</v>
      </c>
      <c r="D49" s="465" t="str">
        <f>'[1]Tasa de Falla'!D49</f>
        <v>SAN MARTIN C. - LA RIOJA</v>
      </c>
      <c r="E49" s="465">
        <f>'[1]Tasa de Falla'!E49</f>
        <v>132</v>
      </c>
      <c r="F49" s="466">
        <f>'[1]Tasa de Falla'!F49</f>
        <v>105</v>
      </c>
      <c r="G49" s="461" t="str">
        <f>IF('[1]Tasa de Falla'!GC49=0,"",'[1]Tasa de Falla'!GC49)</f>
        <v>XXXX</v>
      </c>
      <c r="H49" s="461" t="str">
        <f>IF('[1]Tasa de Falla'!GD49=0,"",'[1]Tasa de Falla'!GD49)</f>
        <v>XXXX</v>
      </c>
      <c r="I49" s="461" t="str">
        <f>IF('[1]Tasa de Falla'!GE49=0,"",'[1]Tasa de Falla'!GE49)</f>
        <v>XXXX</v>
      </c>
      <c r="J49" s="461" t="str">
        <f>IF('[1]Tasa de Falla'!GF49=0,"",'[1]Tasa de Falla'!GF49)</f>
        <v>XXXX</v>
      </c>
      <c r="K49" s="461" t="str">
        <f>IF('[1]Tasa de Falla'!GG49=0,"",'[1]Tasa de Falla'!GG49)</f>
        <v>XXXX</v>
      </c>
      <c r="L49" s="461" t="str">
        <f>IF('[1]Tasa de Falla'!GH49=0,"",'[1]Tasa de Falla'!GH49)</f>
        <v>XXXX</v>
      </c>
      <c r="M49" s="461" t="str">
        <f>IF('[1]Tasa de Falla'!GI49=0,"",'[1]Tasa de Falla'!GI49)</f>
        <v>XXXX</v>
      </c>
      <c r="N49" s="461" t="str">
        <f>IF('[1]Tasa de Falla'!GJ49=0,"",'[1]Tasa de Falla'!GJ49)</f>
        <v>XXXX</v>
      </c>
      <c r="O49" s="461" t="str">
        <f>IF('[1]Tasa de Falla'!GK49=0,"",'[1]Tasa de Falla'!GK49)</f>
        <v>XXXX</v>
      </c>
      <c r="P49" s="461" t="str">
        <f>IF('[1]Tasa de Falla'!GL49=0,"",'[1]Tasa de Falla'!GL49)</f>
        <v>XXXX</v>
      </c>
      <c r="Q49" s="461" t="str">
        <f>IF('[1]Tasa de Falla'!GM49=0,"",'[1]Tasa de Falla'!GM49)</f>
        <v>XXXX</v>
      </c>
      <c r="R49" s="461" t="str">
        <f>IF('[1]Tasa de Falla'!GN49=0,"",'[1]Tasa de Falla'!GN49)</f>
        <v>XXXX</v>
      </c>
      <c r="S49" s="467"/>
      <c r="T49" s="468"/>
    </row>
    <row r="50" spans="2:20" s="456" customFormat="1" ht="19.5" customHeight="1">
      <c r="B50" s="457"/>
      <c r="C50" s="469">
        <f>'[1]Tasa de Falla'!C50</f>
        <v>34</v>
      </c>
      <c r="D50" s="472" t="str">
        <f>'[1]Tasa de Falla'!D50</f>
        <v>SAN PEDRO JUJUY - LIBERTADOR NOA.</v>
      </c>
      <c r="E50" s="472">
        <f>'[1]Tasa de Falla'!E50</f>
        <v>132</v>
      </c>
      <c r="F50" s="473">
        <f>'[1]Tasa de Falla'!F50</f>
        <v>49</v>
      </c>
      <c r="G50" s="461">
        <f>IF('[1]Tasa de Falla'!GC50=0,"",'[1]Tasa de Falla'!GC50)</f>
      </c>
      <c r="H50" s="461">
        <f>IF('[1]Tasa de Falla'!GD50=0,"",'[1]Tasa de Falla'!GD50)</f>
      </c>
      <c r="I50" s="461">
        <f>IF('[1]Tasa de Falla'!GE50=0,"",'[1]Tasa de Falla'!GE50)</f>
      </c>
      <c r="J50" s="461">
        <f>IF('[1]Tasa de Falla'!GF50=0,"",'[1]Tasa de Falla'!GF50)</f>
      </c>
      <c r="K50" s="461">
        <f>IF('[1]Tasa de Falla'!GG50=0,"",'[1]Tasa de Falla'!GG50)</f>
        <v>3</v>
      </c>
      <c r="L50" s="461">
        <f>IF('[1]Tasa de Falla'!GH50=0,"",'[1]Tasa de Falla'!GH50)</f>
      </c>
      <c r="M50" s="461">
        <f>IF('[1]Tasa de Falla'!GI50=0,"",'[1]Tasa de Falla'!GI50)</f>
      </c>
      <c r="N50" s="461">
        <f>IF('[1]Tasa de Falla'!GJ50=0,"",'[1]Tasa de Falla'!GJ50)</f>
        <v>1</v>
      </c>
      <c r="O50" s="461">
        <f>IF('[1]Tasa de Falla'!GK50=0,"",'[1]Tasa de Falla'!GK50)</f>
        <v>1</v>
      </c>
      <c r="P50" s="461">
        <f>IF('[1]Tasa de Falla'!GL50=0,"",'[1]Tasa de Falla'!GL50)</f>
        <v>1</v>
      </c>
      <c r="Q50" s="461">
        <f>IF('[1]Tasa de Falla'!GM50=0,"",'[1]Tasa de Falla'!GM50)</f>
      </c>
      <c r="R50" s="461">
        <f>IF('[1]Tasa de Falla'!GN50=0,"",'[1]Tasa de Falla'!GN50)</f>
      </c>
      <c r="S50" s="467"/>
      <c r="T50" s="468"/>
    </row>
    <row r="51" spans="2:20" s="456" customFormat="1" ht="19.5" customHeight="1">
      <c r="B51" s="457"/>
      <c r="C51" s="464">
        <f>'[1]Tasa de Falla'!C51</f>
        <v>35</v>
      </c>
      <c r="D51" s="465" t="str">
        <f>'[1]Tasa de Falla'!D51</f>
        <v>TUCUMAN NORTE - EL BRACHO</v>
      </c>
      <c r="E51" s="465">
        <f>'[1]Tasa de Falla'!E51</f>
        <v>132</v>
      </c>
      <c r="F51" s="466">
        <f>'[1]Tasa de Falla'!F51</f>
        <v>31.5</v>
      </c>
      <c r="G51" s="461">
        <f>IF('[1]Tasa de Falla'!GC51=0,"",'[1]Tasa de Falla'!GC51)</f>
      </c>
      <c r="H51" s="461">
        <f>IF('[1]Tasa de Falla'!GD51=0,"",'[1]Tasa de Falla'!GD51)</f>
      </c>
      <c r="I51" s="461">
        <f>IF('[1]Tasa de Falla'!GE51=0,"",'[1]Tasa de Falla'!GE51)</f>
        <v>1</v>
      </c>
      <c r="J51" s="461">
        <f>IF('[1]Tasa de Falla'!GF51=0,"",'[1]Tasa de Falla'!GF51)</f>
      </c>
      <c r="K51" s="461">
        <f>IF('[1]Tasa de Falla'!GG51=0,"",'[1]Tasa de Falla'!GG51)</f>
      </c>
      <c r="L51" s="461">
        <f>IF('[1]Tasa de Falla'!GH51=0,"",'[1]Tasa de Falla'!GH51)</f>
      </c>
      <c r="M51" s="461">
        <f>IF('[1]Tasa de Falla'!GI51=0,"",'[1]Tasa de Falla'!GI51)</f>
      </c>
      <c r="N51" s="461">
        <f>IF('[1]Tasa de Falla'!GJ51=0,"",'[1]Tasa de Falla'!GJ51)</f>
      </c>
      <c r="O51" s="461">
        <f>IF('[1]Tasa de Falla'!GK51=0,"",'[1]Tasa de Falla'!GK51)</f>
      </c>
      <c r="P51" s="461">
        <f>IF('[1]Tasa de Falla'!GL51=0,"",'[1]Tasa de Falla'!GL51)</f>
      </c>
      <c r="Q51" s="461">
        <f>IF('[1]Tasa de Falla'!GM51=0,"",'[1]Tasa de Falla'!GM51)</f>
      </c>
      <c r="R51" s="461">
        <f>IF('[1]Tasa de Falla'!GN51=0,"",'[1]Tasa de Falla'!GN51)</f>
      </c>
      <c r="S51" s="467"/>
      <c r="T51" s="468"/>
    </row>
    <row r="52" spans="2:20" s="456" customFormat="1" ht="19.5" customHeight="1">
      <c r="B52" s="457"/>
      <c r="C52" s="469">
        <f>'[1]Tasa de Falla'!C52</f>
        <v>36</v>
      </c>
      <c r="D52" s="472" t="str">
        <f>'[1]Tasa de Falla'!D52</f>
        <v>C.H. EL CADILLAL - TUCUMAN NORTE</v>
      </c>
      <c r="E52" s="472">
        <f>'[1]Tasa de Falla'!E52</f>
        <v>132</v>
      </c>
      <c r="F52" s="473">
        <f>'[1]Tasa de Falla'!F52</f>
        <v>21.78</v>
      </c>
      <c r="G52" s="461">
        <f>IF('[1]Tasa de Falla'!GC52=0,"",'[1]Tasa de Falla'!GC52)</f>
      </c>
      <c r="H52" s="461">
        <f>IF('[1]Tasa de Falla'!GD52=0,"",'[1]Tasa de Falla'!GD52)</f>
      </c>
      <c r="I52" s="461">
        <f>IF('[1]Tasa de Falla'!GE52=0,"",'[1]Tasa de Falla'!GE52)</f>
      </c>
      <c r="J52" s="461">
        <f>IF('[1]Tasa de Falla'!GF52=0,"",'[1]Tasa de Falla'!GF52)</f>
      </c>
      <c r="K52" s="461">
        <f>IF('[1]Tasa de Falla'!GG52=0,"",'[1]Tasa de Falla'!GG52)</f>
      </c>
      <c r="L52" s="461">
        <f>IF('[1]Tasa de Falla'!GH52=0,"",'[1]Tasa de Falla'!GH52)</f>
      </c>
      <c r="M52" s="461">
        <f>IF('[1]Tasa de Falla'!GI52=0,"",'[1]Tasa de Falla'!GI52)</f>
      </c>
      <c r="N52" s="461">
        <f>IF('[1]Tasa de Falla'!GJ52=0,"",'[1]Tasa de Falla'!GJ52)</f>
      </c>
      <c r="O52" s="461">
        <f>IF('[1]Tasa de Falla'!GK52=0,"",'[1]Tasa de Falla'!GK52)</f>
      </c>
      <c r="P52" s="461">
        <f>IF('[1]Tasa de Falla'!GL52=0,"",'[1]Tasa de Falla'!GL52)</f>
      </c>
      <c r="Q52" s="461">
        <f>IF('[1]Tasa de Falla'!GM52=0,"",'[1]Tasa de Falla'!GM52)</f>
      </c>
      <c r="R52" s="461">
        <f>IF('[1]Tasa de Falla'!GN52=0,"",'[1]Tasa de Falla'!GN52)</f>
      </c>
      <c r="S52" s="467"/>
      <c r="T52" s="468"/>
    </row>
    <row r="53" spans="2:20" s="456" customFormat="1" ht="18">
      <c r="B53" s="457"/>
      <c r="C53" s="464">
        <f>'[1]Tasa de Falla'!C53</f>
        <v>37</v>
      </c>
      <c r="D53" s="465" t="str">
        <f>'[1]Tasa de Falla'!D53</f>
        <v>TUCUMAN NORTE - CABRA CORRAL</v>
      </c>
      <c r="E53" s="465">
        <f>'[1]Tasa de Falla'!E53</f>
        <v>132</v>
      </c>
      <c r="F53" s="466">
        <f>'[1]Tasa de Falla'!F53</f>
        <v>190</v>
      </c>
      <c r="G53" s="461" t="str">
        <f>IF('[1]Tasa de Falla'!GC53=0,"",'[1]Tasa de Falla'!GC53)</f>
        <v>XXXX</v>
      </c>
      <c r="H53" s="461" t="str">
        <f>IF('[1]Tasa de Falla'!GD53=0,"",'[1]Tasa de Falla'!GD53)</f>
        <v>XXXX</v>
      </c>
      <c r="I53" s="461" t="str">
        <f>IF('[1]Tasa de Falla'!GE53=0,"",'[1]Tasa de Falla'!GE53)</f>
        <v>XXXX</v>
      </c>
      <c r="J53" s="461" t="str">
        <f>IF('[1]Tasa de Falla'!GF53=0,"",'[1]Tasa de Falla'!GF53)</f>
        <v>XXXX</v>
      </c>
      <c r="K53" s="461" t="str">
        <f>IF('[1]Tasa de Falla'!GG53=0,"",'[1]Tasa de Falla'!GG53)</f>
        <v>XXXX</v>
      </c>
      <c r="L53" s="461" t="str">
        <f>IF('[1]Tasa de Falla'!GH53=0,"",'[1]Tasa de Falla'!GH53)</f>
        <v>XXXX</v>
      </c>
      <c r="M53" s="461" t="str">
        <f>IF('[1]Tasa de Falla'!GI53=0,"",'[1]Tasa de Falla'!GI53)</f>
        <v>XXXX</v>
      </c>
      <c r="N53" s="461" t="str">
        <f>IF('[1]Tasa de Falla'!GJ53=0,"",'[1]Tasa de Falla'!GJ53)</f>
        <v>XXXX</v>
      </c>
      <c r="O53" s="461" t="str">
        <f>IF('[1]Tasa de Falla'!GK53=0,"",'[1]Tasa de Falla'!GK53)</f>
        <v>XXXX</v>
      </c>
      <c r="P53" s="461" t="str">
        <f>IF('[1]Tasa de Falla'!GL53=0,"",'[1]Tasa de Falla'!GL53)</f>
        <v>XXXX</v>
      </c>
      <c r="Q53" s="461" t="str">
        <f>IF('[1]Tasa de Falla'!GM53=0,"",'[1]Tasa de Falla'!GM53)</f>
        <v>XXXX</v>
      </c>
      <c r="R53" s="461" t="str">
        <f>IF('[1]Tasa de Falla'!GN53=0,"",'[1]Tasa de Falla'!GN53)</f>
        <v>XXXX</v>
      </c>
      <c r="S53" s="467"/>
      <c r="T53" s="468"/>
    </row>
    <row r="54" spans="2:20" s="456" customFormat="1" ht="19.5" customHeight="1">
      <c r="B54" s="457"/>
      <c r="C54" s="464">
        <f>'[1]Tasa de Falla'!C54</f>
        <v>38</v>
      </c>
      <c r="D54" s="465" t="str">
        <f>'[1]Tasa de Falla'!D54</f>
        <v>METAN - TUCUMAN NORTE</v>
      </c>
      <c r="E54" s="465">
        <f>'[1]Tasa de Falla'!E54</f>
        <v>132</v>
      </c>
      <c r="F54" s="466">
        <f>'[1]Tasa de Falla'!F54</f>
        <v>155.6</v>
      </c>
      <c r="G54" s="461">
        <f>IF('[1]Tasa de Falla'!GC54=0,"",'[1]Tasa de Falla'!GC54)</f>
      </c>
      <c r="H54" s="461">
        <f>IF('[1]Tasa de Falla'!GD54=0,"",'[1]Tasa de Falla'!GD54)</f>
      </c>
      <c r="I54" s="461">
        <f>IF('[1]Tasa de Falla'!GE54=0,"",'[1]Tasa de Falla'!GE54)</f>
        <v>1</v>
      </c>
      <c r="J54" s="461">
        <f>IF('[1]Tasa de Falla'!GF54=0,"",'[1]Tasa de Falla'!GF54)</f>
      </c>
      <c r="K54" s="461">
        <f>IF('[1]Tasa de Falla'!GG54=0,"",'[1]Tasa de Falla'!GG54)</f>
      </c>
      <c r="L54" s="461">
        <f>IF('[1]Tasa de Falla'!GH54=0,"",'[1]Tasa de Falla'!GH54)</f>
      </c>
      <c r="M54" s="461">
        <f>IF('[1]Tasa de Falla'!GI54=0,"",'[1]Tasa de Falla'!GI54)</f>
      </c>
      <c r="N54" s="461">
        <f>IF('[1]Tasa de Falla'!GJ54=0,"",'[1]Tasa de Falla'!GJ54)</f>
      </c>
      <c r="O54" s="461">
        <f>IF('[1]Tasa de Falla'!GK54=0,"",'[1]Tasa de Falla'!GK54)</f>
      </c>
      <c r="P54" s="461">
        <f>IF('[1]Tasa de Falla'!GL54=0,"",'[1]Tasa de Falla'!GL54)</f>
      </c>
      <c r="Q54" s="461">
        <f>IF('[1]Tasa de Falla'!GM54=0,"",'[1]Tasa de Falla'!GM54)</f>
      </c>
      <c r="R54" s="461">
        <f>IF('[1]Tasa de Falla'!GN54=0,"",'[1]Tasa de Falla'!GN54)</f>
        <v>1</v>
      </c>
      <c r="S54" s="467"/>
      <c r="T54" s="468"/>
    </row>
    <row r="55" spans="2:20" s="456" customFormat="1" ht="19.5" customHeight="1">
      <c r="B55" s="457"/>
      <c r="C55" s="469">
        <f>'[1]Tasa de Falla'!C55</f>
        <v>39</v>
      </c>
      <c r="D55" s="470" t="str">
        <f>'[1]Tasa de Falla'!D55</f>
        <v>SARMIENTO - TUCUMAN NORTE (O.F.)</v>
      </c>
      <c r="E55" s="470">
        <f>'[1]Tasa de Falla'!E55</f>
        <v>132</v>
      </c>
      <c r="F55" s="471">
        <f>'[1]Tasa de Falla'!F55</f>
        <v>3.3</v>
      </c>
      <c r="G55" s="461">
        <f>IF('[1]Tasa de Falla'!GC55=0,"",'[1]Tasa de Falla'!GC55)</f>
      </c>
      <c r="H55" s="461">
        <f>IF('[1]Tasa de Falla'!GD55=0,"",'[1]Tasa de Falla'!GD55)</f>
      </c>
      <c r="I55" s="461">
        <f>IF('[1]Tasa de Falla'!GE55=0,"",'[1]Tasa de Falla'!GE55)</f>
      </c>
      <c r="J55" s="461">
        <f>IF('[1]Tasa de Falla'!GF55=0,"",'[1]Tasa de Falla'!GF55)</f>
      </c>
      <c r="K55" s="461">
        <f>IF('[1]Tasa de Falla'!GG55=0,"",'[1]Tasa de Falla'!GG55)</f>
      </c>
      <c r="L55" s="461">
        <f>IF('[1]Tasa de Falla'!GH55=0,"",'[1]Tasa de Falla'!GH55)</f>
      </c>
      <c r="M55" s="461">
        <f>IF('[1]Tasa de Falla'!GI55=0,"",'[1]Tasa de Falla'!GI55)</f>
      </c>
      <c r="N55" s="461">
        <f>IF('[1]Tasa de Falla'!GJ55=0,"",'[1]Tasa de Falla'!GJ55)</f>
      </c>
      <c r="O55" s="461">
        <f>IF('[1]Tasa de Falla'!GK55=0,"",'[1]Tasa de Falla'!GK55)</f>
      </c>
      <c r="P55" s="461">
        <f>IF('[1]Tasa de Falla'!GL55=0,"",'[1]Tasa de Falla'!GL55)</f>
      </c>
      <c r="Q55" s="461">
        <f>IF('[1]Tasa de Falla'!GM55=0,"",'[1]Tasa de Falla'!GM55)</f>
      </c>
      <c r="R55" s="461">
        <f>IF('[1]Tasa de Falla'!GN55=0,"",'[1]Tasa de Falla'!GN55)</f>
      </c>
      <c r="S55" s="467"/>
      <c r="T55" s="468"/>
    </row>
    <row r="56" spans="2:20" s="456" customFormat="1" ht="19.5" customHeight="1">
      <c r="B56" s="457"/>
      <c r="C56" s="464">
        <f>'[1]Tasa de Falla'!C56</f>
        <v>40</v>
      </c>
      <c r="D56" s="465" t="str">
        <f>'[1]Tasa de Falla'!D56</f>
        <v>TUCUMAN OESTE - TUCUMAN NORTE</v>
      </c>
      <c r="E56" s="465">
        <f>'[1]Tasa de Falla'!E56</f>
        <v>132</v>
      </c>
      <c r="F56" s="466">
        <f>'[1]Tasa de Falla'!F56</f>
        <v>7</v>
      </c>
      <c r="G56" s="461">
        <f>IF('[1]Tasa de Falla'!GC56=0,"",'[1]Tasa de Falla'!GC56)</f>
      </c>
      <c r="H56" s="461">
        <f>IF('[1]Tasa de Falla'!GD56=0,"",'[1]Tasa de Falla'!GD56)</f>
      </c>
      <c r="I56" s="461">
        <f>IF('[1]Tasa de Falla'!GE56=0,"",'[1]Tasa de Falla'!GE56)</f>
      </c>
      <c r="J56" s="461">
        <f>IF('[1]Tasa de Falla'!GF56=0,"",'[1]Tasa de Falla'!GF56)</f>
      </c>
      <c r="K56" s="461">
        <f>IF('[1]Tasa de Falla'!GG56=0,"",'[1]Tasa de Falla'!GG56)</f>
      </c>
      <c r="L56" s="461">
        <f>IF('[1]Tasa de Falla'!GH56=0,"",'[1]Tasa de Falla'!GH56)</f>
      </c>
      <c r="M56" s="461">
        <f>IF('[1]Tasa de Falla'!GI56=0,"",'[1]Tasa de Falla'!GI56)</f>
      </c>
      <c r="N56" s="461">
        <f>IF('[1]Tasa de Falla'!GJ56=0,"",'[1]Tasa de Falla'!GJ56)</f>
      </c>
      <c r="O56" s="461">
        <f>IF('[1]Tasa de Falla'!GK56=0,"",'[1]Tasa de Falla'!GK56)</f>
      </c>
      <c r="P56" s="461">
        <f>IF('[1]Tasa de Falla'!GL56=0,"",'[1]Tasa de Falla'!GL56)</f>
      </c>
      <c r="Q56" s="461">
        <f>IF('[1]Tasa de Falla'!GM56=0,"",'[1]Tasa de Falla'!GM56)</f>
      </c>
      <c r="R56" s="461">
        <f>IF('[1]Tasa de Falla'!GN56=0,"",'[1]Tasa de Falla'!GN56)</f>
      </c>
      <c r="S56" s="467"/>
      <c r="T56" s="468"/>
    </row>
    <row r="57" spans="2:20" s="456" customFormat="1" ht="19.5" customHeight="1">
      <c r="B57" s="457"/>
      <c r="C57" s="469">
        <f>'[1]Tasa de Falla'!C57</f>
        <v>41</v>
      </c>
      <c r="D57" s="470" t="str">
        <f>'[1]Tasa de Falla'!D57</f>
        <v>AGUILARES - VILLA QUINTEROS</v>
      </c>
      <c r="E57" s="470">
        <f>'[1]Tasa de Falla'!E57</f>
        <v>132</v>
      </c>
      <c r="F57" s="471">
        <f>'[1]Tasa de Falla'!F57</f>
        <v>21</v>
      </c>
      <c r="G57" s="461">
        <f>IF('[1]Tasa de Falla'!GC57=0,"",'[1]Tasa de Falla'!GC57)</f>
      </c>
      <c r="H57" s="461">
        <f>IF('[1]Tasa de Falla'!GD57=0,"",'[1]Tasa de Falla'!GD57)</f>
      </c>
      <c r="I57" s="461">
        <f>IF('[1]Tasa de Falla'!GE57=0,"",'[1]Tasa de Falla'!GE57)</f>
      </c>
      <c r="J57" s="461">
        <f>IF('[1]Tasa de Falla'!GF57=0,"",'[1]Tasa de Falla'!GF57)</f>
      </c>
      <c r="K57" s="461">
        <f>IF('[1]Tasa de Falla'!GG57=0,"",'[1]Tasa de Falla'!GG57)</f>
      </c>
      <c r="L57" s="461">
        <f>IF('[1]Tasa de Falla'!GH57=0,"",'[1]Tasa de Falla'!GH57)</f>
      </c>
      <c r="M57" s="461">
        <f>IF('[1]Tasa de Falla'!GI57=0,"",'[1]Tasa de Falla'!GI57)</f>
      </c>
      <c r="N57" s="461">
        <f>IF('[1]Tasa de Falla'!GJ57=0,"",'[1]Tasa de Falla'!GJ57)</f>
      </c>
      <c r="O57" s="461">
        <f>IF('[1]Tasa de Falla'!GK57=0,"",'[1]Tasa de Falla'!GK57)</f>
      </c>
      <c r="P57" s="461">
        <f>IF('[1]Tasa de Falla'!GL57=0,"",'[1]Tasa de Falla'!GL57)</f>
      </c>
      <c r="Q57" s="461">
        <f>IF('[1]Tasa de Falla'!GM57=0,"",'[1]Tasa de Falla'!GM57)</f>
      </c>
      <c r="R57" s="461">
        <f>IF('[1]Tasa de Falla'!GN57=0,"",'[1]Tasa de Falla'!GN57)</f>
      </c>
      <c r="S57" s="467"/>
      <c r="T57" s="468"/>
    </row>
    <row r="58" spans="2:20" s="456" customFormat="1" ht="19.5" customHeight="1">
      <c r="B58" s="457"/>
      <c r="C58" s="464">
        <f>'[1]Tasa de Falla'!C58</f>
        <v>42</v>
      </c>
      <c r="D58" s="465" t="str">
        <f>'[1]Tasa de Falla'!D58</f>
        <v>C.H. PUEBLO VIEJO - VILLA QUINTEROS </v>
      </c>
      <c r="E58" s="465">
        <f>'[1]Tasa de Falla'!E58</f>
        <v>132</v>
      </c>
      <c r="F58" s="466">
        <f>'[1]Tasa de Falla'!F58</f>
        <v>24.5</v>
      </c>
      <c r="G58" s="461">
        <f>IF('[1]Tasa de Falla'!GC58=0,"",'[1]Tasa de Falla'!GC58)</f>
      </c>
      <c r="H58" s="461">
        <f>IF('[1]Tasa de Falla'!GD58=0,"",'[1]Tasa de Falla'!GD58)</f>
      </c>
      <c r="I58" s="461">
        <f>IF('[1]Tasa de Falla'!GE58=0,"",'[1]Tasa de Falla'!GE58)</f>
      </c>
      <c r="J58" s="461">
        <f>IF('[1]Tasa de Falla'!GF58=0,"",'[1]Tasa de Falla'!GF58)</f>
      </c>
      <c r="K58" s="461">
        <f>IF('[1]Tasa de Falla'!GG58=0,"",'[1]Tasa de Falla'!GG58)</f>
        <v>1</v>
      </c>
      <c r="L58" s="461">
        <f>IF('[1]Tasa de Falla'!GH58=0,"",'[1]Tasa de Falla'!GH58)</f>
      </c>
      <c r="M58" s="461">
        <f>IF('[1]Tasa de Falla'!GI58=0,"",'[1]Tasa de Falla'!GI58)</f>
      </c>
      <c r="N58" s="461">
        <f>IF('[1]Tasa de Falla'!GJ58=0,"",'[1]Tasa de Falla'!GJ58)</f>
      </c>
      <c r="O58" s="461">
        <f>IF('[1]Tasa de Falla'!GK58=0,"",'[1]Tasa de Falla'!GK58)</f>
        <v>1</v>
      </c>
      <c r="P58" s="461">
        <f>IF('[1]Tasa de Falla'!GL58=0,"",'[1]Tasa de Falla'!GL58)</f>
      </c>
      <c r="Q58" s="461">
        <f>IF('[1]Tasa de Falla'!GM58=0,"",'[1]Tasa de Falla'!GM58)</f>
      </c>
      <c r="R58" s="461">
        <f>IF('[1]Tasa de Falla'!GN58=0,"",'[1]Tasa de Falla'!GN58)</f>
      </c>
      <c r="S58" s="467"/>
      <c r="T58" s="468"/>
    </row>
    <row r="59" spans="2:20" s="456" customFormat="1" ht="19.5" customHeight="1">
      <c r="B59" s="457"/>
      <c r="C59" s="469">
        <f>'[1]Tasa de Falla'!C59</f>
        <v>43</v>
      </c>
      <c r="D59" s="470" t="str">
        <f>'[1]Tasa de Falla'!D59</f>
        <v>C.H. RIO HONDO - VILLA QUINTEROS</v>
      </c>
      <c r="E59" s="470">
        <f>'[1]Tasa de Falla'!E59</f>
        <v>132</v>
      </c>
      <c r="F59" s="471">
        <f>'[1]Tasa de Falla'!F59</f>
        <v>75.4</v>
      </c>
      <c r="G59" s="461">
        <f>IF('[1]Tasa de Falla'!GC59=0,"",'[1]Tasa de Falla'!GC59)</f>
      </c>
      <c r="H59" s="461">
        <f>IF('[1]Tasa de Falla'!GD59=0,"",'[1]Tasa de Falla'!GD59)</f>
      </c>
      <c r="I59" s="461">
        <f>IF('[1]Tasa de Falla'!GE59=0,"",'[1]Tasa de Falla'!GE59)</f>
      </c>
      <c r="J59" s="461">
        <f>IF('[1]Tasa de Falla'!GF59=0,"",'[1]Tasa de Falla'!GF59)</f>
      </c>
      <c r="K59" s="461">
        <f>IF('[1]Tasa de Falla'!GG59=0,"",'[1]Tasa de Falla'!GG59)</f>
        <v>1</v>
      </c>
      <c r="L59" s="461">
        <f>IF('[1]Tasa de Falla'!GH59=0,"",'[1]Tasa de Falla'!GH59)</f>
      </c>
      <c r="M59" s="461">
        <f>IF('[1]Tasa de Falla'!GI59=0,"",'[1]Tasa de Falla'!GI59)</f>
      </c>
      <c r="N59" s="461">
        <f>IF('[1]Tasa de Falla'!GJ59=0,"",'[1]Tasa de Falla'!GJ59)</f>
      </c>
      <c r="O59" s="461">
        <f>IF('[1]Tasa de Falla'!GK59=0,"",'[1]Tasa de Falla'!GK59)</f>
      </c>
      <c r="P59" s="461">
        <f>IF('[1]Tasa de Falla'!GL59=0,"",'[1]Tasa de Falla'!GL59)</f>
        <v>2</v>
      </c>
      <c r="Q59" s="461">
        <f>IF('[1]Tasa de Falla'!GM59=0,"",'[1]Tasa de Falla'!GM59)</f>
      </c>
      <c r="R59" s="461">
        <f>IF('[1]Tasa de Falla'!GN59=0,"",'[1]Tasa de Falla'!GN59)</f>
      </c>
      <c r="S59" s="467"/>
      <c r="T59" s="468"/>
    </row>
    <row r="60" spans="2:20" s="456" customFormat="1" ht="19.5" customHeight="1">
      <c r="B60" s="457"/>
      <c r="C60" s="464">
        <f>'[1]Tasa de Falla'!C60</f>
        <v>44</v>
      </c>
      <c r="D60" s="465" t="str">
        <f>'[1]Tasa de Falla'!D60</f>
        <v>C.H. RIO HONDO - SANTIAGO CENTRO</v>
      </c>
      <c r="E60" s="465">
        <f>'[1]Tasa de Falla'!E60</f>
        <v>132</v>
      </c>
      <c r="F60" s="466">
        <f>'[1]Tasa de Falla'!F60</f>
        <v>79</v>
      </c>
      <c r="G60" s="461" t="str">
        <f>IF('[1]Tasa de Falla'!GC60=0,"",'[1]Tasa de Falla'!GC60)</f>
        <v>XXXX</v>
      </c>
      <c r="H60" s="461" t="str">
        <f>IF('[1]Tasa de Falla'!GD60=0,"",'[1]Tasa de Falla'!GD60)</f>
        <v>XXXX</v>
      </c>
      <c r="I60" s="461" t="str">
        <f>IF('[1]Tasa de Falla'!GE60=0,"",'[1]Tasa de Falla'!GE60)</f>
        <v>XXXX</v>
      </c>
      <c r="J60" s="461" t="str">
        <f>IF('[1]Tasa de Falla'!GF60=0,"",'[1]Tasa de Falla'!GF60)</f>
        <v>XXXX</v>
      </c>
      <c r="K60" s="461" t="str">
        <f>IF('[1]Tasa de Falla'!GG60=0,"",'[1]Tasa de Falla'!GG60)</f>
        <v>XXXX</v>
      </c>
      <c r="L60" s="461" t="str">
        <f>IF('[1]Tasa de Falla'!GH60=0,"",'[1]Tasa de Falla'!GH60)</f>
        <v>XXXX</v>
      </c>
      <c r="M60" s="461" t="str">
        <f>IF('[1]Tasa de Falla'!GI60=0,"",'[1]Tasa de Falla'!GI60)</f>
        <v>XXXX</v>
      </c>
      <c r="N60" s="461" t="str">
        <f>IF('[1]Tasa de Falla'!GJ60=0,"",'[1]Tasa de Falla'!GJ60)</f>
        <v>XXXX</v>
      </c>
      <c r="O60" s="461" t="str">
        <f>IF('[1]Tasa de Falla'!GK60=0,"",'[1]Tasa de Falla'!GK60)</f>
        <v>XXXX</v>
      </c>
      <c r="P60" s="461" t="str">
        <f>IF('[1]Tasa de Falla'!GL60=0,"",'[1]Tasa de Falla'!GL60)</f>
        <v>XXXX</v>
      </c>
      <c r="Q60" s="461" t="str">
        <f>IF('[1]Tasa de Falla'!GM60=0,"",'[1]Tasa de Falla'!GM60)</f>
        <v>XXXX</v>
      </c>
      <c r="R60" s="461" t="str">
        <f>IF('[1]Tasa de Falla'!GN60=0,"",'[1]Tasa de Falla'!GN60)</f>
        <v>XXXX</v>
      </c>
      <c r="S60" s="467"/>
      <c r="T60" s="468"/>
    </row>
    <row r="61" spans="2:20" s="456" customFormat="1" ht="19.5" customHeight="1">
      <c r="B61" s="457"/>
      <c r="C61" s="469">
        <f>'[1]Tasa de Falla'!C61</f>
        <v>45</v>
      </c>
      <c r="D61" s="470" t="str">
        <f>'[1]Tasa de Falla'!D61</f>
        <v>C.H. RIO HONDO - EL BRACHO</v>
      </c>
      <c r="E61" s="470">
        <f>'[1]Tasa de Falla'!E61</f>
        <v>132</v>
      </c>
      <c r="F61" s="471">
        <f>'[1]Tasa de Falla'!F61</f>
        <v>80.66</v>
      </c>
      <c r="G61" s="461">
        <f>IF('[1]Tasa de Falla'!GC61=0,"",'[1]Tasa de Falla'!GC61)</f>
      </c>
      <c r="H61" s="461">
        <f>IF('[1]Tasa de Falla'!GD61=0,"",'[1]Tasa de Falla'!GD61)</f>
      </c>
      <c r="I61" s="461">
        <f>IF('[1]Tasa de Falla'!GE61=0,"",'[1]Tasa de Falla'!GE61)</f>
      </c>
      <c r="J61" s="461">
        <f>IF('[1]Tasa de Falla'!GF61=0,"",'[1]Tasa de Falla'!GF61)</f>
        <v>1</v>
      </c>
      <c r="K61" s="461">
        <f>IF('[1]Tasa de Falla'!GG61=0,"",'[1]Tasa de Falla'!GG61)</f>
        <v>2</v>
      </c>
      <c r="L61" s="461">
        <f>IF('[1]Tasa de Falla'!GH61=0,"",'[1]Tasa de Falla'!GH61)</f>
      </c>
      <c r="M61" s="461">
        <f>IF('[1]Tasa de Falla'!GI61=0,"",'[1]Tasa de Falla'!GI61)</f>
      </c>
      <c r="N61" s="461">
        <f>IF('[1]Tasa de Falla'!GJ61=0,"",'[1]Tasa de Falla'!GJ61)</f>
      </c>
      <c r="O61" s="461">
        <f>IF('[1]Tasa de Falla'!GK61=0,"",'[1]Tasa de Falla'!GK61)</f>
      </c>
      <c r="P61" s="461">
        <f>IF('[1]Tasa de Falla'!GL61=0,"",'[1]Tasa de Falla'!GL61)</f>
      </c>
      <c r="Q61" s="461">
        <f>IF('[1]Tasa de Falla'!GM61=0,"",'[1]Tasa de Falla'!GM61)</f>
      </c>
      <c r="R61" s="461">
        <f>IF('[1]Tasa de Falla'!GN61=0,"",'[1]Tasa de Falla'!GN61)</f>
      </c>
      <c r="S61" s="467"/>
      <c r="T61" s="468"/>
    </row>
    <row r="62" spans="2:20" s="456" customFormat="1" ht="19.5" customHeight="1">
      <c r="B62" s="457"/>
      <c r="C62" s="464">
        <f>'[1]Tasa de Falla'!C62</f>
        <v>46</v>
      </c>
      <c r="D62" s="465" t="str">
        <f>'[1]Tasa de Falla'!D62</f>
        <v>SALTA SUR - SALTA NORTE</v>
      </c>
      <c r="E62" s="465">
        <f>'[1]Tasa de Falla'!E62</f>
        <v>132</v>
      </c>
      <c r="F62" s="466">
        <f>'[1]Tasa de Falla'!F62</f>
        <v>10</v>
      </c>
      <c r="G62" s="461">
        <f>IF('[1]Tasa de Falla'!GC62=0,"",'[1]Tasa de Falla'!GC62)</f>
      </c>
      <c r="H62" s="461">
        <f>IF('[1]Tasa de Falla'!GD62=0,"",'[1]Tasa de Falla'!GD62)</f>
      </c>
      <c r="I62" s="461">
        <f>IF('[1]Tasa de Falla'!GE62=0,"",'[1]Tasa de Falla'!GE62)</f>
      </c>
      <c r="J62" s="461">
        <f>IF('[1]Tasa de Falla'!GF62=0,"",'[1]Tasa de Falla'!GF62)</f>
      </c>
      <c r="K62" s="461">
        <f>IF('[1]Tasa de Falla'!GG62=0,"",'[1]Tasa de Falla'!GG62)</f>
      </c>
      <c r="L62" s="461">
        <f>IF('[1]Tasa de Falla'!GH62=0,"",'[1]Tasa de Falla'!GH62)</f>
      </c>
      <c r="M62" s="461">
        <f>IF('[1]Tasa de Falla'!GI62=0,"",'[1]Tasa de Falla'!GI62)</f>
      </c>
      <c r="N62" s="461">
        <f>IF('[1]Tasa de Falla'!GJ62=0,"",'[1]Tasa de Falla'!GJ62)</f>
      </c>
      <c r="O62" s="461">
        <f>IF('[1]Tasa de Falla'!GK62=0,"",'[1]Tasa de Falla'!GK62)</f>
      </c>
      <c r="P62" s="461">
        <f>IF('[1]Tasa de Falla'!GL62=0,"",'[1]Tasa de Falla'!GL62)</f>
      </c>
      <c r="Q62" s="461">
        <f>IF('[1]Tasa de Falla'!GM62=0,"",'[1]Tasa de Falla'!GM62)</f>
      </c>
      <c r="R62" s="461">
        <f>IF('[1]Tasa de Falla'!GN62=0,"",'[1]Tasa de Falla'!GN62)</f>
      </c>
      <c r="S62" s="467"/>
      <c r="T62" s="468"/>
    </row>
    <row r="63" spans="2:20" s="456" customFormat="1" ht="19.5" customHeight="1">
      <c r="B63" s="457"/>
      <c r="C63" s="469">
        <f>'[1]Tasa de Falla'!C63</f>
        <v>47</v>
      </c>
      <c r="D63" s="470" t="str">
        <f>'[1]Tasa de Falla'!D63</f>
        <v>PALPALA - JUJUY ESTE</v>
      </c>
      <c r="E63" s="470">
        <f>'[1]Tasa de Falla'!E63</f>
        <v>132</v>
      </c>
      <c r="F63" s="471">
        <f>'[1]Tasa de Falla'!F63</f>
        <v>12.25</v>
      </c>
      <c r="G63" s="461">
        <f>IF('[1]Tasa de Falla'!GC63=0,"",'[1]Tasa de Falla'!GC63)</f>
      </c>
      <c r="H63" s="461">
        <f>IF('[1]Tasa de Falla'!GD63=0,"",'[1]Tasa de Falla'!GD63)</f>
      </c>
      <c r="I63" s="461">
        <f>IF('[1]Tasa de Falla'!GE63=0,"",'[1]Tasa de Falla'!GE63)</f>
      </c>
      <c r="J63" s="461">
        <f>IF('[1]Tasa de Falla'!GF63=0,"",'[1]Tasa de Falla'!GF63)</f>
      </c>
      <c r="K63" s="461">
        <f>IF('[1]Tasa de Falla'!GG63=0,"",'[1]Tasa de Falla'!GG63)</f>
      </c>
      <c r="L63" s="461">
        <f>IF('[1]Tasa de Falla'!GH63=0,"",'[1]Tasa de Falla'!GH63)</f>
      </c>
      <c r="M63" s="461">
        <f>IF('[1]Tasa de Falla'!GI63=0,"",'[1]Tasa de Falla'!GI63)</f>
      </c>
      <c r="N63" s="461">
        <f>IF('[1]Tasa de Falla'!GJ63=0,"",'[1]Tasa de Falla'!GJ63)</f>
      </c>
      <c r="O63" s="461">
        <f>IF('[1]Tasa de Falla'!GK63=0,"",'[1]Tasa de Falla'!GK63)</f>
      </c>
      <c r="P63" s="461">
        <f>IF('[1]Tasa de Falla'!GL63=0,"",'[1]Tasa de Falla'!GL63)</f>
      </c>
      <c r="Q63" s="461">
        <f>IF('[1]Tasa de Falla'!GM63=0,"",'[1]Tasa de Falla'!GM63)</f>
      </c>
      <c r="R63" s="461">
        <f>IF('[1]Tasa de Falla'!GN63=0,"",'[1]Tasa de Falla'!GN63)</f>
      </c>
      <c r="S63" s="467"/>
      <c r="T63" s="468"/>
    </row>
    <row r="64" spans="2:20" s="456" customFormat="1" ht="19.5" customHeight="1">
      <c r="B64" s="457"/>
      <c r="C64" s="464">
        <f>'[1]Tasa de Falla'!C64</f>
        <v>48</v>
      </c>
      <c r="D64" s="465" t="str">
        <f>'[1]Tasa de Falla'!D64</f>
        <v>JUJUY ESTE - JUJUY SUR</v>
      </c>
      <c r="E64" s="465">
        <f>'[1]Tasa de Falla'!E64</f>
        <v>132</v>
      </c>
      <c r="F64" s="466">
        <f>'[1]Tasa de Falla'!F64</f>
        <v>4.25</v>
      </c>
      <c r="G64" s="461">
        <f>IF('[1]Tasa de Falla'!GC64=0,"",'[1]Tasa de Falla'!GC64)</f>
      </c>
      <c r="H64" s="461">
        <f>IF('[1]Tasa de Falla'!GD64=0,"",'[1]Tasa de Falla'!GD64)</f>
      </c>
      <c r="I64" s="461">
        <f>IF('[1]Tasa de Falla'!GE64=0,"",'[1]Tasa de Falla'!GE64)</f>
      </c>
      <c r="J64" s="461">
        <f>IF('[1]Tasa de Falla'!GF64=0,"",'[1]Tasa de Falla'!GF64)</f>
      </c>
      <c r="K64" s="461">
        <f>IF('[1]Tasa de Falla'!GG64=0,"",'[1]Tasa de Falla'!GG64)</f>
      </c>
      <c r="L64" s="461">
        <f>IF('[1]Tasa de Falla'!GH64=0,"",'[1]Tasa de Falla'!GH64)</f>
      </c>
      <c r="M64" s="461">
        <f>IF('[1]Tasa de Falla'!GI64=0,"",'[1]Tasa de Falla'!GI64)</f>
      </c>
      <c r="N64" s="461">
        <f>IF('[1]Tasa de Falla'!GJ64=0,"",'[1]Tasa de Falla'!GJ64)</f>
      </c>
      <c r="O64" s="461">
        <f>IF('[1]Tasa de Falla'!GK64=0,"",'[1]Tasa de Falla'!GK64)</f>
      </c>
      <c r="P64" s="461">
        <f>IF('[1]Tasa de Falla'!GL64=0,"",'[1]Tasa de Falla'!GL64)</f>
      </c>
      <c r="Q64" s="461">
        <f>IF('[1]Tasa de Falla'!GM64=0,"",'[1]Tasa de Falla'!GM64)</f>
      </c>
      <c r="R64" s="461">
        <f>IF('[1]Tasa de Falla'!GN64=0,"",'[1]Tasa de Falla'!GN64)</f>
      </c>
      <c r="S64" s="467"/>
      <c r="T64" s="468"/>
    </row>
    <row r="65" spans="2:20" s="456" customFormat="1" ht="18">
      <c r="B65" s="457"/>
      <c r="C65" s="469">
        <f>'[1]Tasa de Falla'!C65</f>
        <v>49</v>
      </c>
      <c r="D65" s="470" t="str">
        <f>'[1]Tasa de Falla'!D65</f>
        <v>CEVIL POZO - GUEMES</v>
      </c>
      <c r="E65" s="470">
        <f>'[1]Tasa de Falla'!E65</f>
        <v>132</v>
      </c>
      <c r="F65" s="471">
        <f>'[1]Tasa de Falla'!F65</f>
        <v>291</v>
      </c>
      <c r="G65" s="461" t="str">
        <f>IF('[1]Tasa de Falla'!GC65=0,"",'[1]Tasa de Falla'!GC65)</f>
        <v>XXXX</v>
      </c>
      <c r="H65" s="461" t="str">
        <f>IF('[1]Tasa de Falla'!GD65=0,"",'[1]Tasa de Falla'!GD65)</f>
        <v>XXXX</v>
      </c>
      <c r="I65" s="461" t="str">
        <f>IF('[1]Tasa de Falla'!GE65=0,"",'[1]Tasa de Falla'!GE65)</f>
        <v>XXXX</v>
      </c>
      <c r="J65" s="461" t="str">
        <f>IF('[1]Tasa de Falla'!GF65=0,"",'[1]Tasa de Falla'!GF65)</f>
        <v>XXXX</v>
      </c>
      <c r="K65" s="461" t="str">
        <f>IF('[1]Tasa de Falla'!GG65=0,"",'[1]Tasa de Falla'!GG65)</f>
        <v>XXXX</v>
      </c>
      <c r="L65" s="461" t="str">
        <f>IF('[1]Tasa de Falla'!GH65=0,"",'[1]Tasa de Falla'!GH65)</f>
        <v>XXXX</v>
      </c>
      <c r="M65" s="461" t="str">
        <f>IF('[1]Tasa de Falla'!GI65=0,"",'[1]Tasa de Falla'!GI65)</f>
        <v>XXXX</v>
      </c>
      <c r="N65" s="461" t="str">
        <f>IF('[1]Tasa de Falla'!GJ65=0,"",'[1]Tasa de Falla'!GJ65)</f>
        <v>XXXX</v>
      </c>
      <c r="O65" s="461" t="str">
        <f>IF('[1]Tasa de Falla'!GK65=0,"",'[1]Tasa de Falla'!GK65)</f>
        <v>XXXX</v>
      </c>
      <c r="P65" s="461" t="str">
        <f>IF('[1]Tasa de Falla'!GL65=0,"",'[1]Tasa de Falla'!GL65)</f>
        <v>XXXX</v>
      </c>
      <c r="Q65" s="461" t="str">
        <f>IF('[1]Tasa de Falla'!GM65=0,"",'[1]Tasa de Falla'!GM65)</f>
        <v>XXXX</v>
      </c>
      <c r="R65" s="461" t="str">
        <f>IF('[1]Tasa de Falla'!GN65=0,"",'[1]Tasa de Falla'!GN65)</f>
        <v>XXXX</v>
      </c>
      <c r="S65" s="467"/>
      <c r="T65" s="468"/>
    </row>
    <row r="66" spans="2:20" s="456" customFormat="1" ht="19.5" customHeight="1">
      <c r="B66" s="457"/>
      <c r="C66" s="469">
        <f>'[1]Tasa de Falla'!C66</f>
        <v>50</v>
      </c>
      <c r="D66" s="472" t="str">
        <f>'[1]Tasa de Falla'!D66</f>
        <v>CEVIL POZO - EL BRACHO</v>
      </c>
      <c r="E66" s="472">
        <f>'[1]Tasa de Falla'!E66</f>
        <v>132</v>
      </c>
      <c r="F66" s="473">
        <f>'[1]Tasa de Falla'!F66</f>
        <v>17</v>
      </c>
      <c r="G66" s="461">
        <f>IF('[1]Tasa de Falla'!GC66=0,"",'[1]Tasa de Falla'!GC66)</f>
      </c>
      <c r="H66" s="461">
        <f>IF('[1]Tasa de Falla'!GD66=0,"",'[1]Tasa de Falla'!GD66)</f>
      </c>
      <c r="I66" s="461">
        <f>IF('[1]Tasa de Falla'!GE66=0,"",'[1]Tasa de Falla'!GE66)</f>
      </c>
      <c r="J66" s="461">
        <f>IF('[1]Tasa de Falla'!GF66=0,"",'[1]Tasa de Falla'!GF66)</f>
      </c>
      <c r="K66" s="461">
        <f>IF('[1]Tasa de Falla'!GG66=0,"",'[1]Tasa de Falla'!GG66)</f>
      </c>
      <c r="L66" s="461">
        <f>IF('[1]Tasa de Falla'!GH66=0,"",'[1]Tasa de Falla'!GH66)</f>
      </c>
      <c r="M66" s="461">
        <f>IF('[1]Tasa de Falla'!GI66=0,"",'[1]Tasa de Falla'!GI66)</f>
      </c>
      <c r="N66" s="461">
        <f>IF('[1]Tasa de Falla'!GJ66=0,"",'[1]Tasa de Falla'!GJ66)</f>
      </c>
      <c r="O66" s="461">
        <f>IF('[1]Tasa de Falla'!GK66=0,"",'[1]Tasa de Falla'!GK66)</f>
      </c>
      <c r="P66" s="461">
        <f>IF('[1]Tasa de Falla'!GL66=0,"",'[1]Tasa de Falla'!GL66)</f>
      </c>
      <c r="Q66" s="461">
        <f>IF('[1]Tasa de Falla'!GM66=0,"",'[1]Tasa de Falla'!GM66)</f>
      </c>
      <c r="R66" s="461">
        <f>IF('[1]Tasa de Falla'!GN66=0,"",'[1]Tasa de Falla'!GN66)</f>
      </c>
      <c r="S66" s="467"/>
      <c r="T66" s="468"/>
    </row>
    <row r="67" spans="2:20" s="456" customFormat="1" ht="19.5" customHeight="1">
      <c r="B67" s="457"/>
      <c r="C67" s="464"/>
      <c r="D67" s="465"/>
      <c r="E67" s="465"/>
      <c r="F67" s="466"/>
      <c r="G67" s="461">
        <f>IF('[1]Tasa de Falla'!GC67=0,"",'[1]Tasa de Falla'!GC67)</f>
      </c>
      <c r="H67" s="461">
        <f>IF('[1]Tasa de Falla'!GD67=0,"",'[1]Tasa de Falla'!GD67)</f>
      </c>
      <c r="I67" s="461">
        <f>IF('[1]Tasa de Falla'!GE67=0,"",'[1]Tasa de Falla'!GE67)</f>
      </c>
      <c r="J67" s="461">
        <f>IF('[1]Tasa de Falla'!GF67=0,"",'[1]Tasa de Falla'!GF67)</f>
      </c>
      <c r="K67" s="461">
        <f>IF('[1]Tasa de Falla'!GG67=0,"",'[1]Tasa de Falla'!GG67)</f>
      </c>
      <c r="L67" s="461">
        <f>IF('[1]Tasa de Falla'!GH67=0,"",'[1]Tasa de Falla'!GH67)</f>
      </c>
      <c r="M67" s="461">
        <f>IF('[1]Tasa de Falla'!GI67=0,"",'[1]Tasa de Falla'!GI67)</f>
      </c>
      <c r="N67" s="461">
        <f>IF('[1]Tasa de Falla'!GJ67=0,"",'[1]Tasa de Falla'!GJ67)</f>
      </c>
      <c r="O67" s="461">
        <f>IF('[1]Tasa de Falla'!GK67=0,"",'[1]Tasa de Falla'!GK67)</f>
      </c>
      <c r="P67" s="461">
        <f>IF('[1]Tasa de Falla'!GL67=0,"",'[1]Tasa de Falla'!GL67)</f>
      </c>
      <c r="Q67" s="461">
        <f>IF('[1]Tasa de Falla'!GM67=0,"",'[1]Tasa de Falla'!GM67)</f>
      </c>
      <c r="R67" s="461">
        <f>IF('[1]Tasa de Falla'!GN67=0,"",'[1]Tasa de Falla'!GN67)</f>
      </c>
      <c r="S67" s="467"/>
      <c r="T67" s="468"/>
    </row>
    <row r="68" spans="2:20" s="456" customFormat="1" ht="19.5" customHeight="1">
      <c r="B68" s="457"/>
      <c r="C68" s="469">
        <f>'[1]Tasa de Falla'!C68</f>
        <v>51</v>
      </c>
      <c r="D68" s="470" t="str">
        <f>'[1]Tasa de Falla'!D68</f>
        <v>METAN - EL TUNAL</v>
      </c>
      <c r="E68" s="470">
        <f>'[1]Tasa de Falla'!E68</f>
        <v>132</v>
      </c>
      <c r="F68" s="471">
        <f>'[1]Tasa de Falla'!F68</f>
        <v>75.6</v>
      </c>
      <c r="G68" s="461">
        <f>IF('[1]Tasa de Falla'!GC68=0,"",'[1]Tasa de Falla'!GC68)</f>
      </c>
      <c r="H68" s="461">
        <f>IF('[1]Tasa de Falla'!GD68=0,"",'[1]Tasa de Falla'!GD68)</f>
      </c>
      <c r="I68" s="461">
        <f>IF('[1]Tasa de Falla'!GE68=0,"",'[1]Tasa de Falla'!GE68)</f>
      </c>
      <c r="J68" s="461">
        <f>IF('[1]Tasa de Falla'!GF68=0,"",'[1]Tasa de Falla'!GF68)</f>
      </c>
      <c r="K68" s="461">
        <f>IF('[1]Tasa de Falla'!GG68=0,"",'[1]Tasa de Falla'!GG68)</f>
      </c>
      <c r="L68" s="461">
        <f>IF('[1]Tasa de Falla'!GH68=0,"",'[1]Tasa de Falla'!GH68)</f>
      </c>
      <c r="M68" s="461">
        <f>IF('[1]Tasa de Falla'!GI68=0,"",'[1]Tasa de Falla'!GI68)</f>
      </c>
      <c r="N68" s="461">
        <f>IF('[1]Tasa de Falla'!GJ68=0,"",'[1]Tasa de Falla'!GJ68)</f>
      </c>
      <c r="O68" s="461">
        <f>IF('[1]Tasa de Falla'!GK68=0,"",'[1]Tasa de Falla'!GK68)</f>
      </c>
      <c r="P68" s="461">
        <f>IF('[1]Tasa de Falla'!GL68=0,"",'[1]Tasa de Falla'!GL68)</f>
      </c>
      <c r="Q68" s="461">
        <f>IF('[1]Tasa de Falla'!GM68=0,"",'[1]Tasa de Falla'!GM68)</f>
      </c>
      <c r="R68" s="461">
        <f>IF('[1]Tasa de Falla'!GN68=0,"",'[1]Tasa de Falla'!GN68)</f>
      </c>
      <c r="S68" s="467"/>
      <c r="T68" s="468"/>
    </row>
    <row r="69" spans="2:20" s="456" customFormat="1" ht="19.5" customHeight="1">
      <c r="B69" s="457"/>
      <c r="C69" s="464">
        <f>'[1]Tasa de Falla'!C69</f>
        <v>52</v>
      </c>
      <c r="D69" s="465" t="str">
        <f>'[1]Tasa de Falla'!D69</f>
        <v>EL TUNAL - J.V. GONZALEZ</v>
      </c>
      <c r="E69" s="465">
        <f>'[1]Tasa de Falla'!E69</f>
        <v>132</v>
      </c>
      <c r="F69" s="466">
        <f>'[1]Tasa de Falla'!F69</f>
        <v>41.4</v>
      </c>
      <c r="G69" s="461">
        <f>IF('[1]Tasa de Falla'!GC69=0,"",'[1]Tasa de Falla'!GC69)</f>
      </c>
      <c r="H69" s="461">
        <f>IF('[1]Tasa de Falla'!GD69=0,"",'[1]Tasa de Falla'!GD69)</f>
      </c>
      <c r="I69" s="461">
        <f>IF('[1]Tasa de Falla'!GE69=0,"",'[1]Tasa de Falla'!GE69)</f>
      </c>
      <c r="J69" s="461">
        <f>IF('[1]Tasa de Falla'!GF69=0,"",'[1]Tasa de Falla'!GF69)</f>
      </c>
      <c r="K69" s="461">
        <f>IF('[1]Tasa de Falla'!GG69=0,"",'[1]Tasa de Falla'!GG69)</f>
      </c>
      <c r="L69" s="461">
        <f>IF('[1]Tasa de Falla'!GH69=0,"",'[1]Tasa de Falla'!GH69)</f>
      </c>
      <c r="M69" s="461">
        <f>IF('[1]Tasa de Falla'!GI69=0,"",'[1]Tasa de Falla'!GI69)</f>
      </c>
      <c r="N69" s="461">
        <f>IF('[1]Tasa de Falla'!GJ69=0,"",'[1]Tasa de Falla'!GJ69)</f>
      </c>
      <c r="O69" s="461">
        <f>IF('[1]Tasa de Falla'!GK69=0,"",'[1]Tasa de Falla'!GK69)</f>
      </c>
      <c r="P69" s="461">
        <f>IF('[1]Tasa de Falla'!GL69=0,"",'[1]Tasa de Falla'!GL69)</f>
      </c>
      <c r="Q69" s="461">
        <f>IF('[1]Tasa de Falla'!GM69=0,"",'[1]Tasa de Falla'!GM69)</f>
      </c>
      <c r="R69" s="461">
        <f>IF('[1]Tasa de Falla'!GN69=0,"",'[1]Tasa de Falla'!GN69)</f>
      </c>
      <c r="S69" s="467"/>
      <c r="T69" s="468"/>
    </row>
    <row r="70" spans="2:20" s="456" customFormat="1" ht="19.5" customHeight="1">
      <c r="B70" s="457"/>
      <c r="C70" s="469"/>
      <c r="D70" s="470"/>
      <c r="E70" s="470"/>
      <c r="F70" s="471"/>
      <c r="G70" s="461">
        <f>IF('[1]Tasa de Falla'!GC70=0,"",'[1]Tasa de Falla'!GC70)</f>
      </c>
      <c r="H70" s="461">
        <f>IF('[1]Tasa de Falla'!GD70=0,"",'[1]Tasa de Falla'!GD70)</f>
      </c>
      <c r="I70" s="461">
        <f>IF('[1]Tasa de Falla'!GE70=0,"",'[1]Tasa de Falla'!GE70)</f>
      </c>
      <c r="J70" s="461">
        <f>IF('[1]Tasa de Falla'!GF70=0,"",'[1]Tasa de Falla'!GF70)</f>
      </c>
      <c r="K70" s="461">
        <f>IF('[1]Tasa de Falla'!GG70=0,"",'[1]Tasa de Falla'!GG70)</f>
      </c>
      <c r="L70" s="461">
        <f>IF('[1]Tasa de Falla'!GH70=0,"",'[1]Tasa de Falla'!GH70)</f>
      </c>
      <c r="M70" s="461">
        <f>IF('[1]Tasa de Falla'!GI70=0,"",'[1]Tasa de Falla'!GI70)</f>
      </c>
      <c r="N70" s="461">
        <f>IF('[1]Tasa de Falla'!GJ70=0,"",'[1]Tasa de Falla'!GJ70)</f>
      </c>
      <c r="O70" s="461">
        <f>IF('[1]Tasa de Falla'!GK70=0,"",'[1]Tasa de Falla'!GK70)</f>
      </c>
      <c r="P70" s="461">
        <f>IF('[1]Tasa de Falla'!GL70=0,"",'[1]Tasa de Falla'!GL70)</f>
      </c>
      <c r="Q70" s="461">
        <f>IF('[1]Tasa de Falla'!GM70=0,"",'[1]Tasa de Falla'!GM70)</f>
      </c>
      <c r="R70" s="461">
        <f>IF('[1]Tasa de Falla'!GN70=0,"",'[1]Tasa de Falla'!GN70)</f>
      </c>
      <c r="S70" s="467"/>
      <c r="T70" s="468"/>
    </row>
    <row r="71" spans="2:20" s="456" customFormat="1" ht="19.5" customHeight="1">
      <c r="B71" s="457"/>
      <c r="C71" s="464">
        <f>'[1]Tasa de Falla'!C71</f>
        <v>53</v>
      </c>
      <c r="D71" s="465" t="str">
        <f>'[1]Tasa de Falla'!D71</f>
        <v>LOS PIZARROS - ESCABA</v>
      </c>
      <c r="E71" s="465">
        <f>'[1]Tasa de Falla'!E71</f>
        <v>132</v>
      </c>
      <c r="F71" s="466">
        <f>'[1]Tasa de Falla'!F71</f>
        <v>21.4</v>
      </c>
      <c r="G71" s="461">
        <f>IF('[1]Tasa de Falla'!GC71=0,"",'[1]Tasa de Falla'!GC71)</f>
      </c>
      <c r="H71" s="461">
        <f>IF('[1]Tasa de Falla'!GD71=0,"",'[1]Tasa de Falla'!GD71)</f>
      </c>
      <c r="I71" s="461">
        <f>IF('[1]Tasa de Falla'!GE71=0,"",'[1]Tasa de Falla'!GE71)</f>
      </c>
      <c r="J71" s="461">
        <f>IF('[1]Tasa de Falla'!GF71=0,"",'[1]Tasa de Falla'!GF71)</f>
      </c>
      <c r="K71" s="461">
        <f>IF('[1]Tasa de Falla'!GG71=0,"",'[1]Tasa de Falla'!GG71)</f>
      </c>
      <c r="L71" s="461">
        <f>IF('[1]Tasa de Falla'!GH71=0,"",'[1]Tasa de Falla'!GH71)</f>
      </c>
      <c r="M71" s="461">
        <f>IF('[1]Tasa de Falla'!GI71=0,"",'[1]Tasa de Falla'!GI71)</f>
      </c>
      <c r="N71" s="461">
        <f>IF('[1]Tasa de Falla'!GJ71=0,"",'[1]Tasa de Falla'!GJ71)</f>
      </c>
      <c r="O71" s="461">
        <f>IF('[1]Tasa de Falla'!GK71=0,"",'[1]Tasa de Falla'!GK71)</f>
      </c>
      <c r="P71" s="461">
        <f>IF('[1]Tasa de Falla'!GL71=0,"",'[1]Tasa de Falla'!GL71)</f>
      </c>
      <c r="Q71" s="461">
        <f>IF('[1]Tasa de Falla'!GM71=0,"",'[1]Tasa de Falla'!GM71)</f>
      </c>
      <c r="R71" s="461">
        <f>IF('[1]Tasa de Falla'!GN71=0,"",'[1]Tasa de Falla'!GN71)</f>
      </c>
      <c r="S71" s="467"/>
      <c r="T71" s="468"/>
    </row>
    <row r="72" spans="2:20" s="456" customFormat="1" ht="19.5" customHeight="1">
      <c r="B72" s="457"/>
      <c r="C72" s="469">
        <f>'[1]Tasa de Falla'!C72</f>
        <v>54</v>
      </c>
      <c r="D72" s="470" t="str">
        <f>'[1]Tasa de Falla'!D72</f>
        <v>LOS PIZARROS - LA COCHA</v>
      </c>
      <c r="E72" s="470">
        <f>'[1]Tasa de Falla'!E72</f>
        <v>132</v>
      </c>
      <c r="F72" s="471">
        <f>'[1]Tasa de Falla'!F72</f>
        <v>6.5</v>
      </c>
      <c r="G72" s="461">
        <f>IF('[1]Tasa de Falla'!GC72=0,"",'[1]Tasa de Falla'!GC72)</f>
      </c>
      <c r="H72" s="461">
        <f>IF('[1]Tasa de Falla'!GD72=0,"",'[1]Tasa de Falla'!GD72)</f>
      </c>
      <c r="I72" s="461">
        <f>IF('[1]Tasa de Falla'!GE72=0,"",'[1]Tasa de Falla'!GE72)</f>
      </c>
      <c r="J72" s="461">
        <f>IF('[1]Tasa de Falla'!GF72=0,"",'[1]Tasa de Falla'!GF72)</f>
      </c>
      <c r="K72" s="461">
        <f>IF('[1]Tasa de Falla'!GG72=0,"",'[1]Tasa de Falla'!GG72)</f>
      </c>
      <c r="L72" s="461">
        <f>IF('[1]Tasa de Falla'!GH72=0,"",'[1]Tasa de Falla'!GH72)</f>
      </c>
      <c r="M72" s="461">
        <f>IF('[1]Tasa de Falla'!GI72=0,"",'[1]Tasa de Falla'!GI72)</f>
      </c>
      <c r="N72" s="461">
        <f>IF('[1]Tasa de Falla'!GJ72=0,"",'[1]Tasa de Falla'!GJ72)</f>
      </c>
      <c r="O72" s="461">
        <f>IF('[1]Tasa de Falla'!GK72=0,"",'[1]Tasa de Falla'!GK72)</f>
      </c>
      <c r="P72" s="461">
        <f>IF('[1]Tasa de Falla'!GL72=0,"",'[1]Tasa de Falla'!GL72)</f>
      </c>
      <c r="Q72" s="461">
        <f>IF('[1]Tasa de Falla'!GM72=0,"",'[1]Tasa de Falla'!GM72)</f>
      </c>
      <c r="R72" s="461">
        <f>IF('[1]Tasa de Falla'!GN72=0,"",'[1]Tasa de Falla'!GN72)</f>
      </c>
      <c r="S72" s="467"/>
      <c r="T72" s="468"/>
    </row>
    <row r="73" spans="2:20" s="456" customFormat="1" ht="19.5" customHeight="1">
      <c r="B73" s="457"/>
      <c r="C73" s="464">
        <f>'[1]Tasa de Falla'!C73</f>
        <v>55</v>
      </c>
      <c r="D73" s="465" t="str">
        <f>'[1]Tasa de Falla'!D73</f>
        <v>HUACRA - LOS PIZARROS</v>
      </c>
      <c r="E73" s="465">
        <f>'[1]Tasa de Falla'!E73</f>
        <v>132</v>
      </c>
      <c r="F73" s="466">
        <f>'[1]Tasa de Falla'!F73</f>
        <v>28.5</v>
      </c>
      <c r="G73" s="461">
        <f>IF('[1]Tasa de Falla'!GC73=0,"",'[1]Tasa de Falla'!GC73)</f>
      </c>
      <c r="H73" s="461">
        <f>IF('[1]Tasa de Falla'!GD73=0,"",'[1]Tasa de Falla'!GD73)</f>
      </c>
      <c r="I73" s="461">
        <f>IF('[1]Tasa de Falla'!GE73=0,"",'[1]Tasa de Falla'!GE73)</f>
      </c>
      <c r="J73" s="461">
        <f>IF('[1]Tasa de Falla'!GF73=0,"",'[1]Tasa de Falla'!GF73)</f>
      </c>
      <c r="K73" s="461">
        <f>IF('[1]Tasa de Falla'!GG73=0,"",'[1]Tasa de Falla'!GG73)</f>
      </c>
      <c r="L73" s="461">
        <f>IF('[1]Tasa de Falla'!GH73=0,"",'[1]Tasa de Falla'!GH73)</f>
      </c>
      <c r="M73" s="461">
        <f>IF('[1]Tasa de Falla'!GI73=0,"",'[1]Tasa de Falla'!GI73)</f>
      </c>
      <c r="N73" s="461">
        <f>IF('[1]Tasa de Falla'!GJ73=0,"",'[1]Tasa de Falla'!GJ73)</f>
      </c>
      <c r="O73" s="461">
        <f>IF('[1]Tasa de Falla'!GK73=0,"",'[1]Tasa de Falla'!GK73)</f>
      </c>
      <c r="P73" s="461">
        <f>IF('[1]Tasa de Falla'!GL73=0,"",'[1]Tasa de Falla'!GL73)</f>
      </c>
      <c r="Q73" s="461">
        <f>IF('[1]Tasa de Falla'!GM73=0,"",'[1]Tasa de Falla'!GM73)</f>
      </c>
      <c r="R73" s="461">
        <f>IF('[1]Tasa de Falla'!GN73=0,"",'[1]Tasa de Falla'!GN73)</f>
      </c>
      <c r="S73" s="467"/>
      <c r="T73" s="468"/>
    </row>
    <row r="74" spans="2:20" s="456" customFormat="1" ht="19.5" customHeight="1">
      <c r="B74" s="457"/>
      <c r="C74" s="469">
        <f>'[1]Tasa de Falla'!C74</f>
        <v>56</v>
      </c>
      <c r="D74" s="472" t="str">
        <f>'[1]Tasa de Falla'!D74</f>
        <v>CEVIL POZO - AVELLANEDA</v>
      </c>
      <c r="E74" s="472">
        <f>'[1]Tasa de Falla'!E74</f>
        <v>132</v>
      </c>
      <c r="F74" s="473">
        <f>'[1]Tasa de Falla'!F74</f>
        <v>8</v>
      </c>
      <c r="G74" s="461">
        <f>IF('[1]Tasa de Falla'!GC74=0,"",'[1]Tasa de Falla'!GC74)</f>
      </c>
      <c r="H74" s="461">
        <f>IF('[1]Tasa de Falla'!GD74=0,"",'[1]Tasa de Falla'!GD74)</f>
      </c>
      <c r="I74" s="461">
        <f>IF('[1]Tasa de Falla'!GE74=0,"",'[1]Tasa de Falla'!GE74)</f>
      </c>
      <c r="J74" s="461">
        <f>IF('[1]Tasa de Falla'!GF74=0,"",'[1]Tasa de Falla'!GF74)</f>
      </c>
      <c r="K74" s="461">
        <f>IF('[1]Tasa de Falla'!GG74=0,"",'[1]Tasa de Falla'!GG74)</f>
      </c>
      <c r="L74" s="461">
        <f>IF('[1]Tasa de Falla'!GH74=0,"",'[1]Tasa de Falla'!GH74)</f>
      </c>
      <c r="M74" s="461">
        <f>IF('[1]Tasa de Falla'!GI74=0,"",'[1]Tasa de Falla'!GI74)</f>
      </c>
      <c r="N74" s="461">
        <f>IF('[1]Tasa de Falla'!GJ74=0,"",'[1]Tasa de Falla'!GJ74)</f>
      </c>
      <c r="O74" s="461">
        <f>IF('[1]Tasa de Falla'!GK74=0,"",'[1]Tasa de Falla'!GK74)</f>
      </c>
      <c r="P74" s="461">
        <f>IF('[1]Tasa de Falla'!GL74=0,"",'[1]Tasa de Falla'!GL74)</f>
      </c>
      <c r="Q74" s="461">
        <f>IF('[1]Tasa de Falla'!GM74=0,"",'[1]Tasa de Falla'!GM74)</f>
      </c>
      <c r="R74" s="461">
        <f>IF('[1]Tasa de Falla'!GN74=0,"",'[1]Tasa de Falla'!GN74)</f>
      </c>
      <c r="S74" s="467"/>
      <c r="T74" s="468"/>
    </row>
    <row r="75" spans="2:20" s="456" customFormat="1" ht="19.5" customHeight="1">
      <c r="B75" s="457"/>
      <c r="C75" s="464">
        <f>'[1]Tasa de Falla'!C75</f>
        <v>57</v>
      </c>
      <c r="D75" s="465" t="str">
        <f>'[1]Tasa de Falla'!D75</f>
        <v>CABRA CORRAL - SALTA ESTE</v>
      </c>
      <c r="E75" s="465">
        <f>'[1]Tasa de Falla'!E75</f>
        <v>132</v>
      </c>
      <c r="F75" s="466">
        <f>'[1]Tasa de Falla'!F75</f>
        <v>55</v>
      </c>
      <c r="G75" s="461">
        <f>IF('[1]Tasa de Falla'!GC75=0,"",'[1]Tasa de Falla'!GC75)</f>
      </c>
      <c r="H75" s="461">
        <f>IF('[1]Tasa de Falla'!GD75=0,"",'[1]Tasa de Falla'!GD75)</f>
        <v>1</v>
      </c>
      <c r="I75" s="461">
        <f>IF('[1]Tasa de Falla'!GE75=0,"",'[1]Tasa de Falla'!GE75)</f>
      </c>
      <c r="J75" s="461">
        <f>IF('[1]Tasa de Falla'!GF75=0,"",'[1]Tasa de Falla'!GF75)</f>
      </c>
      <c r="K75" s="461">
        <f>IF('[1]Tasa de Falla'!GG75=0,"",'[1]Tasa de Falla'!GG75)</f>
      </c>
      <c r="L75" s="461">
        <f>IF('[1]Tasa de Falla'!GH75=0,"",'[1]Tasa de Falla'!GH75)</f>
        <v>3</v>
      </c>
      <c r="M75" s="461">
        <f>IF('[1]Tasa de Falla'!GI75=0,"",'[1]Tasa de Falla'!GI75)</f>
      </c>
      <c r="N75" s="461">
        <f>IF('[1]Tasa de Falla'!GJ75=0,"",'[1]Tasa de Falla'!GJ75)</f>
      </c>
      <c r="O75" s="461">
        <f>IF('[1]Tasa de Falla'!GK75=0,"",'[1]Tasa de Falla'!GK75)</f>
      </c>
      <c r="P75" s="461">
        <f>IF('[1]Tasa de Falla'!GL75=0,"",'[1]Tasa de Falla'!GL75)</f>
      </c>
      <c r="Q75" s="461">
        <f>IF('[1]Tasa de Falla'!GM75=0,"",'[1]Tasa de Falla'!GM75)</f>
        <v>1</v>
      </c>
      <c r="R75" s="461">
        <f>IF('[1]Tasa de Falla'!GN75=0,"",'[1]Tasa de Falla'!GN75)</f>
      </c>
      <c r="S75" s="467"/>
      <c r="T75" s="468"/>
    </row>
    <row r="76" spans="2:20" s="456" customFormat="1" ht="19.5" customHeight="1">
      <c r="B76" s="457"/>
      <c r="C76" s="469">
        <f>'[1]Tasa de Falla'!C76</f>
        <v>58</v>
      </c>
      <c r="D76" s="470" t="str">
        <f>'[1]Tasa de Falla'!D76</f>
        <v>SALTA ESTE - SALTA SUR</v>
      </c>
      <c r="E76" s="470">
        <f>'[1]Tasa de Falla'!E76</f>
        <v>132</v>
      </c>
      <c r="F76" s="471">
        <f>'[1]Tasa de Falla'!F76</f>
        <v>7</v>
      </c>
      <c r="G76" s="461">
        <f>IF('[1]Tasa de Falla'!GC76=0,"",'[1]Tasa de Falla'!GC76)</f>
      </c>
      <c r="H76" s="461">
        <f>IF('[1]Tasa de Falla'!GD76=0,"",'[1]Tasa de Falla'!GD76)</f>
      </c>
      <c r="I76" s="461">
        <f>IF('[1]Tasa de Falla'!GE76=0,"",'[1]Tasa de Falla'!GE76)</f>
      </c>
      <c r="J76" s="461">
        <f>IF('[1]Tasa de Falla'!GF76=0,"",'[1]Tasa de Falla'!GF76)</f>
      </c>
      <c r="K76" s="461">
        <f>IF('[1]Tasa de Falla'!GG76=0,"",'[1]Tasa de Falla'!GG76)</f>
      </c>
      <c r="L76" s="461">
        <f>IF('[1]Tasa de Falla'!GH76=0,"",'[1]Tasa de Falla'!GH76)</f>
      </c>
      <c r="M76" s="461">
        <f>IF('[1]Tasa de Falla'!GI76=0,"",'[1]Tasa de Falla'!GI76)</f>
      </c>
      <c r="N76" s="461">
        <f>IF('[1]Tasa de Falla'!GJ76=0,"",'[1]Tasa de Falla'!GJ76)</f>
      </c>
      <c r="O76" s="461">
        <f>IF('[1]Tasa de Falla'!GK76=0,"",'[1]Tasa de Falla'!GK76)</f>
      </c>
      <c r="P76" s="461">
        <f>IF('[1]Tasa de Falla'!GL76=0,"",'[1]Tasa de Falla'!GL76)</f>
      </c>
      <c r="Q76" s="461">
        <f>IF('[1]Tasa de Falla'!GM76=0,"",'[1]Tasa de Falla'!GM76)</f>
      </c>
      <c r="R76" s="461">
        <f>IF('[1]Tasa de Falla'!GN76=0,"",'[1]Tasa de Falla'!GN76)</f>
      </c>
      <c r="S76" s="467"/>
      <c r="T76" s="468"/>
    </row>
    <row r="77" spans="2:20" s="456" customFormat="1" ht="19.5" customHeight="1">
      <c r="B77" s="457"/>
      <c r="C77" s="464">
        <f>'[1]Tasa de Falla'!C77</f>
        <v>59</v>
      </c>
      <c r="D77" s="465" t="str">
        <f>'[1]Tasa de Falla'!D77</f>
        <v>V. QUINTEROS - ACONQUIJA - ANDALGALA</v>
      </c>
      <c r="E77" s="465">
        <f>'[1]Tasa de Falla'!E77</f>
        <v>132</v>
      </c>
      <c r="F77" s="466">
        <f>'[1]Tasa de Falla'!F77</f>
        <v>102</v>
      </c>
      <c r="G77" s="461">
        <f>IF('[1]Tasa de Falla'!GC77=0,"",'[1]Tasa de Falla'!GC77)</f>
      </c>
      <c r="H77" s="461">
        <f>IF('[1]Tasa de Falla'!GD77=0,"",'[1]Tasa de Falla'!GD77)</f>
      </c>
      <c r="I77" s="461">
        <f>IF('[1]Tasa de Falla'!GE77=0,"",'[1]Tasa de Falla'!GE77)</f>
        <v>1</v>
      </c>
      <c r="J77" s="461">
        <f>IF('[1]Tasa de Falla'!GF77=0,"",'[1]Tasa de Falla'!GF77)</f>
      </c>
      <c r="K77" s="461">
        <f>IF('[1]Tasa de Falla'!GG77=0,"",'[1]Tasa de Falla'!GG77)</f>
      </c>
      <c r="L77" s="461">
        <f>IF('[1]Tasa de Falla'!GH77=0,"",'[1]Tasa de Falla'!GH77)</f>
      </c>
      <c r="M77" s="461">
        <f>IF('[1]Tasa de Falla'!GI77=0,"",'[1]Tasa de Falla'!GI77)</f>
      </c>
      <c r="N77" s="461">
        <f>IF('[1]Tasa de Falla'!GJ77=0,"",'[1]Tasa de Falla'!GJ77)</f>
      </c>
      <c r="O77" s="461">
        <f>IF('[1]Tasa de Falla'!GK77=0,"",'[1]Tasa de Falla'!GK77)</f>
      </c>
      <c r="P77" s="461">
        <f>IF('[1]Tasa de Falla'!GL77=0,"",'[1]Tasa de Falla'!GL77)</f>
      </c>
      <c r="Q77" s="461">
        <f>IF('[1]Tasa de Falla'!GM77=0,"",'[1]Tasa de Falla'!GM77)</f>
      </c>
      <c r="R77" s="461">
        <f>IF('[1]Tasa de Falla'!GN77=0,"",'[1]Tasa de Falla'!GN77)</f>
      </c>
      <c r="S77" s="467"/>
      <c r="T77" s="468"/>
    </row>
    <row r="78" spans="2:20" s="456" customFormat="1" ht="19.5" customHeight="1">
      <c r="B78" s="457"/>
      <c r="C78" s="469">
        <f>'[1]Tasa de Falla'!C78</f>
        <v>60</v>
      </c>
      <c r="D78" s="470" t="str">
        <f>'[1]Tasa de Falla'!D78</f>
        <v>ANDALGALA - BELEN</v>
      </c>
      <c r="E78" s="470">
        <f>'[1]Tasa de Falla'!E78</f>
        <v>132</v>
      </c>
      <c r="F78" s="471">
        <f>'[1]Tasa de Falla'!F78</f>
        <v>80.3</v>
      </c>
      <c r="G78" s="461">
        <f>IF('[1]Tasa de Falla'!GC78=0,"",'[1]Tasa de Falla'!GC78)</f>
      </c>
      <c r="H78" s="461">
        <f>IF('[1]Tasa de Falla'!GD78=0,"",'[1]Tasa de Falla'!GD78)</f>
      </c>
      <c r="I78" s="461">
        <f>IF('[1]Tasa de Falla'!GE78=0,"",'[1]Tasa de Falla'!GE78)</f>
      </c>
      <c r="J78" s="461">
        <f>IF('[1]Tasa de Falla'!GF78=0,"",'[1]Tasa de Falla'!GF78)</f>
      </c>
      <c r="K78" s="461">
        <f>IF('[1]Tasa de Falla'!GG78=0,"",'[1]Tasa de Falla'!GG78)</f>
      </c>
      <c r="L78" s="461">
        <f>IF('[1]Tasa de Falla'!GH78=0,"",'[1]Tasa de Falla'!GH78)</f>
      </c>
      <c r="M78" s="461">
        <f>IF('[1]Tasa de Falla'!GI78=0,"",'[1]Tasa de Falla'!GI78)</f>
      </c>
      <c r="N78" s="461">
        <f>IF('[1]Tasa de Falla'!GJ78=0,"",'[1]Tasa de Falla'!GJ78)</f>
      </c>
      <c r="O78" s="461">
        <f>IF('[1]Tasa de Falla'!GK78=0,"",'[1]Tasa de Falla'!GK78)</f>
      </c>
      <c r="P78" s="461">
        <f>IF('[1]Tasa de Falla'!GL78=0,"",'[1]Tasa de Falla'!GL78)</f>
      </c>
      <c r="Q78" s="461">
        <f>IF('[1]Tasa de Falla'!GM78=0,"",'[1]Tasa de Falla'!GM78)</f>
      </c>
      <c r="R78" s="461">
        <f>IF('[1]Tasa de Falla'!GN78=0,"",'[1]Tasa de Falla'!GN78)</f>
      </c>
      <c r="S78" s="467"/>
      <c r="T78" s="468"/>
    </row>
    <row r="79" spans="2:20" s="456" customFormat="1" ht="19.5" customHeight="1">
      <c r="B79" s="457"/>
      <c r="C79" s="464">
        <f>'[1]Tasa de Falla'!C79</f>
        <v>61</v>
      </c>
      <c r="D79" s="465" t="str">
        <f>'[1]Tasa de Falla'!D79</f>
        <v>TUCUMAN NORTE - TRANCAS</v>
      </c>
      <c r="E79" s="465">
        <f>'[1]Tasa de Falla'!E79</f>
        <v>132</v>
      </c>
      <c r="F79" s="466">
        <f>'[1]Tasa de Falla'!F79</f>
        <v>75</v>
      </c>
      <c r="G79" s="461">
        <f>IF('[1]Tasa de Falla'!GC79=0,"",'[1]Tasa de Falla'!GC79)</f>
      </c>
      <c r="H79" s="461">
        <f>IF('[1]Tasa de Falla'!GD79=0,"",'[1]Tasa de Falla'!GD79)</f>
      </c>
      <c r="I79" s="461">
        <f>IF('[1]Tasa de Falla'!GE79=0,"",'[1]Tasa de Falla'!GE79)</f>
      </c>
      <c r="J79" s="461">
        <f>IF('[1]Tasa de Falla'!GF79=0,"",'[1]Tasa de Falla'!GF79)</f>
      </c>
      <c r="K79" s="461">
        <f>IF('[1]Tasa de Falla'!GG79=0,"",'[1]Tasa de Falla'!GG79)</f>
      </c>
      <c r="L79" s="461">
        <f>IF('[1]Tasa de Falla'!GH79=0,"",'[1]Tasa de Falla'!GH79)</f>
      </c>
      <c r="M79" s="461">
        <f>IF('[1]Tasa de Falla'!GI79=0,"",'[1]Tasa de Falla'!GI79)</f>
      </c>
      <c r="N79" s="461">
        <f>IF('[1]Tasa de Falla'!GJ79=0,"",'[1]Tasa de Falla'!GJ79)</f>
      </c>
      <c r="O79" s="461">
        <f>IF('[1]Tasa de Falla'!GK79=0,"",'[1]Tasa de Falla'!GK79)</f>
      </c>
      <c r="P79" s="461">
        <f>IF('[1]Tasa de Falla'!GL79=0,"",'[1]Tasa de Falla'!GL79)</f>
      </c>
      <c r="Q79" s="461">
        <f>IF('[1]Tasa de Falla'!GM79=0,"",'[1]Tasa de Falla'!GM79)</f>
      </c>
      <c r="R79" s="461">
        <f>IF('[1]Tasa de Falla'!GN79=0,"",'[1]Tasa de Falla'!GN79)</f>
      </c>
      <c r="S79" s="467"/>
      <c r="T79" s="468"/>
    </row>
    <row r="80" spans="2:20" s="456" customFormat="1" ht="19.5" customHeight="1">
      <c r="B80" s="457"/>
      <c r="C80" s="469">
        <f>'[1]Tasa de Falla'!C80</f>
        <v>62</v>
      </c>
      <c r="D80" s="470" t="str">
        <f>'[1]Tasa de Falla'!D80</f>
        <v>CABRA CORRAL - TRANCAS</v>
      </c>
      <c r="E80" s="470">
        <f>'[1]Tasa de Falla'!E80</f>
        <v>132</v>
      </c>
      <c r="F80" s="471">
        <f>'[1]Tasa de Falla'!F80</f>
        <v>115</v>
      </c>
      <c r="G80" s="461" t="str">
        <f>IF('[1]Tasa de Falla'!GC80=0,"",'[1]Tasa de Falla'!GC80)</f>
        <v>XXXX</v>
      </c>
      <c r="H80" s="461" t="str">
        <f>IF('[1]Tasa de Falla'!GD80=0,"",'[1]Tasa de Falla'!GD80)</f>
        <v>XXXX</v>
      </c>
      <c r="I80" s="461" t="str">
        <f>IF('[1]Tasa de Falla'!GE80=0,"",'[1]Tasa de Falla'!GE80)</f>
        <v>XXXX</v>
      </c>
      <c r="J80" s="461" t="str">
        <f>IF('[1]Tasa de Falla'!GF80=0,"",'[1]Tasa de Falla'!GF80)</f>
        <v>XXXX</v>
      </c>
      <c r="K80" s="461" t="str">
        <f>IF('[1]Tasa de Falla'!GG80=0,"",'[1]Tasa de Falla'!GG80)</f>
        <v>XXXX</v>
      </c>
      <c r="L80" s="461" t="str">
        <f>IF('[1]Tasa de Falla'!GH80=0,"",'[1]Tasa de Falla'!GH80)</f>
        <v>XXXX</v>
      </c>
      <c r="M80" s="461" t="str">
        <f>IF('[1]Tasa de Falla'!GI80=0,"",'[1]Tasa de Falla'!GI80)</f>
        <v>XXXX</v>
      </c>
      <c r="N80" s="461" t="str">
        <f>IF('[1]Tasa de Falla'!GJ80=0,"",'[1]Tasa de Falla'!GJ80)</f>
        <v>XXXX</v>
      </c>
      <c r="O80" s="461" t="str">
        <f>IF('[1]Tasa de Falla'!GK80=0,"",'[1]Tasa de Falla'!GK80)</f>
        <v>XXXX</v>
      </c>
      <c r="P80" s="461" t="str">
        <f>IF('[1]Tasa de Falla'!GL80=0,"",'[1]Tasa de Falla'!GL80)</f>
        <v>XXXX</v>
      </c>
      <c r="Q80" s="461" t="str">
        <f>IF('[1]Tasa de Falla'!GM80=0,"",'[1]Tasa de Falla'!GM80)</f>
        <v>XXXX</v>
      </c>
      <c r="R80" s="461" t="str">
        <f>IF('[1]Tasa de Falla'!GN80=0,"",'[1]Tasa de Falla'!GN80)</f>
        <v>XXXX</v>
      </c>
      <c r="S80" s="467"/>
      <c r="T80" s="468"/>
    </row>
    <row r="81" spans="2:20" s="456" customFormat="1" ht="19.5" customHeight="1">
      <c r="B81" s="457"/>
      <c r="C81" s="464">
        <f>'[1]Tasa de Falla'!C81</f>
        <v>63</v>
      </c>
      <c r="D81" s="465" t="str">
        <f>'[1]Tasa de Falla'!D81</f>
        <v>LAS MADERAS - JUJUY SUR</v>
      </c>
      <c r="E81" s="465">
        <f>'[1]Tasa de Falla'!E81</f>
        <v>132</v>
      </c>
      <c r="F81" s="466">
        <f>'[1]Tasa de Falla'!F81</f>
        <v>29</v>
      </c>
      <c r="G81" s="461">
        <f>IF('[1]Tasa de Falla'!GC81=0,"",'[1]Tasa de Falla'!GC81)</f>
      </c>
      <c r="H81" s="461">
        <f>IF('[1]Tasa de Falla'!GD81=0,"",'[1]Tasa de Falla'!GD81)</f>
      </c>
      <c r="I81" s="461">
        <f>IF('[1]Tasa de Falla'!GE81=0,"",'[1]Tasa de Falla'!GE81)</f>
      </c>
      <c r="J81" s="461">
        <f>IF('[1]Tasa de Falla'!GF81=0,"",'[1]Tasa de Falla'!GF81)</f>
      </c>
      <c r="K81" s="461">
        <f>IF('[1]Tasa de Falla'!GG81=0,"",'[1]Tasa de Falla'!GG81)</f>
      </c>
      <c r="L81" s="461">
        <f>IF('[1]Tasa de Falla'!GH81=0,"",'[1]Tasa de Falla'!GH81)</f>
      </c>
      <c r="M81" s="461">
        <f>IF('[1]Tasa de Falla'!GI81=0,"",'[1]Tasa de Falla'!GI81)</f>
      </c>
      <c r="N81" s="461">
        <f>IF('[1]Tasa de Falla'!GJ81=0,"",'[1]Tasa de Falla'!GJ81)</f>
      </c>
      <c r="O81" s="461">
        <f>IF('[1]Tasa de Falla'!GK81=0,"",'[1]Tasa de Falla'!GK81)</f>
      </c>
      <c r="P81" s="461">
        <f>IF('[1]Tasa de Falla'!GL81=0,"",'[1]Tasa de Falla'!GL81)</f>
      </c>
      <c r="Q81" s="461">
        <f>IF('[1]Tasa de Falla'!GM81=0,"",'[1]Tasa de Falla'!GM81)</f>
      </c>
      <c r="R81" s="461">
        <f>IF('[1]Tasa de Falla'!GN81=0,"",'[1]Tasa de Falla'!GN81)</f>
      </c>
      <c r="S81" s="467"/>
      <c r="T81" s="468"/>
    </row>
    <row r="82" spans="2:20" s="456" customFormat="1" ht="19.5" customHeight="1">
      <c r="B82" s="457"/>
      <c r="C82" s="469">
        <f>'[1]Tasa de Falla'!C82</f>
        <v>64</v>
      </c>
      <c r="D82" s="470" t="str">
        <f>'[1]Tasa de Falla'!D82</f>
        <v>BELEN - TINOGASTA</v>
      </c>
      <c r="E82" s="470">
        <f>'[1]Tasa de Falla'!E82</f>
        <v>132</v>
      </c>
      <c r="F82" s="471">
        <f>'[1]Tasa de Falla'!F82</f>
        <v>72</v>
      </c>
      <c r="G82" s="461">
        <f>IF('[1]Tasa de Falla'!GC82=0,"",'[1]Tasa de Falla'!GC82)</f>
      </c>
      <c r="H82" s="461">
        <f>IF('[1]Tasa de Falla'!GD82=0,"",'[1]Tasa de Falla'!GD82)</f>
      </c>
      <c r="I82" s="461">
        <f>IF('[1]Tasa de Falla'!GE82=0,"",'[1]Tasa de Falla'!GE82)</f>
      </c>
      <c r="J82" s="461">
        <f>IF('[1]Tasa de Falla'!GF82=0,"",'[1]Tasa de Falla'!GF82)</f>
      </c>
      <c r="K82" s="461">
        <f>IF('[1]Tasa de Falla'!GG82=0,"",'[1]Tasa de Falla'!GG82)</f>
      </c>
      <c r="L82" s="461">
        <f>IF('[1]Tasa de Falla'!GH82=0,"",'[1]Tasa de Falla'!GH82)</f>
      </c>
      <c r="M82" s="461">
        <f>IF('[1]Tasa de Falla'!GI82=0,"",'[1]Tasa de Falla'!GI82)</f>
      </c>
      <c r="N82" s="461">
        <f>IF('[1]Tasa de Falla'!GJ82=0,"",'[1]Tasa de Falla'!GJ82)</f>
      </c>
      <c r="O82" s="461">
        <f>IF('[1]Tasa de Falla'!GK82=0,"",'[1]Tasa de Falla'!GK82)</f>
      </c>
      <c r="P82" s="461">
        <f>IF('[1]Tasa de Falla'!GL82=0,"",'[1]Tasa de Falla'!GL82)</f>
      </c>
      <c r="Q82" s="461">
        <f>IF('[1]Tasa de Falla'!GM82=0,"",'[1]Tasa de Falla'!GM82)</f>
      </c>
      <c r="R82" s="461">
        <f>IF('[1]Tasa de Falla'!GN82=0,"",'[1]Tasa de Falla'!GN82)</f>
      </c>
      <c r="S82" s="467"/>
      <c r="T82" s="468"/>
    </row>
    <row r="83" spans="2:20" s="456" customFormat="1" ht="19.5" customHeight="1">
      <c r="B83" s="457"/>
      <c r="C83" s="464">
        <f>'[1]Tasa de Falla'!C83</f>
        <v>65</v>
      </c>
      <c r="D83" s="465" t="str">
        <f>'[1]Tasa de Falla'!D83</f>
        <v>BURRUYACU - CEVIL POZO</v>
      </c>
      <c r="E83" s="465">
        <f>'[1]Tasa de Falla'!E83</f>
        <v>132</v>
      </c>
      <c r="F83" s="466">
        <f>'[1]Tasa de Falla'!F83</f>
        <v>56</v>
      </c>
      <c r="G83" s="461">
        <f>IF('[1]Tasa de Falla'!GC83=0,"",'[1]Tasa de Falla'!GC83)</f>
      </c>
      <c r="H83" s="461">
        <f>IF('[1]Tasa de Falla'!GD83=0,"",'[1]Tasa de Falla'!GD83)</f>
      </c>
      <c r="I83" s="461">
        <f>IF('[1]Tasa de Falla'!GE83=0,"",'[1]Tasa de Falla'!GE83)</f>
      </c>
      <c r="J83" s="461">
        <f>IF('[1]Tasa de Falla'!GF83=0,"",'[1]Tasa de Falla'!GF83)</f>
      </c>
      <c r="K83" s="461">
        <f>IF('[1]Tasa de Falla'!GG83=0,"",'[1]Tasa de Falla'!GG83)</f>
      </c>
      <c r="L83" s="461">
        <f>IF('[1]Tasa de Falla'!GH83=0,"",'[1]Tasa de Falla'!GH83)</f>
      </c>
      <c r="M83" s="461">
        <f>IF('[1]Tasa de Falla'!GI83=0,"",'[1]Tasa de Falla'!GI83)</f>
        <v>1</v>
      </c>
      <c r="N83" s="461">
        <f>IF('[1]Tasa de Falla'!GJ83=0,"",'[1]Tasa de Falla'!GJ83)</f>
      </c>
      <c r="O83" s="461">
        <f>IF('[1]Tasa de Falla'!GK83=0,"",'[1]Tasa de Falla'!GK83)</f>
      </c>
      <c r="P83" s="461">
        <f>IF('[1]Tasa de Falla'!GL83=0,"",'[1]Tasa de Falla'!GL83)</f>
      </c>
      <c r="Q83" s="461">
        <f>IF('[1]Tasa de Falla'!GM83=0,"",'[1]Tasa de Falla'!GM83)</f>
      </c>
      <c r="R83" s="461">
        <f>IF('[1]Tasa de Falla'!GN83=0,"",'[1]Tasa de Falla'!GN83)</f>
      </c>
      <c r="S83" s="467"/>
      <c r="T83" s="468"/>
    </row>
    <row r="84" spans="2:20" s="456" customFormat="1" ht="19.5" customHeight="1">
      <c r="B84" s="457"/>
      <c r="C84" s="469">
        <f>'[1]Tasa de Falla'!C84</f>
        <v>66</v>
      </c>
      <c r="D84" s="470" t="str">
        <f>'[1]Tasa de Falla'!D84</f>
        <v>GÜEMES - BURRUYACU</v>
      </c>
      <c r="E84" s="470">
        <f>'[1]Tasa de Falla'!E84</f>
        <v>132</v>
      </c>
      <c r="F84" s="471">
        <f>'[1]Tasa de Falla'!F84</f>
        <v>235.1</v>
      </c>
      <c r="G84" s="461" t="str">
        <f>IF('[1]Tasa de Falla'!GC84=0,"",'[1]Tasa de Falla'!GC84)</f>
        <v>XXXX</v>
      </c>
      <c r="H84" s="461" t="str">
        <f>IF('[1]Tasa de Falla'!GD84=0,"",'[1]Tasa de Falla'!GD84)</f>
        <v>XXXX</v>
      </c>
      <c r="I84" s="461" t="str">
        <f>IF('[1]Tasa de Falla'!GE84=0,"",'[1]Tasa de Falla'!GE84)</f>
        <v>XXXX</v>
      </c>
      <c r="J84" s="461" t="str">
        <f>IF('[1]Tasa de Falla'!GF84=0,"",'[1]Tasa de Falla'!GF84)</f>
        <v>XXXX</v>
      </c>
      <c r="K84" s="461" t="str">
        <f>IF('[1]Tasa de Falla'!GG84=0,"",'[1]Tasa de Falla'!GG84)</f>
        <v>XXXX</v>
      </c>
      <c r="L84" s="461" t="str">
        <f>IF('[1]Tasa de Falla'!GH84=0,"",'[1]Tasa de Falla'!GH84)</f>
        <v>XXXX</v>
      </c>
      <c r="M84" s="461" t="str">
        <f>IF('[1]Tasa de Falla'!GI84=0,"",'[1]Tasa de Falla'!GI84)</f>
        <v>XXXX</v>
      </c>
      <c r="N84" s="461" t="str">
        <f>IF('[1]Tasa de Falla'!GJ84=0,"",'[1]Tasa de Falla'!GJ84)</f>
        <v>XXXX</v>
      </c>
      <c r="O84" s="461" t="str">
        <f>IF('[1]Tasa de Falla'!GK84=0,"",'[1]Tasa de Falla'!GK84)</f>
        <v>XXXX</v>
      </c>
      <c r="P84" s="461" t="str">
        <f>IF('[1]Tasa de Falla'!GL84=0,"",'[1]Tasa de Falla'!GL84)</f>
        <v>XXXX</v>
      </c>
      <c r="Q84" s="461" t="str">
        <f>IF('[1]Tasa de Falla'!GM84=0,"",'[1]Tasa de Falla'!GM84)</f>
        <v>XXXX</v>
      </c>
      <c r="R84" s="461" t="str">
        <f>IF('[1]Tasa de Falla'!GN84=0,"",'[1]Tasa de Falla'!GN84)</f>
        <v>XXXX</v>
      </c>
      <c r="S84" s="467"/>
      <c r="T84" s="468"/>
    </row>
    <row r="85" spans="2:20" s="456" customFormat="1" ht="19.5" customHeight="1">
      <c r="B85" s="457"/>
      <c r="C85" s="464">
        <f>'[1]Tasa de Falla'!C85</f>
        <v>67</v>
      </c>
      <c r="D85" s="465" t="str">
        <f>'[1]Tasa de Falla'!D85</f>
        <v>FRIAS - RECREO</v>
      </c>
      <c r="E85" s="465">
        <f>'[1]Tasa de Falla'!E85</f>
        <v>132</v>
      </c>
      <c r="F85" s="466">
        <f>'[1]Tasa de Falla'!F85</f>
        <v>74.54</v>
      </c>
      <c r="G85" s="461">
        <f>IF('[1]Tasa de Falla'!GC85=0,"",'[1]Tasa de Falla'!GC85)</f>
      </c>
      <c r="H85" s="461">
        <f>IF('[1]Tasa de Falla'!GD85=0,"",'[1]Tasa de Falla'!GD85)</f>
      </c>
      <c r="I85" s="461">
        <f>IF('[1]Tasa de Falla'!GE85=0,"",'[1]Tasa de Falla'!GE85)</f>
      </c>
      <c r="J85" s="461">
        <f>IF('[1]Tasa de Falla'!GF85=0,"",'[1]Tasa de Falla'!GF85)</f>
      </c>
      <c r="K85" s="461">
        <f>IF('[1]Tasa de Falla'!GG85=0,"",'[1]Tasa de Falla'!GG85)</f>
      </c>
      <c r="L85" s="461">
        <f>IF('[1]Tasa de Falla'!GH85=0,"",'[1]Tasa de Falla'!GH85)</f>
      </c>
      <c r="M85" s="461">
        <f>IF('[1]Tasa de Falla'!GI85=0,"",'[1]Tasa de Falla'!GI85)</f>
      </c>
      <c r="N85" s="461">
        <f>IF('[1]Tasa de Falla'!GJ85=0,"",'[1]Tasa de Falla'!GJ85)</f>
      </c>
      <c r="O85" s="461">
        <f>IF('[1]Tasa de Falla'!GK85=0,"",'[1]Tasa de Falla'!GK85)</f>
      </c>
      <c r="P85" s="461">
        <f>IF('[1]Tasa de Falla'!GL85=0,"",'[1]Tasa de Falla'!GL85)</f>
        <v>1</v>
      </c>
      <c r="Q85" s="461">
        <f>IF('[1]Tasa de Falla'!GM85=0,"",'[1]Tasa de Falla'!GM85)</f>
      </c>
      <c r="R85" s="461">
        <f>IF('[1]Tasa de Falla'!GN85=0,"",'[1]Tasa de Falla'!GN85)</f>
      </c>
      <c r="S85" s="467"/>
      <c r="T85" s="468"/>
    </row>
    <row r="86" spans="2:20" s="456" customFormat="1" ht="19.5" customHeight="1">
      <c r="B86" s="457"/>
      <c r="C86" s="469">
        <f>'[1]Tasa de Falla'!C86</f>
        <v>68</v>
      </c>
      <c r="D86" s="470" t="str">
        <f>'[1]Tasa de Falla'!D86</f>
        <v>RECREO - LA RIOJA 1</v>
      </c>
      <c r="E86" s="470">
        <f>'[1]Tasa de Falla'!E86</f>
        <v>132</v>
      </c>
      <c r="F86" s="471">
        <f>'[1]Tasa de Falla'!F86</f>
        <v>221</v>
      </c>
      <c r="G86" s="461">
        <f>IF('[1]Tasa de Falla'!GC86=0,"",'[1]Tasa de Falla'!GC86)</f>
        <v>1</v>
      </c>
      <c r="H86" s="461">
        <f>IF('[1]Tasa de Falla'!GD86=0,"",'[1]Tasa de Falla'!GD86)</f>
      </c>
      <c r="I86" s="461">
        <f>IF('[1]Tasa de Falla'!GE86=0,"",'[1]Tasa de Falla'!GE86)</f>
      </c>
      <c r="J86" s="461">
        <f>IF('[1]Tasa de Falla'!GF86=0,"",'[1]Tasa de Falla'!GF86)</f>
      </c>
      <c r="K86" s="461">
        <f>IF('[1]Tasa de Falla'!GG86=0,"",'[1]Tasa de Falla'!GG86)</f>
      </c>
      <c r="L86" s="461">
        <f>IF('[1]Tasa de Falla'!GH86=0,"",'[1]Tasa de Falla'!GH86)</f>
      </c>
      <c r="M86" s="461">
        <f>IF('[1]Tasa de Falla'!GI86=0,"",'[1]Tasa de Falla'!GI86)</f>
        <v>1</v>
      </c>
      <c r="N86" s="461">
        <f>IF('[1]Tasa de Falla'!GJ86=0,"",'[1]Tasa de Falla'!GJ86)</f>
      </c>
      <c r="O86" s="461">
        <f>IF('[1]Tasa de Falla'!GK86=0,"",'[1]Tasa de Falla'!GK86)</f>
      </c>
      <c r="P86" s="461">
        <f>IF('[1]Tasa de Falla'!GL86=0,"",'[1]Tasa de Falla'!GL86)</f>
      </c>
      <c r="Q86" s="461">
        <f>IF('[1]Tasa de Falla'!GM86=0,"",'[1]Tasa de Falla'!GM86)</f>
        <v>1</v>
      </c>
      <c r="R86" s="461">
        <f>IF('[1]Tasa de Falla'!GN86=0,"",'[1]Tasa de Falla'!GN86)</f>
      </c>
      <c r="S86" s="467"/>
      <c r="T86" s="468"/>
    </row>
    <row r="87" spans="2:20" s="456" customFormat="1" ht="19.5" customHeight="1">
      <c r="B87" s="457"/>
      <c r="C87" s="464">
        <f>'[1]Tasa de Falla'!C87</f>
        <v>69</v>
      </c>
      <c r="D87" s="465" t="str">
        <f>'[1]Tasa de Falla'!D87</f>
        <v>RECREO - LA RIOJA 2</v>
      </c>
      <c r="E87" s="465">
        <f>'[1]Tasa de Falla'!E87</f>
        <v>132</v>
      </c>
      <c r="F87" s="466">
        <f>'[1]Tasa de Falla'!F87</f>
        <v>220</v>
      </c>
      <c r="G87" s="461">
        <f>IF('[1]Tasa de Falla'!GC87=0,"",'[1]Tasa de Falla'!GC87)</f>
      </c>
      <c r="H87" s="461">
        <f>IF('[1]Tasa de Falla'!GD87=0,"",'[1]Tasa de Falla'!GD87)</f>
      </c>
      <c r="I87" s="461">
        <f>IF('[1]Tasa de Falla'!GE87=0,"",'[1]Tasa de Falla'!GE87)</f>
      </c>
      <c r="J87" s="461">
        <f>IF('[1]Tasa de Falla'!GF87=0,"",'[1]Tasa de Falla'!GF87)</f>
      </c>
      <c r="K87" s="461">
        <f>IF('[1]Tasa de Falla'!GG87=0,"",'[1]Tasa de Falla'!GG87)</f>
      </c>
      <c r="L87" s="461">
        <f>IF('[1]Tasa de Falla'!GH87=0,"",'[1]Tasa de Falla'!GH87)</f>
      </c>
      <c r="M87" s="461">
        <f>IF('[1]Tasa de Falla'!GI87=0,"",'[1]Tasa de Falla'!GI87)</f>
      </c>
      <c r="N87" s="461">
        <f>IF('[1]Tasa de Falla'!GJ87=0,"",'[1]Tasa de Falla'!GJ87)</f>
      </c>
      <c r="O87" s="461">
        <f>IF('[1]Tasa de Falla'!GK87=0,"",'[1]Tasa de Falla'!GK87)</f>
      </c>
      <c r="P87" s="461">
        <f>IF('[1]Tasa de Falla'!GL87=0,"",'[1]Tasa de Falla'!GL87)</f>
      </c>
      <c r="Q87" s="461">
        <f>IF('[1]Tasa de Falla'!GM87=0,"",'[1]Tasa de Falla'!GM87)</f>
      </c>
      <c r="R87" s="461">
        <f>IF('[1]Tasa de Falla'!GN87=0,"",'[1]Tasa de Falla'!GN87)</f>
      </c>
      <c r="S87" s="467"/>
      <c r="T87" s="468"/>
    </row>
    <row r="88" spans="2:20" s="456" customFormat="1" ht="19.5" customHeight="1">
      <c r="B88" s="457"/>
      <c r="C88" s="469">
        <f>'[1]Tasa de Falla'!C88</f>
        <v>70</v>
      </c>
      <c r="D88" s="470" t="str">
        <f>'[1]Tasa de Falla'!D88</f>
        <v>RECREO - CATAMARCA</v>
      </c>
      <c r="E88" s="470">
        <f>'[1]Tasa de Falla'!E88</f>
        <v>132</v>
      </c>
      <c r="F88" s="471">
        <f>'[1]Tasa de Falla'!F88</f>
        <v>203</v>
      </c>
      <c r="G88" s="461">
        <f>IF('[1]Tasa de Falla'!GC88=0,"",'[1]Tasa de Falla'!GC88)</f>
        <v>1</v>
      </c>
      <c r="H88" s="461">
        <f>IF('[1]Tasa de Falla'!GD88=0,"",'[1]Tasa de Falla'!GD88)</f>
      </c>
      <c r="I88" s="461">
        <f>IF('[1]Tasa de Falla'!GE88=0,"",'[1]Tasa de Falla'!GE88)</f>
      </c>
      <c r="J88" s="461">
        <f>IF('[1]Tasa de Falla'!GF88=0,"",'[1]Tasa de Falla'!GF88)</f>
      </c>
      <c r="K88" s="461">
        <f>IF('[1]Tasa de Falla'!GG88=0,"",'[1]Tasa de Falla'!GG88)</f>
      </c>
      <c r="L88" s="461">
        <f>IF('[1]Tasa de Falla'!GH88=0,"",'[1]Tasa de Falla'!GH88)</f>
        <v>1</v>
      </c>
      <c r="M88" s="461">
        <f>IF('[1]Tasa de Falla'!GI88=0,"",'[1]Tasa de Falla'!GI88)</f>
        <v>1</v>
      </c>
      <c r="N88" s="461">
        <f>IF('[1]Tasa de Falla'!GJ88=0,"",'[1]Tasa de Falla'!GJ88)</f>
        <v>2</v>
      </c>
      <c r="O88" s="461">
        <f>IF('[1]Tasa de Falla'!GK88=0,"",'[1]Tasa de Falla'!GK88)</f>
        <v>1</v>
      </c>
      <c r="P88" s="461">
        <f>IF('[1]Tasa de Falla'!GL88=0,"",'[1]Tasa de Falla'!GL88)</f>
      </c>
      <c r="Q88" s="461">
        <f>IF('[1]Tasa de Falla'!GM88=0,"",'[1]Tasa de Falla'!GM88)</f>
      </c>
      <c r="R88" s="461">
        <f>IF('[1]Tasa de Falla'!GN88=0,"",'[1]Tasa de Falla'!GN88)</f>
      </c>
      <c r="S88" s="467"/>
      <c r="T88" s="468"/>
    </row>
    <row r="89" spans="2:20" s="456" customFormat="1" ht="19.5" customHeight="1">
      <c r="B89" s="457"/>
      <c r="C89" s="464">
        <f>'[1]Tasa de Falla'!C89</f>
        <v>71</v>
      </c>
      <c r="D89" s="465" t="str">
        <f>'[1]Tasa de Falla'!D89</f>
        <v>CABRA CORRAL - EL CARRIL</v>
      </c>
      <c r="E89" s="465">
        <f>'[1]Tasa de Falla'!E89</f>
        <v>132</v>
      </c>
      <c r="F89" s="466">
        <f>'[1]Tasa de Falla'!F89</f>
        <v>33.55</v>
      </c>
      <c r="G89" s="461">
        <f>IF('[1]Tasa de Falla'!GC89=0,"",'[1]Tasa de Falla'!GC89)</f>
      </c>
      <c r="H89" s="461">
        <f>IF('[1]Tasa de Falla'!GD89=0,"",'[1]Tasa de Falla'!GD89)</f>
      </c>
      <c r="I89" s="461">
        <f>IF('[1]Tasa de Falla'!GE89=0,"",'[1]Tasa de Falla'!GE89)</f>
      </c>
      <c r="J89" s="461">
        <f>IF('[1]Tasa de Falla'!GF89=0,"",'[1]Tasa de Falla'!GF89)</f>
      </c>
      <c r="K89" s="461">
        <f>IF('[1]Tasa de Falla'!GG89=0,"",'[1]Tasa de Falla'!GG89)</f>
      </c>
      <c r="L89" s="461">
        <f>IF('[1]Tasa de Falla'!GH89=0,"",'[1]Tasa de Falla'!GH89)</f>
      </c>
      <c r="M89" s="461">
        <f>IF('[1]Tasa de Falla'!GI89=0,"",'[1]Tasa de Falla'!GI89)</f>
      </c>
      <c r="N89" s="461">
        <f>IF('[1]Tasa de Falla'!GJ89=0,"",'[1]Tasa de Falla'!GJ89)</f>
      </c>
      <c r="O89" s="461">
        <f>IF('[1]Tasa de Falla'!GK89=0,"",'[1]Tasa de Falla'!GK89)</f>
      </c>
      <c r="P89" s="461">
        <f>IF('[1]Tasa de Falla'!GL89=0,"",'[1]Tasa de Falla'!GL89)</f>
      </c>
      <c r="Q89" s="461">
        <f>IF('[1]Tasa de Falla'!GM89=0,"",'[1]Tasa de Falla'!GM89)</f>
      </c>
      <c r="R89" s="461">
        <f>IF('[1]Tasa de Falla'!GN89=0,"",'[1]Tasa de Falla'!GN89)</f>
      </c>
      <c r="S89" s="467"/>
      <c r="T89" s="468"/>
    </row>
    <row r="90" spans="2:20" s="456" customFormat="1" ht="19.5" customHeight="1">
      <c r="B90" s="457"/>
      <c r="C90" s="469">
        <f>'[1]Tasa de Falla'!C90</f>
        <v>72</v>
      </c>
      <c r="D90" s="470" t="str">
        <f>'[1]Tasa de Falla'!D90</f>
        <v>PAMPA GRANDE - CABRA CORRAL</v>
      </c>
      <c r="E90" s="470">
        <f>'[1]Tasa de Falla'!E90</f>
        <v>132</v>
      </c>
      <c r="F90" s="471">
        <f>'[1]Tasa de Falla'!F90</f>
        <v>60</v>
      </c>
      <c r="G90" s="461">
        <f>IF('[1]Tasa de Falla'!GC90=0,"",'[1]Tasa de Falla'!GC90)</f>
        <v>3</v>
      </c>
      <c r="H90" s="461">
        <f>IF('[1]Tasa de Falla'!GD90=0,"",'[1]Tasa de Falla'!GD90)</f>
      </c>
      <c r="I90" s="461">
        <f>IF('[1]Tasa de Falla'!GE90=0,"",'[1]Tasa de Falla'!GE90)</f>
      </c>
      <c r="J90" s="461">
        <f>IF('[1]Tasa de Falla'!GF90=0,"",'[1]Tasa de Falla'!GF90)</f>
      </c>
      <c r="K90" s="461">
        <f>IF('[1]Tasa de Falla'!GG90=0,"",'[1]Tasa de Falla'!GG90)</f>
      </c>
      <c r="L90" s="461">
        <f>IF('[1]Tasa de Falla'!GH90=0,"",'[1]Tasa de Falla'!GH90)</f>
        <v>2</v>
      </c>
      <c r="M90" s="461">
        <f>IF('[1]Tasa de Falla'!GI90=0,"",'[1]Tasa de Falla'!GI90)</f>
      </c>
      <c r="N90" s="461">
        <f>IF('[1]Tasa de Falla'!GJ90=0,"",'[1]Tasa de Falla'!GJ90)</f>
      </c>
      <c r="O90" s="461">
        <f>IF('[1]Tasa de Falla'!GK90=0,"",'[1]Tasa de Falla'!GK90)</f>
      </c>
      <c r="P90" s="461">
        <f>IF('[1]Tasa de Falla'!GL90=0,"",'[1]Tasa de Falla'!GL90)</f>
        <v>1</v>
      </c>
      <c r="Q90" s="461">
        <f>IF('[1]Tasa de Falla'!GM90=0,"",'[1]Tasa de Falla'!GM90)</f>
      </c>
      <c r="R90" s="461">
        <f>IF('[1]Tasa de Falla'!GN90=0,"",'[1]Tasa de Falla'!GN90)</f>
      </c>
      <c r="S90" s="467"/>
      <c r="T90" s="468"/>
    </row>
    <row r="91" spans="2:20" s="456" customFormat="1" ht="19.5" customHeight="1">
      <c r="B91" s="457"/>
      <c r="C91" s="464">
        <f>'[1]Tasa de Falla'!C91</f>
        <v>73</v>
      </c>
      <c r="D91" s="465" t="str">
        <f>'[1]Tasa de Falla'!D91</f>
        <v>PAMPA GRANDE - CAFAYATE</v>
      </c>
      <c r="E91" s="465">
        <f>'[1]Tasa de Falla'!E91</f>
        <v>132</v>
      </c>
      <c r="F91" s="466">
        <f>'[1]Tasa de Falla'!F91</f>
        <v>63</v>
      </c>
      <c r="G91" s="461">
        <f>IF('[1]Tasa de Falla'!GC91=0,"",'[1]Tasa de Falla'!GC91)</f>
      </c>
      <c r="H91" s="461">
        <f>IF('[1]Tasa de Falla'!GD91=0,"",'[1]Tasa de Falla'!GD91)</f>
      </c>
      <c r="I91" s="461">
        <f>IF('[1]Tasa de Falla'!GE91=0,"",'[1]Tasa de Falla'!GE91)</f>
      </c>
      <c r="J91" s="461">
        <f>IF('[1]Tasa de Falla'!GF91=0,"",'[1]Tasa de Falla'!GF91)</f>
      </c>
      <c r="K91" s="461">
        <f>IF('[1]Tasa de Falla'!GG91=0,"",'[1]Tasa de Falla'!GG91)</f>
      </c>
      <c r="L91" s="461">
        <f>IF('[1]Tasa de Falla'!GH91=0,"",'[1]Tasa de Falla'!GH91)</f>
      </c>
      <c r="M91" s="461">
        <f>IF('[1]Tasa de Falla'!GI91=0,"",'[1]Tasa de Falla'!GI91)</f>
      </c>
      <c r="N91" s="461">
        <f>IF('[1]Tasa de Falla'!GJ91=0,"",'[1]Tasa de Falla'!GJ91)</f>
      </c>
      <c r="O91" s="461">
        <f>IF('[1]Tasa de Falla'!GK91=0,"",'[1]Tasa de Falla'!GK91)</f>
      </c>
      <c r="P91" s="461">
        <f>IF('[1]Tasa de Falla'!GL91=0,"",'[1]Tasa de Falla'!GL91)</f>
      </c>
      <c r="Q91" s="461">
        <f>IF('[1]Tasa de Falla'!GM91=0,"",'[1]Tasa de Falla'!GM91)</f>
      </c>
      <c r="R91" s="461">
        <f>IF('[1]Tasa de Falla'!GN91=0,"",'[1]Tasa de Falla'!GN91)</f>
      </c>
      <c r="S91" s="467"/>
      <c r="T91" s="468"/>
    </row>
    <row r="92" spans="2:20" s="456" customFormat="1" ht="19.5" customHeight="1">
      <c r="B92" s="457"/>
      <c r="C92" s="469">
        <f>'[1]Tasa de Falla'!C92</f>
        <v>74</v>
      </c>
      <c r="D92" s="470" t="str">
        <f>'[1]Tasa de Falla'!D92</f>
        <v>PAMPA GRANDE - TRANCAS</v>
      </c>
      <c r="E92" s="470">
        <f>'[1]Tasa de Falla'!E92</f>
        <v>132</v>
      </c>
      <c r="F92" s="471">
        <f>'[1]Tasa de Falla'!F92</f>
        <v>55</v>
      </c>
      <c r="G92" s="461">
        <f>IF('[1]Tasa de Falla'!GC92=0,"",'[1]Tasa de Falla'!GC92)</f>
        <v>1</v>
      </c>
      <c r="H92" s="461">
        <f>IF('[1]Tasa de Falla'!GD92=0,"",'[1]Tasa de Falla'!GD92)</f>
        <v>1</v>
      </c>
      <c r="I92" s="461">
        <f>IF('[1]Tasa de Falla'!GE92=0,"",'[1]Tasa de Falla'!GE92)</f>
        <v>1</v>
      </c>
      <c r="J92" s="461">
        <f>IF('[1]Tasa de Falla'!GF92=0,"",'[1]Tasa de Falla'!GF92)</f>
      </c>
      <c r="K92" s="461">
        <f>IF('[1]Tasa de Falla'!GG92=0,"",'[1]Tasa de Falla'!GG92)</f>
        <v>2</v>
      </c>
      <c r="L92" s="461">
        <f>IF('[1]Tasa de Falla'!GH92=0,"",'[1]Tasa de Falla'!GH92)</f>
        <v>3</v>
      </c>
      <c r="M92" s="461">
        <f>IF('[1]Tasa de Falla'!GI92=0,"",'[1]Tasa de Falla'!GI92)</f>
        <v>1</v>
      </c>
      <c r="N92" s="461">
        <f>IF('[1]Tasa de Falla'!GJ92=0,"",'[1]Tasa de Falla'!GJ92)</f>
      </c>
      <c r="O92" s="461">
        <f>IF('[1]Tasa de Falla'!GK92=0,"",'[1]Tasa de Falla'!GK92)</f>
      </c>
      <c r="P92" s="461">
        <f>IF('[1]Tasa de Falla'!GL92=0,"",'[1]Tasa de Falla'!GL92)</f>
      </c>
      <c r="Q92" s="461">
        <f>IF('[1]Tasa de Falla'!GM92=0,"",'[1]Tasa de Falla'!GM92)</f>
      </c>
      <c r="R92" s="461">
        <f>IF('[1]Tasa de Falla'!GN92=0,"",'[1]Tasa de Falla'!GN92)</f>
      </c>
      <c r="S92" s="467"/>
      <c r="T92" s="468"/>
    </row>
    <row r="93" spans="2:20" s="456" customFormat="1" ht="19.5" customHeight="1">
      <c r="B93" s="457"/>
      <c r="C93" s="464">
        <f>'[1]Tasa de Falla'!C93</f>
        <v>75</v>
      </c>
      <c r="D93" s="465" t="str">
        <f>'[1]Tasa de Falla'!D93</f>
        <v>SANTIAGO CENTRO - SUNCHO CORRAL </v>
      </c>
      <c r="E93" s="465">
        <f>'[1]Tasa de Falla'!E93</f>
        <v>132</v>
      </c>
      <c r="F93" s="466">
        <f>'[1]Tasa de Falla'!F93</f>
        <v>103</v>
      </c>
      <c r="G93" s="461">
        <f>IF('[1]Tasa de Falla'!GC93=0,"",'[1]Tasa de Falla'!GC93)</f>
      </c>
      <c r="H93" s="461">
        <f>IF('[1]Tasa de Falla'!GD93=0,"",'[1]Tasa de Falla'!GD93)</f>
      </c>
      <c r="I93" s="461">
        <f>IF('[1]Tasa de Falla'!GE93=0,"",'[1]Tasa de Falla'!GE93)</f>
      </c>
      <c r="J93" s="461">
        <f>IF('[1]Tasa de Falla'!GF93=0,"",'[1]Tasa de Falla'!GF93)</f>
      </c>
      <c r="K93" s="461">
        <f>IF('[1]Tasa de Falla'!GG93=0,"",'[1]Tasa de Falla'!GG93)</f>
        <v>1</v>
      </c>
      <c r="L93" s="461">
        <f>IF('[1]Tasa de Falla'!GH93=0,"",'[1]Tasa de Falla'!GH93)</f>
      </c>
      <c r="M93" s="461">
        <f>IF('[1]Tasa de Falla'!GI93=0,"",'[1]Tasa de Falla'!GI93)</f>
        <v>1</v>
      </c>
      <c r="N93" s="461">
        <f>IF('[1]Tasa de Falla'!GJ93=0,"",'[1]Tasa de Falla'!GJ93)</f>
        <v>1</v>
      </c>
      <c r="O93" s="461">
        <f>IF('[1]Tasa de Falla'!GK93=0,"",'[1]Tasa de Falla'!GK93)</f>
      </c>
      <c r="P93" s="461">
        <f>IF('[1]Tasa de Falla'!GL93=0,"",'[1]Tasa de Falla'!GL93)</f>
      </c>
      <c r="Q93" s="461">
        <f>IF('[1]Tasa de Falla'!GM93=0,"",'[1]Tasa de Falla'!GM93)</f>
      </c>
      <c r="R93" s="461">
        <f>IF('[1]Tasa de Falla'!GN93=0,"",'[1]Tasa de Falla'!GN93)</f>
      </c>
      <c r="S93" s="467"/>
      <c r="T93" s="468"/>
    </row>
    <row r="94" spans="2:20" s="456" customFormat="1" ht="19.5" customHeight="1">
      <c r="B94" s="457"/>
      <c r="C94" s="474">
        <v>76</v>
      </c>
      <c r="D94" s="475" t="s">
        <v>85</v>
      </c>
      <c r="E94" s="475">
        <v>132</v>
      </c>
      <c r="F94" s="476">
        <v>81</v>
      </c>
      <c r="G94" s="461">
        <f>IF('[1]Tasa de Falla'!GC94=0,"",'[1]Tasa de Falla'!GC94)</f>
      </c>
      <c r="H94" s="461">
        <f>IF('[1]Tasa de Falla'!GD94=0,"",'[1]Tasa de Falla'!GD94)</f>
      </c>
      <c r="I94" s="461">
        <f>IF('[1]Tasa de Falla'!GE94=0,"",'[1]Tasa de Falla'!GE94)</f>
      </c>
      <c r="J94" s="461">
        <f>IF('[1]Tasa de Falla'!GF94=0,"",'[1]Tasa de Falla'!GF94)</f>
      </c>
      <c r="K94" s="461">
        <f>IF('[1]Tasa de Falla'!GG94=0,"",'[1]Tasa de Falla'!GG94)</f>
      </c>
      <c r="L94" s="461">
        <f>IF('[1]Tasa de Falla'!GH94=0,"",'[1]Tasa de Falla'!GH94)</f>
        <v>1</v>
      </c>
      <c r="M94" s="461">
        <f>IF('[1]Tasa de Falla'!GI94=0,"",'[1]Tasa de Falla'!GI94)</f>
      </c>
      <c r="N94" s="461">
        <f>IF('[1]Tasa de Falla'!GJ94=0,"",'[1]Tasa de Falla'!GJ94)</f>
      </c>
      <c r="O94" s="461">
        <f>IF('[1]Tasa de Falla'!GK94=0,"",'[1]Tasa de Falla'!GK94)</f>
      </c>
      <c r="P94" s="461">
        <f>IF('[1]Tasa de Falla'!GL94=0,"",'[1]Tasa de Falla'!GL94)</f>
      </c>
      <c r="Q94" s="461">
        <f>IF('[1]Tasa de Falla'!GM94=0,"",'[1]Tasa de Falla'!GM94)</f>
      </c>
      <c r="R94" s="461">
        <f>IF('[1]Tasa de Falla'!GN94=0,"",'[1]Tasa de Falla'!GN94)</f>
      </c>
      <c r="S94" s="467"/>
      <c r="T94" s="468"/>
    </row>
    <row r="95" spans="2:20" s="456" customFormat="1" ht="19.5" customHeight="1">
      <c r="B95" s="457"/>
      <c r="C95" s="469">
        <v>77</v>
      </c>
      <c r="D95" s="470" t="s">
        <v>151</v>
      </c>
      <c r="E95" s="470">
        <v>132</v>
      </c>
      <c r="F95" s="471">
        <v>42</v>
      </c>
      <c r="G95" s="461">
        <f>IF('[1]Tasa de Falla'!GC95=0,"",'[1]Tasa de Falla'!GC95)</f>
      </c>
      <c r="H95" s="461">
        <f>IF('[1]Tasa de Falla'!GD95=0,"",'[1]Tasa de Falla'!GD95)</f>
      </c>
      <c r="I95" s="461">
        <f>IF('[1]Tasa de Falla'!GE95=0,"",'[1]Tasa de Falla'!GE95)</f>
      </c>
      <c r="J95" s="461">
        <f>IF('[1]Tasa de Falla'!GF95=0,"",'[1]Tasa de Falla'!GF95)</f>
      </c>
      <c r="K95" s="461">
        <f>IF('[1]Tasa de Falla'!GG95=0,"",'[1]Tasa de Falla'!GG95)</f>
      </c>
      <c r="L95" s="461">
        <f>IF('[1]Tasa de Falla'!GH95=0,"",'[1]Tasa de Falla'!GH95)</f>
      </c>
      <c r="M95" s="461">
        <f>IF('[1]Tasa de Falla'!GI95=0,"",'[1]Tasa de Falla'!GI95)</f>
      </c>
      <c r="N95" s="461">
        <f>IF('[1]Tasa de Falla'!GJ95=0,"",'[1]Tasa de Falla'!GJ95)</f>
      </c>
      <c r="O95" s="461">
        <f>IF('[1]Tasa de Falla'!GK95=0,"",'[1]Tasa de Falla'!GK95)</f>
      </c>
      <c r="P95" s="461">
        <f>IF('[1]Tasa de Falla'!GL95=0,"",'[1]Tasa de Falla'!GL95)</f>
      </c>
      <c r="Q95" s="461">
        <f>IF('[1]Tasa de Falla'!GM95=0,"",'[1]Tasa de Falla'!GM95)</f>
      </c>
      <c r="R95" s="461">
        <f>IF('[1]Tasa de Falla'!GN95=0,"",'[1]Tasa de Falla'!GN95)</f>
        <v>1</v>
      </c>
      <c r="S95" s="467"/>
      <c r="T95" s="468"/>
    </row>
    <row r="96" spans="2:20" s="456" customFormat="1" ht="19.5" customHeight="1">
      <c r="B96" s="457"/>
      <c r="C96" s="474">
        <v>78</v>
      </c>
      <c r="D96" s="475" t="s">
        <v>152</v>
      </c>
      <c r="E96" s="475">
        <v>132</v>
      </c>
      <c r="F96" s="476">
        <v>17.1</v>
      </c>
      <c r="G96" s="461">
        <f>IF('[1]Tasa de Falla'!GC96=0,"",'[1]Tasa de Falla'!GC96)</f>
      </c>
      <c r="H96" s="461">
        <f>IF('[1]Tasa de Falla'!GD96=0,"",'[1]Tasa de Falla'!GD96)</f>
      </c>
      <c r="I96" s="461">
        <f>IF('[1]Tasa de Falla'!GE96=0,"",'[1]Tasa de Falla'!GE96)</f>
        <v>1</v>
      </c>
      <c r="J96" s="461">
        <f>IF('[1]Tasa de Falla'!GF96=0,"",'[1]Tasa de Falla'!GF96)</f>
      </c>
      <c r="K96" s="461">
        <f>IF('[1]Tasa de Falla'!GG96=0,"",'[1]Tasa de Falla'!GG96)</f>
      </c>
      <c r="L96" s="461">
        <f>IF('[1]Tasa de Falla'!GH96=0,"",'[1]Tasa de Falla'!GH96)</f>
      </c>
      <c r="M96" s="461">
        <f>IF('[1]Tasa de Falla'!GI96=0,"",'[1]Tasa de Falla'!GI96)</f>
      </c>
      <c r="N96" s="461">
        <f>IF('[1]Tasa de Falla'!GJ96=0,"",'[1]Tasa de Falla'!GJ96)</f>
        <v>1</v>
      </c>
      <c r="O96" s="461">
        <f>IF('[1]Tasa de Falla'!GK96=0,"",'[1]Tasa de Falla'!GK96)</f>
        <v>1</v>
      </c>
      <c r="P96" s="461">
        <f>IF('[1]Tasa de Falla'!GL96=0,"",'[1]Tasa de Falla'!GL96)</f>
        <v>1</v>
      </c>
      <c r="Q96" s="461">
        <f>IF('[1]Tasa de Falla'!GM96=0,"",'[1]Tasa de Falla'!GM96)</f>
      </c>
      <c r="R96" s="461">
        <f>IF('[1]Tasa de Falla'!GN96=0,"",'[1]Tasa de Falla'!GN96)</f>
      </c>
      <c r="S96" s="467"/>
      <c r="T96" s="468"/>
    </row>
    <row r="97" spans="2:20" s="456" customFormat="1" ht="19.5" customHeight="1">
      <c r="B97" s="457"/>
      <c r="C97" s="469">
        <v>79</v>
      </c>
      <c r="D97" s="470" t="s">
        <v>153</v>
      </c>
      <c r="E97" s="470">
        <v>132</v>
      </c>
      <c r="F97" s="471">
        <v>40.92</v>
      </c>
      <c r="G97" s="461">
        <f>IF('[1]Tasa de Falla'!GC97=0,"",'[1]Tasa de Falla'!GC97)</f>
        <v>1</v>
      </c>
      <c r="H97" s="461">
        <f>IF('[1]Tasa de Falla'!GD97=0,"",'[1]Tasa de Falla'!GD97)</f>
      </c>
      <c r="I97" s="461">
        <f>IF('[1]Tasa de Falla'!GE97=0,"",'[1]Tasa de Falla'!GE97)</f>
      </c>
      <c r="J97" s="461">
        <f>IF('[1]Tasa de Falla'!GF97=0,"",'[1]Tasa de Falla'!GF97)</f>
      </c>
      <c r="K97" s="461">
        <f>IF('[1]Tasa de Falla'!GG97=0,"",'[1]Tasa de Falla'!GG97)</f>
      </c>
      <c r="L97" s="461">
        <f>IF('[1]Tasa de Falla'!GH97=0,"",'[1]Tasa de Falla'!GH97)</f>
      </c>
      <c r="M97" s="461">
        <f>IF('[1]Tasa de Falla'!GI97=0,"",'[1]Tasa de Falla'!GI97)</f>
      </c>
      <c r="N97" s="461">
        <f>IF('[1]Tasa de Falla'!GJ97=0,"",'[1]Tasa de Falla'!GJ97)</f>
      </c>
      <c r="O97" s="461">
        <f>IF('[1]Tasa de Falla'!GK97=0,"",'[1]Tasa de Falla'!GK97)</f>
      </c>
      <c r="P97" s="461">
        <f>IF('[1]Tasa de Falla'!GL97=0,"",'[1]Tasa de Falla'!GL97)</f>
      </c>
      <c r="Q97" s="461">
        <f>IF('[1]Tasa de Falla'!GM97=0,"",'[1]Tasa de Falla'!GM97)</f>
      </c>
      <c r="R97" s="461">
        <f>IF('[1]Tasa de Falla'!GN97=0,"",'[1]Tasa de Falla'!GN97)</f>
      </c>
      <c r="S97" s="467"/>
      <c r="T97" s="468"/>
    </row>
    <row r="98" spans="2:20" s="456" customFormat="1" ht="19.5" customHeight="1">
      <c r="B98" s="457"/>
      <c r="C98" s="474">
        <v>80</v>
      </c>
      <c r="D98" s="475" t="s">
        <v>154</v>
      </c>
      <c r="E98" s="475">
        <v>132</v>
      </c>
      <c r="F98" s="476">
        <v>227.2</v>
      </c>
      <c r="G98" s="461" t="str">
        <f>IF('[1]Tasa de Falla'!GC98=0,"",'[1]Tasa de Falla'!GC98)</f>
        <v>XXXX</v>
      </c>
      <c r="H98" s="461" t="str">
        <f>IF('[1]Tasa de Falla'!GD98=0,"",'[1]Tasa de Falla'!GD98)</f>
        <v>XXXX</v>
      </c>
      <c r="I98" s="461" t="str">
        <f>IF('[1]Tasa de Falla'!GE98=0,"",'[1]Tasa de Falla'!GE98)</f>
        <v>XXXX</v>
      </c>
      <c r="J98" s="461" t="str">
        <f>IF('[1]Tasa de Falla'!GF98=0,"",'[1]Tasa de Falla'!GF98)</f>
        <v>XXXX</v>
      </c>
      <c r="K98" s="461" t="str">
        <f>IF('[1]Tasa de Falla'!GG98=0,"",'[1]Tasa de Falla'!GG98)</f>
        <v>XXXX</v>
      </c>
      <c r="L98" s="461" t="str">
        <f>IF('[1]Tasa de Falla'!GH98=0,"",'[1]Tasa de Falla'!GH98)</f>
        <v>XXXX</v>
      </c>
      <c r="M98" s="461" t="str">
        <f>IF('[1]Tasa de Falla'!GI98=0,"",'[1]Tasa de Falla'!GI98)</f>
        <v>XXXX</v>
      </c>
      <c r="N98" s="461" t="str">
        <f>IF('[1]Tasa de Falla'!GJ98=0,"",'[1]Tasa de Falla'!GJ98)</f>
        <v>XXXX</v>
      </c>
      <c r="O98" s="461" t="str">
        <f>IF('[1]Tasa de Falla'!GK98=0,"",'[1]Tasa de Falla'!GK98)</f>
        <v>XXXX</v>
      </c>
      <c r="P98" s="461" t="str">
        <f>IF('[1]Tasa de Falla'!GL98=0,"",'[1]Tasa de Falla'!GL98)</f>
        <v>XXXX</v>
      </c>
      <c r="Q98" s="461" t="str">
        <f>IF('[1]Tasa de Falla'!GM98=0,"",'[1]Tasa de Falla'!GM98)</f>
        <v>XXXX</v>
      </c>
      <c r="R98" s="461" t="str">
        <f>IF('[1]Tasa de Falla'!GN98=0,"",'[1]Tasa de Falla'!GN98)</f>
        <v>XXXX</v>
      </c>
      <c r="S98" s="467"/>
      <c r="T98" s="468"/>
    </row>
    <row r="99" spans="2:20" s="456" customFormat="1" ht="19.5" customHeight="1">
      <c r="B99" s="457"/>
      <c r="C99" s="469">
        <v>81</v>
      </c>
      <c r="D99" s="470" t="s">
        <v>155</v>
      </c>
      <c r="E99" s="470">
        <v>132</v>
      </c>
      <c r="F99" s="471">
        <v>12</v>
      </c>
      <c r="G99" s="461">
        <f>IF('[1]Tasa de Falla'!GC99=0,"",'[1]Tasa de Falla'!GC99)</f>
      </c>
      <c r="H99" s="461">
        <f>IF('[1]Tasa de Falla'!GD99=0,"",'[1]Tasa de Falla'!GD99)</f>
      </c>
      <c r="I99" s="461">
        <f>IF('[1]Tasa de Falla'!GE99=0,"",'[1]Tasa de Falla'!GE99)</f>
      </c>
      <c r="J99" s="461">
        <f>IF('[1]Tasa de Falla'!GF99=0,"",'[1]Tasa de Falla'!GF99)</f>
      </c>
      <c r="K99" s="461">
        <f>IF('[1]Tasa de Falla'!GG99=0,"",'[1]Tasa de Falla'!GG99)</f>
        <v>1</v>
      </c>
      <c r="L99" s="461">
        <f>IF('[1]Tasa de Falla'!GH99=0,"",'[1]Tasa de Falla'!GH99)</f>
      </c>
      <c r="M99" s="461">
        <f>IF('[1]Tasa de Falla'!GI99=0,"",'[1]Tasa de Falla'!GI99)</f>
      </c>
      <c r="N99" s="461">
        <f>IF('[1]Tasa de Falla'!GJ99=0,"",'[1]Tasa de Falla'!GJ99)</f>
      </c>
      <c r="O99" s="461">
        <f>IF('[1]Tasa de Falla'!GK99=0,"",'[1]Tasa de Falla'!GK99)</f>
      </c>
      <c r="P99" s="461">
        <f>IF('[1]Tasa de Falla'!GL99=0,"",'[1]Tasa de Falla'!GL99)</f>
      </c>
      <c r="Q99" s="461">
        <f>IF('[1]Tasa de Falla'!GM99=0,"",'[1]Tasa de Falla'!GM99)</f>
      </c>
      <c r="R99" s="461">
        <f>IF('[1]Tasa de Falla'!GN99=0,"",'[1]Tasa de Falla'!GN99)</f>
      </c>
      <c r="S99" s="467"/>
      <c r="T99" s="468"/>
    </row>
    <row r="100" spans="2:20" s="456" customFormat="1" ht="19.5" customHeight="1">
      <c r="B100" s="457"/>
      <c r="C100" s="474">
        <v>82</v>
      </c>
      <c r="D100" s="475" t="s">
        <v>130</v>
      </c>
      <c r="E100" s="475">
        <v>132</v>
      </c>
      <c r="F100" s="476">
        <v>76</v>
      </c>
      <c r="G100" s="461">
        <f>IF('[1]Tasa de Falla'!GC102=0,"",'[1]Tasa de Falla'!GC102)</f>
      </c>
      <c r="H100" s="461">
        <f>IF('[1]Tasa de Falla'!GD102=0,"",'[1]Tasa de Falla'!GD102)</f>
      </c>
      <c r="I100" s="461">
        <f>IF('[1]Tasa de Falla'!GE102=0,"",'[1]Tasa de Falla'!GE102)</f>
      </c>
      <c r="J100" s="461">
        <f>IF('[1]Tasa de Falla'!GF102=0,"",'[1]Tasa de Falla'!GF102)</f>
      </c>
      <c r="K100" s="461">
        <f>IF('[1]Tasa de Falla'!GG102=0,"",'[1]Tasa de Falla'!GG102)</f>
      </c>
      <c r="L100" s="461">
        <f>IF('[1]Tasa de Falla'!GH102=0,"",'[1]Tasa de Falla'!GH102)</f>
      </c>
      <c r="M100" s="461">
        <f>IF('[1]Tasa de Falla'!GI102=0,"",'[1]Tasa de Falla'!GI102)</f>
      </c>
      <c r="N100" s="461">
        <f>IF('[1]Tasa de Falla'!GJ102=0,"",'[1]Tasa de Falla'!GJ102)</f>
      </c>
      <c r="O100" s="461">
        <f>IF('[1]Tasa de Falla'!GK102=0,"",'[1]Tasa de Falla'!GK102)</f>
      </c>
      <c r="P100" s="461">
        <f>IF('[1]Tasa de Falla'!GL102=0,"",'[1]Tasa de Falla'!GL102)</f>
      </c>
      <c r="Q100" s="461">
        <f>IF('[1]Tasa de Falla'!GM102=0,"",'[1]Tasa de Falla'!GM102)</f>
      </c>
      <c r="R100" s="461">
        <f>IF('[1]Tasa de Falla'!GN102=0,"",'[1]Tasa de Falla'!GN102)</f>
      </c>
      <c r="S100" s="467"/>
      <c r="T100" s="468"/>
    </row>
    <row r="101" spans="2:20" s="456" customFormat="1" ht="19.5" customHeight="1" thickBot="1">
      <c r="B101" s="457"/>
      <c r="C101" s="477"/>
      <c r="D101" s="478"/>
      <c r="E101" s="479"/>
      <c r="F101" s="480"/>
      <c r="G101" s="481"/>
      <c r="H101" s="481"/>
      <c r="I101" s="481"/>
      <c r="J101" s="481"/>
      <c r="K101" s="481"/>
      <c r="L101" s="481"/>
      <c r="M101" s="481"/>
      <c r="N101" s="481"/>
      <c r="O101" s="481"/>
      <c r="P101" s="481"/>
      <c r="Q101" s="481"/>
      <c r="R101" s="481"/>
      <c r="S101" s="467"/>
      <c r="T101" s="468"/>
    </row>
    <row r="102" spans="2:20" ht="15" customHeight="1" thickBot="1" thickTop="1">
      <c r="B102" s="420"/>
      <c r="C102" s="84"/>
      <c r="D102" s="163"/>
      <c r="E102" s="482" t="s">
        <v>156</v>
      </c>
      <c r="F102" s="483">
        <f>SUM(F16:F101)</f>
        <v>5493.790000000001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84"/>
      <c r="R102" s="484"/>
      <c r="S102" s="485"/>
      <c r="T102" s="486"/>
    </row>
    <row r="103" spans="2:20" ht="15" customHeight="1" thickBot="1" thickTop="1">
      <c r="B103" s="420"/>
      <c r="C103" s="7"/>
      <c r="D103" s="487"/>
      <c r="F103" s="488" t="s">
        <v>157</v>
      </c>
      <c r="G103" s="489">
        <f>SUM(G17:G101)</f>
        <v>7</v>
      </c>
      <c r="H103" s="489">
        <f>SUM(H17:H101)</f>
        <v>2</v>
      </c>
      <c r="I103" s="489">
        <f aca="true" t="shared" si="0" ref="I103:R103">SUM(I17:I101)</f>
        <v>5</v>
      </c>
      <c r="J103" s="489">
        <f t="shared" si="0"/>
        <v>2</v>
      </c>
      <c r="K103" s="489">
        <f t="shared" si="0"/>
        <v>16</v>
      </c>
      <c r="L103" s="489">
        <f t="shared" si="0"/>
        <v>10</v>
      </c>
      <c r="M103" s="489">
        <f t="shared" si="0"/>
        <v>10</v>
      </c>
      <c r="N103" s="489">
        <f t="shared" si="0"/>
        <v>7</v>
      </c>
      <c r="O103" s="489">
        <f t="shared" si="0"/>
        <v>10</v>
      </c>
      <c r="P103" s="489">
        <f t="shared" si="0"/>
        <v>7</v>
      </c>
      <c r="Q103" s="489">
        <f t="shared" si="0"/>
        <v>3</v>
      </c>
      <c r="R103" s="489">
        <f t="shared" si="0"/>
        <v>4</v>
      </c>
      <c r="S103" s="489"/>
      <c r="T103" s="490"/>
    </row>
    <row r="104" spans="2:20" ht="17.25" thickBot="1" thickTop="1">
      <c r="B104" s="420"/>
      <c r="C104" s="7"/>
      <c r="D104" s="7"/>
      <c r="E104" s="7"/>
      <c r="F104" s="491" t="s">
        <v>158</v>
      </c>
      <c r="G104" s="492">
        <f>+'[1]Tasa de Falla'!GC126</f>
        <v>3.65</v>
      </c>
      <c r="H104" s="492">
        <f>+'[1]Tasa de Falla'!GD126</f>
        <v>3.76</v>
      </c>
      <c r="I104" s="492">
        <f>+'[1]Tasa de Falla'!GE126</f>
        <v>3.49</v>
      </c>
      <c r="J104" s="492">
        <f>+'[1]Tasa de Falla'!GF126</f>
        <v>3.44</v>
      </c>
      <c r="K104" s="492">
        <f>+'[1]Tasa de Falla'!GG126</f>
        <v>3.31</v>
      </c>
      <c r="L104" s="492">
        <f>+'[1]Tasa de Falla'!GH126</f>
        <v>3.36</v>
      </c>
      <c r="M104" s="492">
        <f>+'[1]Tasa de Falla'!GI126</f>
        <v>3.49</v>
      </c>
      <c r="N104" s="492">
        <f>+'[1]Tasa de Falla'!GJ126</f>
        <v>3.44</v>
      </c>
      <c r="O104" s="492">
        <f>+'[1]Tasa de Falla'!GK126</f>
        <v>2.96</v>
      </c>
      <c r="P104" s="492">
        <f>+'[1]Tasa de Falla'!GL126</f>
        <v>3.01</v>
      </c>
      <c r="Q104" s="492">
        <f>+'[1]Tasa de Falla'!GM126</f>
        <v>2.8</v>
      </c>
      <c r="R104" s="492">
        <f>+'[1]Tasa de Falla'!GN126</f>
        <v>2.46</v>
      </c>
      <c r="S104" s="492">
        <f>+'[1]Tasa de Falla'!GO126</f>
        <v>2.24</v>
      </c>
      <c r="T104" s="493"/>
    </row>
    <row r="105" spans="2:21" ht="18.75" customHeight="1" thickBot="1" thickTop="1">
      <c r="B105" s="420"/>
      <c r="C105" s="494"/>
      <c r="D105" s="47" t="s">
        <v>159</v>
      </c>
      <c r="E105" s="495"/>
      <c r="F105" s="496"/>
      <c r="G105" s="497"/>
      <c r="H105" s="497"/>
      <c r="I105" s="497"/>
      <c r="J105" s="497"/>
      <c r="K105" s="497"/>
      <c r="L105" s="497"/>
      <c r="M105" s="497"/>
      <c r="N105" s="497"/>
      <c r="O105" s="497"/>
      <c r="P105" s="497"/>
      <c r="Q105" s="497"/>
      <c r="R105" s="497"/>
      <c r="S105" s="497"/>
      <c r="T105" s="498"/>
      <c r="U105" s="499"/>
    </row>
    <row r="106" spans="2:20" ht="19.5" thickBot="1" thickTop="1">
      <c r="B106" s="424"/>
      <c r="C106" s="500" t="s">
        <v>160</v>
      </c>
      <c r="D106" s="47" t="s">
        <v>161</v>
      </c>
      <c r="J106" s="425" t="s">
        <v>141</v>
      </c>
      <c r="K106" s="501"/>
      <c r="L106" s="501"/>
      <c r="M106" s="502">
        <f>S104</f>
        <v>2.24</v>
      </c>
      <c r="N106" s="503" t="s">
        <v>142</v>
      </c>
      <c r="O106" s="503"/>
      <c r="P106" s="503"/>
      <c r="Q106" s="426"/>
      <c r="R106" s="1"/>
      <c r="S106" s="1"/>
      <c r="T106" s="419"/>
    </row>
    <row r="107" spans="2:20" ht="18.75" customHeight="1" thickBot="1">
      <c r="B107" s="427"/>
      <c r="C107" s="428"/>
      <c r="D107" s="94"/>
      <c r="E107" s="94"/>
      <c r="F107" s="429"/>
      <c r="G107" s="430"/>
      <c r="H107" s="430"/>
      <c r="I107" s="430"/>
      <c r="J107" s="430"/>
      <c r="K107" s="430"/>
      <c r="L107" s="430"/>
      <c r="M107" s="430"/>
      <c r="N107" s="430"/>
      <c r="O107" s="430"/>
      <c r="P107" s="430"/>
      <c r="Q107" s="430"/>
      <c r="R107" s="430"/>
      <c r="S107" s="430"/>
      <c r="T107" s="431"/>
    </row>
    <row r="108" spans="2:21" ht="15" customHeight="1" thickTop="1">
      <c r="B108" s="432"/>
      <c r="C108" s="1"/>
      <c r="D108" s="1"/>
      <c r="E108" s="1"/>
      <c r="F108" s="433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ht="12.75">
      <c r="B109" s="504"/>
      <c r="C109" s="505"/>
      <c r="D109" s="505"/>
      <c r="E109" s="505"/>
      <c r="F109" s="505"/>
      <c r="G109" s="505"/>
      <c r="H109" s="505"/>
      <c r="I109" s="505"/>
      <c r="J109" s="505"/>
      <c r="K109" s="505"/>
      <c r="L109" s="505"/>
      <c r="M109" s="505"/>
      <c r="N109" s="505"/>
      <c r="O109" s="505"/>
      <c r="P109" s="505"/>
      <c r="Q109" s="505"/>
      <c r="R109" s="505"/>
      <c r="S109" s="505"/>
      <c r="T109" s="505"/>
      <c r="U109" s="505"/>
    </row>
    <row r="110" ht="12.75">
      <c r="B110" s="506"/>
    </row>
    <row r="111" spans="2:21" ht="22.5" customHeight="1">
      <c r="B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ht="22.5" customHeight="1">
      <c r="B112" s="1"/>
      <c r="C112" s="1"/>
      <c r="D112" s="434"/>
      <c r="E112" s="434"/>
      <c r="F112" s="422"/>
      <c r="G112" s="435"/>
      <c r="H112" s="435"/>
      <c r="I112" s="435"/>
      <c r="J112" s="435"/>
      <c r="K112" s="435"/>
      <c r="L112" s="435"/>
      <c r="M112" s="435"/>
      <c r="N112" s="435"/>
      <c r="O112" s="435"/>
      <c r="P112" s="435"/>
      <c r="Q112" s="435"/>
      <c r="R112" s="435"/>
      <c r="S112" s="435"/>
      <c r="T112" s="435"/>
      <c r="U112" s="435"/>
    </row>
    <row r="113" spans="2:21" ht="22.5" customHeight="1">
      <c r="B113" s="1"/>
      <c r="C113" s="1"/>
      <c r="D113" s="434"/>
      <c r="E113" s="434"/>
      <c r="F113" s="436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ht="22.5" customHeight="1">
      <c r="B114" s="1"/>
      <c r="C114" s="1"/>
      <c r="D114" s="423"/>
      <c r="E114" s="423"/>
      <c r="F114" s="423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ht="22.5" customHeight="1">
      <c r="B115" s="1"/>
      <c r="C115" s="1"/>
      <c r="D115" s="434"/>
      <c r="E115" s="434"/>
      <c r="F115" s="423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</sheetData>
  <mergeCells count="2">
    <mergeCell ref="A3:C3"/>
    <mergeCell ref="A4:C4"/>
  </mergeCells>
  <printOptions horizontalCentered="1"/>
  <pageMargins left="0.3937007874015748" right="0.1968503937007874" top="0.7874015748031497" bottom="0.7874015748031497" header="0.5118110236220472" footer="0.5118110236220472"/>
  <pageSetup fitToHeight="1" fitToWidth="1" horizontalDpi="300" verticalDpi="300" orientation="portrait" paperSize="9" scale="22" r:id="rId2"/>
  <headerFooter alignWithMargins="0">
    <oddFooter>&amp;L&amp;"Times New Roman,Normal"&amp;5&amp;F  - TRANSPORTE de ENERGÍA ELÉCTRICA -PJL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ndopico</cp:lastModifiedBy>
  <cp:lastPrinted>2011-10-25T13:56:06Z</cp:lastPrinted>
  <dcterms:created xsi:type="dcterms:W3CDTF">1998-04-21T14:04:37Z</dcterms:created>
  <dcterms:modified xsi:type="dcterms:W3CDTF">2011-11-01T19:17:47Z</dcterms:modified>
  <cp:category/>
  <cp:version/>
  <cp:contentType/>
  <cp:contentStatus/>
</cp:coreProperties>
</file>