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12" activeTab="0"/>
  </bookViews>
  <sheets>
    <sheet name="tot-0103" sheetId="1" r:id="rId1"/>
    <sheet name="LI-0103" sheetId="2" r:id="rId2"/>
    <sheet name="LI-0103 (2)" sheetId="3" r:id="rId3"/>
    <sheet name="Incendios Campo" sheetId="4" r:id="rId4"/>
    <sheet name="tiempos E.T" sheetId="5" r:id="rId5"/>
    <sheet name="LI (C. climt. en ET)" sheetId="6" r:id="rId6"/>
    <sheet name="TR-0103" sheetId="7" r:id="rId7"/>
    <sheet name="SA-0103" sheetId="8" r:id="rId8"/>
    <sheet name="SALIDA-TIBA" sheetId="9" r:id="rId9"/>
    <sheet name="SA-CTM" sheetId="10" r:id="rId10"/>
    <sheet name="RE-0103" sheetId="11" r:id="rId11"/>
    <sheet name="RE-0103 (2)" sheetId="12" r:id="rId12"/>
    <sheet name="React (C. climat. en  ET)" sheetId="13" r:id="rId13"/>
    <sheet name="SU (TIBA)" sheetId="14" r:id="rId14"/>
    <sheet name="SU (CTM)" sheetId="15" r:id="rId15"/>
    <sheet name="TRANSENER" sheetId="16" r:id="rId16"/>
  </sheets>
  <externalReferences>
    <externalReference r:id="rId19"/>
  </externalReferences>
  <definedNames>
    <definedName name="_xlnm.Print_Area" localSheetId="3">'Incendios Campo'!$A$1:$AD$44</definedName>
    <definedName name="_xlnm.Print_Area" localSheetId="5">'LI (C. climt. en ET)'!$A$1:$AM$35</definedName>
    <definedName name="_xlnm.Print_Area" localSheetId="1">'LI-0103'!$A$1:$AD$43</definedName>
    <definedName name="_xlnm.Print_Area" localSheetId="2">'LI-0103 (2)'!$A$1:$AD$45</definedName>
    <definedName name="_xlnm.Print_Area" localSheetId="10">'RE-0103'!$A$1:$V$43</definedName>
    <definedName name="_xlnm.Print_Area" localSheetId="11">'RE-0103 (2)'!$A$1:$V$45</definedName>
    <definedName name="_xlnm.Print_Area" localSheetId="12">'React (C. climat. en  ET)'!$A$1:$AM$35</definedName>
    <definedName name="_xlnm.Print_Area" localSheetId="7">'SA-0103'!$A$1:$U$47</definedName>
    <definedName name="_xlnm.Print_Area" localSheetId="9">'SA-CTM'!$A$1:$U$45</definedName>
    <definedName name="_xlnm.Print_Area" localSheetId="8">'SALIDA-TIBA'!$A$1:$U$44</definedName>
    <definedName name="_xlnm.Print_Area" localSheetId="14">'SU (CTM)'!$A$1:$W$58</definedName>
    <definedName name="_xlnm.Print_Area" localSheetId="13">'SU (TIBA)'!$A$1:$W$64</definedName>
    <definedName name="_xlnm.Print_Area" localSheetId="0">'tot-0103'!$A$1:$K$38</definedName>
    <definedName name="_xlnm.Print_Area" localSheetId="6">'TR-0103'!$A$1:$AB$45</definedName>
    <definedName name="_xlnm.Print_Area" localSheetId="15">'TRANSENER'!$A$1:$U$99</definedName>
    <definedName name="INICIO" localSheetId="3">'Incendios Campo'!INICIO</definedName>
    <definedName name="INICIO" localSheetId="5">'LI (C. climt. en ET)'!INICIO</definedName>
    <definedName name="INICIO" localSheetId="1">'LI-0103'!INICIO</definedName>
    <definedName name="INICIO" localSheetId="2">'LI-0103 (2)'!INICIO</definedName>
    <definedName name="INICIO" localSheetId="10">'RE-0103'!INICIO</definedName>
    <definedName name="INICIO" localSheetId="11">'RE-0103 (2)'!INICIO</definedName>
    <definedName name="INICIO" localSheetId="12">'React (C. climat. en  ET)'!INICIO</definedName>
    <definedName name="INICIO" localSheetId="7">'SA-0103'!INICIO</definedName>
    <definedName name="INICIO" localSheetId="9">'SA-CTM'!INICIO</definedName>
    <definedName name="INICIO" localSheetId="14">'SU (CTM)'!INICIO</definedName>
    <definedName name="INICIO" localSheetId="4">'tiempos E.T'!INICIO</definedName>
    <definedName name="INICIO" localSheetId="6">'TR-0103'!INICIO</definedName>
    <definedName name="INICIO" localSheetId="15">'TRANSENER'!INICIO</definedName>
    <definedName name="INICIO">[0]!INICIO</definedName>
    <definedName name="_xlnm.Print_Titles" localSheetId="4">'tiempos E.T'!$A:$D</definedName>
  </definedNames>
  <calcPr fullCalcOnLoad="1"/>
</workbook>
</file>

<file path=xl/comments13.xml><?xml version="1.0" encoding="utf-8"?>
<comments xmlns="http://schemas.openxmlformats.org/spreadsheetml/2006/main">
  <authors>
    <author>GMir</author>
  </authors>
  <commentList>
    <comment ref="AC19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</commentList>
</comments>
</file>

<file path=xl/comments4.xml><?xml version="1.0" encoding="utf-8"?>
<comments xmlns="http://schemas.openxmlformats.org/spreadsheetml/2006/main">
  <authors>
    <author>gmir</author>
  </authors>
  <commentList>
    <comment ref="T23" authorId="0">
      <text>
        <r>
          <rPr>
            <b/>
            <sz val="9"/>
            <rFont val="Tahoma"/>
            <family val="2"/>
          </rPr>
          <t>gmir:
$0 por la hora salida forzada, porque la tomo
como continuación de la otra (Res. ENRE 683/01, fallas consecutivas sobre la misma línea dentro de las 6 horas).</t>
        </r>
        <r>
          <rPr>
            <sz val="8"/>
            <rFont val="Tahoma"/>
            <family val="0"/>
          </rPr>
          <t xml:space="preserve">
</t>
        </r>
      </text>
    </comment>
    <comment ref="T22" authorId="0">
      <text>
        <r>
          <rPr>
            <b/>
            <sz val="10"/>
            <rFont val="Tahoma"/>
            <family val="2"/>
          </rPr>
          <t>gmir:</t>
        </r>
        <r>
          <rPr>
            <sz val="10"/>
            <rFont val="Tahoma"/>
            <family val="2"/>
          </rPr>
          <t xml:space="preserve">
0,0 porque se considera que avisaron a cammesa con 1 hora de antelacion</t>
        </r>
      </text>
    </comment>
  </commentList>
</comments>
</file>

<file path=xl/comments5.xml><?xml version="1.0" encoding="utf-8"?>
<comments xmlns="http://schemas.openxmlformats.org/spreadsheetml/2006/main">
  <authors>
    <author>GMir</author>
  </authors>
  <commentList>
    <comment ref="D30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suma para calculo del factor fp
</t>
        </r>
      </text>
    </comment>
  </commentList>
</comments>
</file>

<file path=xl/comments6.xml><?xml version="1.0" encoding="utf-8"?>
<comments xmlns="http://schemas.openxmlformats.org/spreadsheetml/2006/main">
  <authors>
    <author>GMir</author>
  </authors>
  <commentList>
    <comment ref="AE19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</commentList>
</comments>
</file>

<file path=xl/sharedStrings.xml><?xml version="1.0" encoding="utf-8"?>
<sst xmlns="http://schemas.openxmlformats.org/spreadsheetml/2006/main" count="880" uniqueCount="282">
  <si>
    <t>SISTEMA DE TRANSPORTE DE ENERGÍA ELÉCTRICA EN ALTA TENSIÓN</t>
  </si>
  <si>
    <t>TRANSENER S.A.</t>
  </si>
  <si>
    <t>C</t>
  </si>
  <si>
    <t>ALMAFUERTE - ROSARIO OESTE</t>
  </si>
  <si>
    <t>B</t>
  </si>
  <si>
    <t>CHOCON - PUELCHES 1</t>
  </si>
  <si>
    <t>A</t>
  </si>
  <si>
    <t>CHOCON - PUELCHES 2</t>
  </si>
  <si>
    <t>E.T.P.del AGUILA - CENTRAL P.del A. 1</t>
  </si>
  <si>
    <t>EZEIZA - HENDERSON 2</t>
  </si>
  <si>
    <t>EZEIZA - RODRIGUEZ 2</t>
  </si>
  <si>
    <t>EZEIZA - HENDERSON 1</t>
  </si>
  <si>
    <t>GRAL. RODRIGUEZ - VILLA  LIA 1</t>
  </si>
  <si>
    <t>GRAL. RODRIGUEZ - VILLA  LIA 2</t>
  </si>
  <si>
    <t>PUELCHES - HENDERSON 1 (B1)</t>
  </si>
  <si>
    <t>PUELCHES - HENDERSON 2 (B2)</t>
  </si>
  <si>
    <t>RAMALLO - SAN NICOLAS 1</t>
  </si>
  <si>
    <t>SANTO TOME - ROMANG</t>
  </si>
  <si>
    <t>VILLA LIA - ATUCHA 2</t>
  </si>
  <si>
    <t>ALICURA</t>
  </si>
  <si>
    <t>500/132</t>
  </si>
  <si>
    <t>TRAFO 2</t>
  </si>
  <si>
    <t>CHOELE CHOEL</t>
  </si>
  <si>
    <t>EL BRACHO</t>
  </si>
  <si>
    <t>GRAN MENDOZA</t>
  </si>
  <si>
    <t>MALVINAS ARGENTINAS</t>
  </si>
  <si>
    <t>PUELCHES</t>
  </si>
  <si>
    <t>RESISTENCIA</t>
  </si>
  <si>
    <t>ROSARIO OESTE</t>
  </si>
  <si>
    <t>RINCÓN</t>
  </si>
  <si>
    <t>ABASTO</t>
  </si>
  <si>
    <t xml:space="preserve"> SALIDA TRAFO 2</t>
  </si>
  <si>
    <t>SALIDA TRAFO MAQ. 3</t>
  </si>
  <si>
    <t>ATUCHA</t>
  </si>
  <si>
    <t>TRAFO MAQ. 1</t>
  </si>
  <si>
    <t>B. BLANCA</t>
  </si>
  <si>
    <t>SALIDA ACOPLAMIENTO A-C</t>
  </si>
  <si>
    <t>GRAL. RODRIGUEZ</t>
  </si>
  <si>
    <t>SALIDA TRAFO 3 500/220</t>
  </si>
  <si>
    <t>SALIDA LINEA PILAR</t>
  </si>
  <si>
    <t>SALIDA LINEA ARROYITO</t>
  </si>
  <si>
    <t>OLAVARRIA</t>
  </si>
  <si>
    <t xml:space="preserve"> SALIDA LINEA GRAL. ACHA</t>
  </si>
  <si>
    <t>EQUIPO</t>
  </si>
  <si>
    <t>BAHIA BLANCA</t>
  </si>
  <si>
    <t xml:space="preserve">EZEIZA </t>
  </si>
  <si>
    <t>CS1</t>
  </si>
  <si>
    <t>CS2</t>
  </si>
  <si>
    <t>CS3</t>
  </si>
  <si>
    <t>CS4</t>
  </si>
  <si>
    <t>CS5</t>
  </si>
  <si>
    <t>CS6</t>
  </si>
  <si>
    <t>MALVINAS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</si>
  <si>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</si>
  <si>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</si>
  <si>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</si>
  <si>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</si>
  <si>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</si>
  <si>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</si>
  <si>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</si>
  <si>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</si>
  <si>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Transportista Independiente TIBA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</si>
  <si>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</si>
  <si>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</si>
  <si>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</si>
  <si>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</si>
  <si>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</si>
  <si>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</si>
  <si>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</si>
  <si>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</si>
  <si>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</si>
  <si>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</si>
  <si>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</si>
  <si>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</si>
  <si>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</si>
  <si>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</si>
  <si>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</si>
  <si>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</si>
  <si>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</si>
  <si>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</si>
  <si>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</si>
  <si>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</si>
  <si>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</si>
  <si>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</si>
  <si>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</si>
  <si>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</si>
  <si>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</si>
  <si>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</si>
  <si>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</si>
  <si>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</si>
  <si>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</si>
  <si>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</si>
  <si>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</si>
  <si>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</si>
  <si>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</si>
  <si>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</si>
  <si>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</si>
  <si>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</si>
  <si>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</si>
  <si>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PENALIZAC.
PROGRAM.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</si>
  <si>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</si>
  <si>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</si>
  <si>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</si>
  <si>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</si>
  <si>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</si>
  <si>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</si>
  <si>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</si>
  <si>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</si>
  <si>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</si>
  <si>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</si>
  <si>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</si>
  <si>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</si>
  <si>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</si>
  <si>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</si>
  <si>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</si>
  <si>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</si>
  <si>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</si>
  <si>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</si>
  <si>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</si>
  <si>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</si>
  <si>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</si>
  <si>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</si>
  <si>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</si>
  <si>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</si>
  <si>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</si>
  <si>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</si>
  <si>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</si>
  <si>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</si>
  <si>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</si>
  <si>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</si>
  <si>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</si>
  <si>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</si>
  <si>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</si>
  <si>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</si>
  <si>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</si>
  <si>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</si>
  <si>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</si>
  <si>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</si>
  <si>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</si>
  <si>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</si>
  <si>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</si>
  <si>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</si>
  <si>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U [kV]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</si>
  <si>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</si>
  <si>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</si>
  <si>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</si>
  <si>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</si>
  <si>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e)</t>
  </si>
  <si>
    <t>SANCIÓN</t>
  </si>
  <si>
    <t>Sanción calculada</t>
  </si>
  <si>
    <t>SANCIÓN =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</si>
  <si>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</si>
  <si>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</si>
  <si>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</si>
  <si>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</si>
  <si>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</si>
  <si>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</si>
  <si>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</si>
  <si>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</si>
  <si>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</si>
  <si>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</si>
  <si>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</si>
  <si>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</si>
  <si>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</si>
  <si>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RIO GRANDE - LUJAN</t>
  </si>
  <si>
    <t>LUJAN - GRAN MENDOZA</t>
  </si>
  <si>
    <t>R1L5CL</t>
  </si>
  <si>
    <t>R1B5OL</t>
  </si>
  <si>
    <t>R6B5PU</t>
  </si>
  <si>
    <t>R1L5RS</t>
  </si>
  <si>
    <t>R1L5RO</t>
  </si>
  <si>
    <t>R3L5RD</t>
  </si>
  <si>
    <t>R1L5MA</t>
  </si>
  <si>
    <t xml:space="preserve">Salida en 500 kV en $/h </t>
  </si>
  <si>
    <t>Salida en 132 kV en $/h</t>
  </si>
  <si>
    <t>TOTAL A PENALIZAR A TRANSENER S.A POR SUPERVISIÓN A T.I.B.A.</t>
  </si>
  <si>
    <t>SALIDA A CONVERSORA GARABÍ</t>
  </si>
  <si>
    <t>P</t>
  </si>
  <si>
    <t>F</t>
  </si>
  <si>
    <t>RP</t>
  </si>
  <si>
    <t>Transporte de la hoja 1/2</t>
  </si>
  <si>
    <t>RINCON</t>
  </si>
  <si>
    <t>I</t>
  </si>
  <si>
    <t>II</t>
  </si>
  <si>
    <t>SALIDA A PIGUE</t>
  </si>
  <si>
    <t>SALIDA A  AZUL</t>
  </si>
  <si>
    <t>Desde el 01 al 31 de marzo de 2001</t>
  </si>
  <si>
    <t>1.201,854,64</t>
  </si>
  <si>
    <t xml:space="preserve"> 2.2.3.- Transportista Independiente Compañía de Transmisión del Mercosur S.A.</t>
  </si>
  <si>
    <t>XII</t>
  </si>
  <si>
    <t>III</t>
  </si>
  <si>
    <t>Transportista Independiente CTM S.A.</t>
  </si>
  <si>
    <t>SALIDA CONVERSADORA GARABI</t>
  </si>
  <si>
    <t>Rincon</t>
  </si>
  <si>
    <t>TOTAL A PENALIZAR A TRANSENER S.A POR SUPERVISIÓN A C.T.M.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</si>
  <si>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</si>
  <si>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</si>
  <si>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</si>
  <si>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</si>
  <si>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</si>
  <si>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</si>
  <si>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</si>
  <si>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</si>
  <si>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</si>
  <si>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TOTAL DE PENALIZACIONES A APLICAR</t>
  </si>
  <si>
    <t>Correspondiente al mes de Marzo de 2001</t>
  </si>
  <si>
    <t>1.1.1 - Indisponibilidades de LAT causadas por incendios de campo. Resolución ENRE 683/01</t>
  </si>
  <si>
    <t>*</t>
  </si>
  <si>
    <t>Fuerza mayor por incendios de campo</t>
  </si>
  <si>
    <t>Incendios de Campo</t>
  </si>
  <si>
    <t xml:space="preserve"> TRANSENER S.A.</t>
  </si>
  <si>
    <t>CONDICIONES CLIMATICAS EXTREMAS EN EE. TT.</t>
  </si>
  <si>
    <t>Cálculo de tiempos por avería de equipos en EE.TT. (Res. ENRE 313/01)</t>
  </si>
  <si>
    <t>salida:</t>
  </si>
  <si>
    <t>LINEA 5HEPU2</t>
  </si>
  <si>
    <t>LINEA 5HEPU1</t>
  </si>
  <si>
    <t xml:space="preserve">Equipos de Conexión 500 kV
</t>
  </si>
  <si>
    <t>(Tabla 1. Anexo II - Res. ENRE 313/01)</t>
  </si>
  <si>
    <t>Cant. Eq. Dañados por fase</t>
  </si>
  <si>
    <t>fd</t>
  </si>
  <si>
    <t>fm</t>
  </si>
  <si>
    <t>Td (hs)</t>
  </si>
  <si>
    <t>Tr (hs)</t>
  </si>
  <si>
    <t>N° unid.</t>
  </si>
  <si>
    <t>Clase</t>
  </si>
  <si>
    <t>Equipo</t>
  </si>
  <si>
    <t>R</t>
  </si>
  <si>
    <t>S</t>
  </si>
  <si>
    <t>T</t>
  </si>
  <si>
    <t>dañadas</t>
  </si>
  <si>
    <t>Interruptor</t>
  </si>
  <si>
    <t xml:space="preserve">Transformadores de Tensión con Bobina de Onda Portadora </t>
  </si>
  <si>
    <t>Seccionadores Pantógrafos</t>
  </si>
  <si>
    <t xml:space="preserve">Aisladores Soporte </t>
  </si>
  <si>
    <t xml:space="preserve">Reparación de Barras de acoplamiento entre equipos </t>
  </si>
  <si>
    <t>Reparación de Morseterías de equipos</t>
  </si>
  <si>
    <t xml:space="preserve">Transformadores de Corriente </t>
  </si>
  <si>
    <t xml:space="preserve">Transformadores de Tensión </t>
  </si>
  <si>
    <t xml:space="preserve">Descargadores  de sobretensión </t>
  </si>
  <si>
    <t>Otros equipos no detallados</t>
  </si>
  <si>
    <t>fc (factor de cantidad salidas afectadas)</t>
  </si>
  <si>
    <t>Tdt (tiempo de despeje total, por E.T.)             [horas]</t>
  </si>
  <si>
    <t>Trt (tiempo de reparación total, por E.T.)         [horas]</t>
  </si>
  <si>
    <t>* : El Tdt calculado no tiene en cuenta el posible Tf</t>
  </si>
  <si>
    <r>
      <t>Tdt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(max)</t>
    </r>
  </si>
  <si>
    <r>
      <t>Tdt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(max)</t>
    </r>
  </si>
  <si>
    <r>
      <t>Tdt</t>
    </r>
    <r>
      <rPr>
        <b/>
        <sz val="8"/>
        <rFont val="Arial"/>
        <family val="2"/>
      </rPr>
      <t>3</t>
    </r>
    <r>
      <rPr>
        <b/>
        <sz val="10"/>
        <rFont val="Arial"/>
        <family val="2"/>
      </rPr>
      <t xml:space="preserve"> (max)</t>
    </r>
  </si>
  <si>
    <r>
      <t>Trt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(max)</t>
    </r>
  </si>
  <si>
    <r>
      <t>Trt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(max)</t>
    </r>
  </si>
  <si>
    <r>
      <t>Trt</t>
    </r>
    <r>
      <rPr>
        <b/>
        <sz val="8"/>
        <rFont val="Arial"/>
        <family val="2"/>
      </rPr>
      <t>3</t>
    </r>
    <r>
      <rPr>
        <b/>
        <sz val="10"/>
        <rFont val="Arial"/>
        <family val="2"/>
      </rPr>
      <t xml:space="preserve"> (max)</t>
    </r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</si>
  <si>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</si>
  <si>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</si>
  <si>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</si>
  <si>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</si>
  <si>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</si>
  <si>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</si>
  <si>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</si>
  <si>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</si>
  <si>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unidades monofásicas dañadas*</t>
  </si>
  <si>
    <t>Tf [hs]</t>
  </si>
  <si>
    <t>fc</t>
  </si>
  <si>
    <t>Tdt+ Tf
[hs]</t>
  </si>
  <si>
    <t>Trt [hs]</t>
  </si>
  <si>
    <t>Tst [hs]</t>
  </si>
  <si>
    <t>Tst [min]</t>
  </si>
  <si>
    <t>alfa</t>
  </si>
  <si>
    <t>beta</t>
  </si>
  <si>
    <t>TOTAL REGIMEN NORMAL 
(en Ti)</t>
  </si>
  <si>
    <t>Est. Transf. 1</t>
  </si>
  <si>
    <t>Est. Transf. 2</t>
  </si>
  <si>
    <t>(*)</t>
  </si>
  <si>
    <t>N° de unidades monofásicas dañadas por cada salida de línea</t>
  </si>
  <si>
    <t>este color tomo los datos de la hojas de tiempos</t>
  </si>
  <si>
    <t>celdas tachadas, habria que hacer referencia a un nuevo vinculo de tiempos, su se afectaran E.E transformadoras diferentes</t>
  </si>
  <si>
    <t>este color datos que se deben gregar a mano</t>
  </si>
  <si>
    <t>Calculo de sancion según C.Conc pata tiempo = Tst</t>
  </si>
  <si>
    <t>Calculo de sancion según C.Conc pata tiempo = Ti</t>
  </si>
  <si>
    <t>Condiciones Climáticas Extremas</t>
  </si>
  <si>
    <t>1.1.2 - Condiciones climaticas extremas en Estaciones Transformadoras (Res. ENRE 313/01)</t>
  </si>
  <si>
    <t>3.1.1 - Condiciones climaticas extremas en Estaciones Transformadoras (Res. ENRE 313/01)</t>
  </si>
  <si>
    <t>4.3.- Transportista Independiente  CTM</t>
  </si>
  <si>
    <t>ANEXO a la Resolución E.N.R.E. N°  113  /2002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</si>
</sst>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&quot;$&quot;#,##0.00;&quot;$&quot;\-#,##0.00"/>
    <numFmt numFmtId="171" formatCode="#&quot;.&quot;#&quot;.-&quot;"/>
    <numFmt numFmtId="172" formatCode="#&quot;.&quot;#&quot;.&quot;#&quot;.-&quot;"/>
    <numFmt numFmtId="173" formatCode="&quot;$&quot;\ #,##0.00"/>
    <numFmt numFmtId="174" formatCode="0.0000000_)"/>
    <numFmt numFmtId="175" formatCode="#,##0.0000"/>
    <numFmt numFmtId="176" formatCode="#,##0.00000"/>
    <numFmt numFmtId="177" formatCode="&quot;$&quot;#,##0.00"/>
    <numFmt numFmtId="178" formatCode="#,##0;[Red]#,##0"/>
    <numFmt numFmtId="179" formatCode="#,##0.000000"/>
    <numFmt numFmtId="180" formatCode="#,##0.00;[Red]#,##0.00"/>
  </numFmts>
  <fonts count="1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0"/>
    </font>
    <font>
      <b/>
      <sz val="12"/>
      <color indexed="34"/>
      <name val="Times New Roman"/>
      <family val="0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9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8"/>
      <color indexed="58"/>
      <name val="Times New Roman"/>
      <family val="1"/>
    </font>
    <font>
      <sz val="10"/>
      <color indexed="58"/>
      <name val="Times New Roman"/>
      <family val="1"/>
    </font>
    <font>
      <sz val="11"/>
      <color indexed="57"/>
      <name val="Times New Roman"/>
      <family val="1"/>
    </font>
    <font>
      <b/>
      <sz val="10"/>
      <color indexed="14"/>
      <name val="Times New Roman"/>
      <family val="1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39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ck"/>
      <top style="thin"/>
      <bottom style="thin"/>
      <diagonal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double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 diagonalUp="1" diagonalDown="1">
      <left style="double"/>
      <right style="double"/>
      <top style="medium"/>
      <bottom style="thin"/>
      <diagonal style="thin"/>
    </border>
    <border diagonalUp="1" diagonalDown="1">
      <left>
        <color indexed="63"/>
      </left>
      <right style="double"/>
      <top style="medium"/>
      <bottom style="thin"/>
      <diagonal style="thin"/>
    </border>
    <border diagonalUp="1" diagonalDown="1">
      <left>
        <color indexed="63"/>
      </left>
      <right style="double"/>
      <top style="thin"/>
      <bottom style="thin"/>
      <diagonal style="thin"/>
    </border>
    <border diagonalUp="1" diagonalDown="1">
      <left style="double"/>
      <right style="double"/>
      <top style="thin"/>
      <bottom style="thin"/>
      <diagonal style="thin"/>
    </border>
    <border diagonalUp="1" diagonalDown="1">
      <left style="double"/>
      <right style="double"/>
      <top style="thin"/>
      <bottom style="medium"/>
      <diagonal style="thin"/>
    </border>
    <border diagonalUp="1" diagonalDown="1">
      <left>
        <color indexed="63"/>
      </left>
      <right style="double"/>
      <top style="thin"/>
      <bottom style="medium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6" fontId="4" fillId="0" borderId="1" xfId="0" applyNumberFormat="1" applyFont="1" applyBorder="1" applyAlignment="1" applyProtection="1">
      <alignment horizontal="center"/>
      <protection/>
    </xf>
    <xf numFmtId="22" fontId="4" fillId="0" borderId="4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64" fontId="4" fillId="2" borderId="1" xfId="0" applyNumberFormat="1" applyFont="1" applyFill="1" applyBorder="1" applyAlignment="1" applyProtection="1" quotePrefix="1">
      <alignment horizontal="center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8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 quotePrefix="1">
      <alignment horizontal="center"/>
      <protection/>
    </xf>
    <xf numFmtId="22" fontId="4" fillId="0" borderId="5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5" fillId="0" borderId="7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165" fontId="4" fillId="0" borderId="7" xfId="0" applyNumberFormat="1" applyFont="1" applyBorder="1" applyAlignment="1" applyProtection="1">
      <alignment horizontal="center"/>
      <protection/>
    </xf>
    <xf numFmtId="166" fontId="4" fillId="0" borderId="7" xfId="0" applyNumberFormat="1" applyFont="1" applyBorder="1" applyAlignment="1" applyProtection="1">
      <alignment horizontal="center"/>
      <protection/>
    </xf>
    <xf numFmtId="168" fontId="4" fillId="0" borderId="7" xfId="0" applyNumberFormat="1" applyFont="1" applyBorder="1" applyAlignment="1" applyProtection="1" quotePrefix="1">
      <alignment horizontal="center"/>
      <protection/>
    </xf>
    <xf numFmtId="4" fontId="5" fillId="0" borderId="7" xfId="0" applyNumberFormat="1" applyFont="1" applyBorder="1" applyAlignment="1" applyProtection="1">
      <alignment horizontal="center"/>
      <protection/>
    </xf>
    <xf numFmtId="2" fontId="16" fillId="0" borderId="8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 quotePrefix="1">
      <alignment horizontal="center"/>
      <protection/>
    </xf>
    <xf numFmtId="2" fontId="15" fillId="0" borderId="9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 quotePrefix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Border="1" applyAlignment="1" applyProtection="1" quotePrefix="1">
      <alignment horizontal="center"/>
      <protection/>
    </xf>
    <xf numFmtId="166" fontId="4" fillId="0" borderId="2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7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 quotePrefix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 quotePrefix="1">
      <alignment horizontal="center"/>
      <protection/>
    </xf>
    <xf numFmtId="166" fontId="4" fillId="0" borderId="13" xfId="0" applyNumberFormat="1" applyFont="1" applyFill="1" applyBorder="1" applyAlignment="1" applyProtection="1">
      <alignment horizontal="center"/>
      <protection/>
    </xf>
    <xf numFmtId="166" fontId="19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 quotePrefix="1">
      <alignment horizontal="center"/>
      <protection/>
    </xf>
    <xf numFmtId="22" fontId="4" fillId="0" borderId="14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64" fontId="4" fillId="0" borderId="3" xfId="0" applyNumberFormat="1" applyFont="1" applyBorder="1" applyAlignment="1" applyProtection="1">
      <alignment horizontal="center"/>
      <protection/>
    </xf>
    <xf numFmtId="16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0" fontId="6" fillId="0" borderId="15" xfId="0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/>
    </xf>
    <xf numFmtId="166" fontId="4" fillId="0" borderId="7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7" fontId="12" fillId="0" borderId="1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7" fontId="12" fillId="0" borderId="18" xfId="0" applyNumberFormat="1" applyFont="1" applyFill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66" fontId="4" fillId="0" borderId="6" xfId="0" applyNumberFormat="1" applyFont="1" applyBorder="1" applyAlignment="1" applyProtection="1">
      <alignment horizontal="center"/>
      <protection/>
    </xf>
    <xf numFmtId="22" fontId="4" fillId="0" borderId="20" xfId="0" applyNumberFormat="1" applyFont="1" applyBorder="1" applyAlignment="1">
      <alignment horizontal="center"/>
    </xf>
    <xf numFmtId="22" fontId="4" fillId="0" borderId="19" xfId="0" applyNumberFormat="1" applyFont="1" applyBorder="1" applyAlignment="1" applyProtection="1">
      <alignment horizontal="center"/>
      <protection/>
    </xf>
    <xf numFmtId="2" fontId="4" fillId="0" borderId="6" xfId="0" applyNumberFormat="1" applyFont="1" applyFill="1" applyBorder="1" applyAlignment="1" applyProtection="1" quotePrefix="1">
      <alignment horizontal="center"/>
      <protection/>
    </xf>
    <xf numFmtId="164" fontId="4" fillId="0" borderId="6" xfId="0" applyNumberFormat="1" applyFont="1" applyFill="1" applyBorder="1" applyAlignment="1" applyProtection="1" quotePrefix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7" fontId="12" fillId="0" borderId="18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5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7" fontId="13" fillId="0" borderId="27" xfId="0" applyNumberFormat="1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9" xfId="0" applyNumberFormat="1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5" xfId="0" applyFont="1" applyFill="1" applyBorder="1" applyAlignment="1">
      <alignment horizontal="centerContinuous"/>
    </xf>
    <xf numFmtId="0" fontId="0" fillId="0" borderId="26" xfId="0" applyFont="1" applyBorder="1" applyAlignment="1" applyProtection="1">
      <alignment horizontal="center"/>
      <protection/>
    </xf>
    <xf numFmtId="0" fontId="33" fillId="0" borderId="18" xfId="0" applyFont="1" applyBorder="1" applyAlignment="1">
      <alignment horizontal="center" vertical="center"/>
    </xf>
    <xf numFmtId="166" fontId="33" fillId="0" borderId="18" xfId="0" applyNumberFormat="1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4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4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5" xfId="0" applyFont="1" applyFill="1" applyBorder="1" applyAlignment="1">
      <alignment horizontal="centerContinuous"/>
    </xf>
    <xf numFmtId="0" fontId="0" fillId="0" borderId="26" xfId="0" applyFont="1" applyFill="1" applyBorder="1" applyAlignment="1" applyProtection="1" quotePrefix="1">
      <alignment horizontal="left"/>
      <protection/>
    </xf>
    <xf numFmtId="0" fontId="0" fillId="0" borderId="31" xfId="0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6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 quotePrefix="1">
      <alignment horizontal="center" vertical="center" wrapText="1"/>
      <protection/>
    </xf>
    <xf numFmtId="0" fontId="33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66" fontId="35" fillId="0" borderId="3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 applyProtection="1" quotePrefix="1">
      <alignment horizontal="center"/>
      <protection/>
    </xf>
    <xf numFmtId="166" fontId="4" fillId="0" borderId="3" xfId="0" applyNumberFormat="1" applyFont="1" applyBorder="1" applyAlignment="1">
      <alignment horizontal="center"/>
    </xf>
    <xf numFmtId="16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5" xfId="0" applyFont="1" applyBorder="1" applyAlignment="1">
      <alignment horizontal="centerContinuous"/>
    </xf>
    <xf numFmtId="0" fontId="32" fillId="0" borderId="24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 applyProtection="1">
      <alignment horizontal="left"/>
      <protection/>
    </xf>
    <xf numFmtId="0" fontId="33" fillId="0" borderId="31" xfId="0" applyFont="1" applyBorder="1" applyAlignment="1">
      <alignment horizontal="center" vertical="center" wrapText="1"/>
    </xf>
    <xf numFmtId="0" fontId="33" fillId="0" borderId="27" xfId="0" applyFont="1" applyBorder="1" applyAlignment="1" applyProtection="1">
      <alignment horizontal="center" vertical="center" wrapText="1"/>
      <protection/>
    </xf>
    <xf numFmtId="166" fontId="18" fillId="0" borderId="1" xfId="0" applyNumberFormat="1" applyFont="1" applyFill="1" applyBorder="1" applyAlignment="1">
      <alignment horizontal="center"/>
    </xf>
    <xf numFmtId="7" fontId="35" fillId="0" borderId="8" xfId="0" applyNumberFormat="1" applyFont="1" applyFill="1" applyBorder="1" applyAlignment="1">
      <alignment horizontal="right"/>
    </xf>
    <xf numFmtId="2" fontId="4" fillId="0" borderId="33" xfId="0" applyNumberFormat="1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 applyProtection="1" quotePrefix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22" fillId="0" borderId="0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25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5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8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 quotePrefix="1">
      <alignment horizontal="left"/>
      <protection/>
    </xf>
    <xf numFmtId="0" fontId="0" fillId="0" borderId="31" xfId="0" applyFont="1" applyBorder="1" applyAlignment="1" applyProtection="1">
      <alignment horizontal="center"/>
      <protection/>
    </xf>
    <xf numFmtId="164" fontId="0" fillId="0" borderId="27" xfId="0" applyNumberFormat="1" applyFont="1" applyBorder="1" applyAlignment="1" applyProtection="1">
      <alignment horizontal="center"/>
      <protection/>
    </xf>
    <xf numFmtId="0" fontId="33" fillId="0" borderId="18" xfId="0" applyFont="1" applyBorder="1" applyAlignment="1" applyProtection="1" quotePrefix="1">
      <alignment horizontal="center" vertical="center" wrapText="1"/>
      <protection/>
    </xf>
    <xf numFmtId="0" fontId="38" fillId="0" borderId="18" xfId="0" applyFont="1" applyFill="1" applyBorder="1" applyAlignment="1">
      <alignment horizontal="center" vertical="center" wrapText="1"/>
    </xf>
    <xf numFmtId="166" fontId="18" fillId="0" borderId="6" xfId="0" applyNumberFormat="1" applyFont="1" applyFill="1" applyBorder="1" applyAlignment="1">
      <alignment horizontal="center"/>
    </xf>
    <xf numFmtId="166" fontId="18" fillId="0" borderId="8" xfId="0" applyNumberFormat="1" applyFont="1" applyFill="1" applyBorder="1" applyAlignment="1">
      <alignment horizontal="center"/>
    </xf>
    <xf numFmtId="169" fontId="0" fillId="0" borderId="27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41" fillId="0" borderId="38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4" xfId="0" applyFont="1" applyBorder="1" applyAlignment="1">
      <alignment/>
    </xf>
    <xf numFmtId="164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65" fontId="41" fillId="0" borderId="0" xfId="0" applyNumberFormat="1" applyFont="1" applyBorder="1" applyAlignment="1" applyProtection="1">
      <alignment horizontal="center"/>
      <protection/>
    </xf>
    <xf numFmtId="166" fontId="41" fillId="0" borderId="0" xfId="0" applyNumberFormat="1" applyFont="1" applyBorder="1" applyAlignment="1" applyProtection="1">
      <alignment horizontal="center"/>
      <protection/>
    </xf>
    <xf numFmtId="168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5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4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6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65" fontId="29" fillId="0" borderId="0" xfId="0" applyNumberFormat="1" applyFont="1" applyBorder="1" applyAlignment="1" applyProtection="1">
      <alignment horizontal="center"/>
      <protection/>
    </xf>
    <xf numFmtId="166" fontId="29" fillId="0" borderId="0" xfId="0" applyNumberFormat="1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164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66" fontId="29" fillId="0" borderId="0" xfId="0" applyNumberFormat="1" applyFont="1" applyBorder="1" applyAlignment="1" applyProtection="1">
      <alignment horizontal="center"/>
      <protection/>
    </xf>
    <xf numFmtId="168" fontId="29" fillId="0" borderId="0" xfId="0" applyNumberFormat="1" applyFont="1" applyBorder="1" applyAlignment="1" applyProtection="1" quotePrefix="1">
      <alignment horizontal="center"/>
      <protection/>
    </xf>
    <xf numFmtId="0" fontId="29" fillId="0" borderId="24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6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65" fontId="53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6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4" fontId="29" fillId="0" borderId="2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6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3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59" fillId="3" borderId="26" xfId="0" applyFont="1" applyFill="1" applyBorder="1" applyAlignment="1" applyProtection="1">
      <alignment horizontal="centerContinuous" vertical="center" wrapText="1"/>
      <protection/>
    </xf>
    <xf numFmtId="0" fontId="60" fillId="3" borderId="31" xfId="0" applyFont="1" applyFill="1" applyBorder="1" applyAlignment="1">
      <alignment horizontal="centerContinuous"/>
    </xf>
    <xf numFmtId="0" fontId="59" fillId="3" borderId="27" xfId="0" applyFont="1" applyFill="1" applyBorder="1" applyAlignment="1">
      <alignment horizontal="centerContinuous" vertical="center"/>
    </xf>
    <xf numFmtId="0" fontId="61" fillId="3" borderId="18" xfId="0" applyFont="1" applyFill="1" applyBorder="1" applyAlignment="1" applyProtection="1">
      <alignment horizontal="center" vertical="center"/>
      <protection/>
    </xf>
    <xf numFmtId="166" fontId="62" fillId="3" borderId="1" xfId="0" applyNumberFormat="1" applyFont="1" applyFill="1" applyBorder="1" applyAlignment="1" applyProtection="1">
      <alignment horizontal="center"/>
      <protection/>
    </xf>
    <xf numFmtId="166" fontId="62" fillId="3" borderId="7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62" fillId="3" borderId="35" xfId="0" applyFont="1" applyFill="1" applyBorder="1" applyAlignment="1">
      <alignment horizontal="center"/>
    </xf>
    <xf numFmtId="0" fontId="62" fillId="3" borderId="6" xfId="0" applyFont="1" applyFill="1" applyBorder="1" applyAlignment="1">
      <alignment horizontal="center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5" xfId="0" applyFont="1" applyFill="1" applyBorder="1" applyAlignment="1" applyProtection="1">
      <alignment horizontal="center"/>
      <protection/>
    </xf>
    <xf numFmtId="164" fontId="62" fillId="3" borderId="3" xfId="0" applyNumberFormat="1" applyFont="1" applyFill="1" applyBorder="1" applyAlignment="1" applyProtection="1">
      <alignment horizontal="center"/>
      <protection/>
    </xf>
    <xf numFmtId="164" fontId="62" fillId="3" borderId="17" xfId="0" applyNumberFormat="1" applyFont="1" applyFill="1" applyBorder="1" applyAlignment="1" applyProtection="1">
      <alignment horizontal="center"/>
      <protection/>
    </xf>
    <xf numFmtId="166" fontId="62" fillId="3" borderId="6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64" fontId="62" fillId="3" borderId="4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164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" fontId="4" fillId="0" borderId="40" xfId="0" applyNumberFormat="1" applyFont="1" applyBorder="1" applyAlignment="1" applyProtection="1" quotePrefix="1">
      <alignment horizontal="center"/>
      <protection/>
    </xf>
    <xf numFmtId="22" fontId="4" fillId="0" borderId="7" xfId="0" applyNumberFormat="1" applyFont="1" applyFill="1" applyBorder="1" applyAlignment="1">
      <alignment horizontal="center"/>
    </xf>
    <xf numFmtId="22" fontId="4" fillId="0" borderId="7" xfId="0" applyNumberFormat="1" applyFont="1" applyFill="1" applyBorder="1" applyAlignment="1" applyProtection="1">
      <alignment horizontal="center"/>
      <protection/>
    </xf>
    <xf numFmtId="4" fontId="4" fillId="0" borderId="7" xfId="0" applyNumberFormat="1" applyFont="1" applyFill="1" applyBorder="1" applyAlignment="1" applyProtection="1">
      <alignment horizontal="center"/>
      <protection/>
    </xf>
    <xf numFmtId="3" fontId="4" fillId="0" borderId="7" xfId="0" applyNumberFormat="1" applyFont="1" applyFill="1" applyBorder="1" applyAlignment="1" applyProtection="1">
      <alignment horizontal="center"/>
      <protection/>
    </xf>
    <xf numFmtId="166" fontId="4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18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168" fontId="4" fillId="0" borderId="1" xfId="0" applyNumberFormat="1" applyFont="1" applyBorder="1" applyAlignment="1" applyProtection="1" quotePrefix="1">
      <alignment horizontal="center"/>
      <protection/>
    </xf>
    <xf numFmtId="0" fontId="67" fillId="4" borderId="1" xfId="0" applyFont="1" applyFill="1" applyBorder="1" applyAlignment="1">
      <alignment/>
    </xf>
    <xf numFmtId="2" fontId="67" fillId="4" borderId="7" xfId="0" applyNumberFormat="1" applyFont="1" applyFill="1" applyBorder="1" applyAlignment="1" applyProtection="1">
      <alignment horizontal="center"/>
      <protection/>
    </xf>
    <xf numFmtId="0" fontId="66" fillId="4" borderId="18" xfId="0" applyFont="1" applyFill="1" applyBorder="1" applyAlignment="1">
      <alignment horizontal="center" vertical="center" wrapText="1"/>
    </xf>
    <xf numFmtId="2" fontId="68" fillId="4" borderId="1" xfId="0" applyNumberFormat="1" applyFont="1" applyFill="1" applyBorder="1" applyAlignment="1" applyProtection="1">
      <alignment horizontal="center"/>
      <protection/>
    </xf>
    <xf numFmtId="0" fontId="67" fillId="4" borderId="41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2" fontId="56" fillId="5" borderId="2" xfId="0" applyNumberFormat="1" applyFont="1" applyFill="1" applyBorder="1" applyAlignment="1" applyProtection="1">
      <alignment horizontal="center"/>
      <protection/>
    </xf>
    <xf numFmtId="2" fontId="56" fillId="5" borderId="7" xfId="0" applyNumberFormat="1" applyFont="1" applyFill="1" applyBorder="1" applyAlignment="1" applyProtection="1">
      <alignment horizontal="center"/>
      <protection/>
    </xf>
    <xf numFmtId="0" fontId="58" fillId="5" borderId="18" xfId="0" applyFont="1" applyFill="1" applyBorder="1" applyAlignment="1">
      <alignment horizontal="center" vertical="center" wrapText="1"/>
    </xf>
    <xf numFmtId="0" fontId="55" fillId="5" borderId="41" xfId="0" applyFont="1" applyFill="1" applyBorder="1" applyAlignment="1">
      <alignment/>
    </xf>
    <xf numFmtId="166" fontId="5" fillId="3" borderId="42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166" fontId="57" fillId="3" borderId="42" xfId="0" applyNumberFormat="1" applyFont="1" applyFill="1" applyBorder="1" applyAlignment="1" applyProtection="1" quotePrefix="1">
      <alignment horizontal="center"/>
      <protection/>
    </xf>
    <xf numFmtId="4" fontId="57" fillId="3" borderId="2" xfId="0" applyNumberFormat="1" applyFont="1" applyFill="1" applyBorder="1" applyAlignment="1" applyProtection="1">
      <alignment horizontal="center"/>
      <protection/>
    </xf>
    <xf numFmtId="166" fontId="57" fillId="3" borderId="43" xfId="0" applyNumberFormat="1" applyFont="1" applyFill="1" applyBorder="1" applyAlignment="1" applyProtection="1" quotePrefix="1">
      <alignment horizontal="center"/>
      <protection/>
    </xf>
    <xf numFmtId="166" fontId="57" fillId="3" borderId="44" xfId="0" applyNumberFormat="1" applyFont="1" applyFill="1" applyBorder="1" applyAlignment="1" applyProtection="1" quotePrefix="1">
      <alignment horizontal="center"/>
      <protection/>
    </xf>
    <xf numFmtId="4" fontId="57" fillId="3" borderId="45" xfId="0" applyNumberFormat="1" applyFont="1" applyFill="1" applyBorder="1" applyAlignment="1" applyProtection="1">
      <alignment horizontal="center"/>
      <protection/>
    </xf>
    <xf numFmtId="0" fontId="69" fillId="6" borderId="26" xfId="0" applyFont="1" applyFill="1" applyBorder="1" applyAlignment="1">
      <alignment horizontal="centerContinuous" vertical="center" wrapText="1"/>
    </xf>
    <xf numFmtId="0" fontId="70" fillId="6" borderId="31" xfId="0" applyFont="1" applyFill="1" applyBorder="1" applyAlignment="1">
      <alignment horizontal="centerContinuous"/>
    </xf>
    <xf numFmtId="0" fontId="69" fillId="6" borderId="27" xfId="0" applyFont="1" applyFill="1" applyBorder="1" applyAlignment="1">
      <alignment horizontal="centerContinuous" vertical="center"/>
    </xf>
    <xf numFmtId="166" fontId="71" fillId="6" borderId="42" xfId="0" applyNumberFormat="1" applyFont="1" applyFill="1" applyBorder="1" applyAlignment="1" applyProtection="1" quotePrefix="1">
      <alignment horizontal="center"/>
      <protection/>
    </xf>
    <xf numFmtId="4" fontId="71" fillId="6" borderId="2" xfId="0" applyNumberFormat="1" applyFont="1" applyFill="1" applyBorder="1" applyAlignment="1" applyProtection="1">
      <alignment horizontal="center"/>
      <protection/>
    </xf>
    <xf numFmtId="166" fontId="72" fillId="6" borderId="42" xfId="0" applyNumberFormat="1" applyFont="1" applyFill="1" applyBorder="1" applyAlignment="1" applyProtection="1" quotePrefix="1">
      <alignment horizontal="center"/>
      <protection/>
    </xf>
    <xf numFmtId="4" fontId="72" fillId="6" borderId="2" xfId="0" applyNumberFormat="1" applyFont="1" applyFill="1" applyBorder="1" applyAlignment="1" applyProtection="1">
      <alignment horizontal="center"/>
      <protection/>
    </xf>
    <xf numFmtId="166" fontId="72" fillId="6" borderId="43" xfId="0" applyNumberFormat="1" applyFont="1" applyFill="1" applyBorder="1" applyAlignment="1" applyProtection="1" quotePrefix="1">
      <alignment horizontal="center"/>
      <protection/>
    </xf>
    <xf numFmtId="166" fontId="72" fillId="6" borderId="44" xfId="0" applyNumberFormat="1" applyFont="1" applyFill="1" applyBorder="1" applyAlignment="1" applyProtection="1" quotePrefix="1">
      <alignment horizontal="center"/>
      <protection/>
    </xf>
    <xf numFmtId="4" fontId="72" fillId="6" borderId="45" xfId="0" applyNumberFormat="1" applyFont="1" applyFill="1" applyBorder="1" applyAlignment="1" applyProtection="1">
      <alignment horizontal="center"/>
      <protection/>
    </xf>
    <xf numFmtId="0" fontId="4" fillId="3" borderId="46" xfId="0" applyFont="1" applyFill="1" applyBorder="1" applyAlignment="1">
      <alignment/>
    </xf>
    <xf numFmtId="0" fontId="4" fillId="3" borderId="47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71" fillId="6" borderId="46" xfId="0" applyFont="1" applyFill="1" applyBorder="1" applyAlignment="1">
      <alignment/>
    </xf>
    <xf numFmtId="0" fontId="71" fillId="6" borderId="47" xfId="0" applyFont="1" applyFill="1" applyBorder="1" applyAlignment="1">
      <alignment/>
    </xf>
    <xf numFmtId="0" fontId="71" fillId="6" borderId="48" xfId="0" applyFont="1" applyFill="1" applyBorder="1" applyAlignment="1">
      <alignment/>
    </xf>
    <xf numFmtId="166" fontId="71" fillId="6" borderId="14" xfId="0" applyNumberFormat="1" applyFont="1" applyFill="1" applyBorder="1" applyAlignment="1" applyProtection="1" quotePrefix="1">
      <alignment horizontal="center"/>
      <protection/>
    </xf>
    <xf numFmtId="166" fontId="72" fillId="6" borderId="14" xfId="0" applyNumberFormat="1" applyFont="1" applyFill="1" applyBorder="1" applyAlignment="1" applyProtection="1" quotePrefix="1">
      <alignment horizontal="center"/>
      <protection/>
    </xf>
    <xf numFmtId="166" fontId="5" fillId="3" borderId="14" xfId="0" applyNumberFormat="1" applyFont="1" applyFill="1" applyBorder="1" applyAlignment="1" applyProtection="1" quotePrefix="1">
      <alignment horizontal="center"/>
      <protection/>
    </xf>
    <xf numFmtId="166" fontId="57" fillId="3" borderId="14" xfId="0" applyNumberFormat="1" applyFont="1" applyFill="1" applyBorder="1" applyAlignment="1" applyProtection="1" quotePrefix="1">
      <alignment horizontal="center"/>
      <protection/>
    </xf>
    <xf numFmtId="4" fontId="5" fillId="0" borderId="1" xfId="0" applyNumberFormat="1" applyFont="1" applyBorder="1" applyAlignment="1" applyProtection="1">
      <alignment horizontal="center"/>
      <protection/>
    </xf>
    <xf numFmtId="0" fontId="4" fillId="0" borderId="41" xfId="0" applyFont="1" applyBorder="1" applyAlignment="1">
      <alignment/>
    </xf>
    <xf numFmtId="0" fontId="74" fillId="7" borderId="41" xfId="0" applyFont="1" applyFill="1" applyBorder="1" applyAlignment="1">
      <alignment/>
    </xf>
    <xf numFmtId="4" fontId="74" fillId="7" borderId="1" xfId="0" applyNumberFormat="1" applyFont="1" applyFill="1" applyBorder="1" applyAlignment="1" applyProtection="1">
      <alignment horizontal="center"/>
      <protection/>
    </xf>
    <xf numFmtId="4" fontId="75" fillId="7" borderId="1" xfId="0" applyNumberFormat="1" applyFont="1" applyFill="1" applyBorder="1" applyAlignment="1" applyProtection="1">
      <alignment horizontal="center"/>
      <protection/>
    </xf>
    <xf numFmtId="4" fontId="75" fillId="7" borderId="7" xfId="0" applyNumberFormat="1" applyFont="1" applyFill="1" applyBorder="1" applyAlignment="1" applyProtection="1">
      <alignment horizontal="center"/>
      <protection/>
    </xf>
    <xf numFmtId="0" fontId="73" fillId="7" borderId="18" xfId="0" applyFont="1" applyFill="1" applyBorder="1" applyAlignment="1">
      <alignment horizontal="center" vertical="center" wrapText="1"/>
    </xf>
    <xf numFmtId="0" fontId="76" fillId="8" borderId="18" xfId="0" applyFont="1" applyFill="1" applyBorder="1" applyAlignment="1">
      <alignment horizontal="center" vertical="center" wrapText="1"/>
    </xf>
    <xf numFmtId="0" fontId="77" fillId="8" borderId="41" xfId="0" applyFont="1" applyFill="1" applyBorder="1" applyAlignment="1">
      <alignment/>
    </xf>
    <xf numFmtId="4" fontId="77" fillId="8" borderId="1" xfId="0" applyNumberFormat="1" applyFont="1" applyFill="1" applyBorder="1" applyAlignment="1" applyProtection="1">
      <alignment horizontal="center"/>
      <protection/>
    </xf>
    <xf numFmtId="4" fontId="78" fillId="8" borderId="1" xfId="0" applyNumberFormat="1" applyFont="1" applyFill="1" applyBorder="1" applyAlignment="1" applyProtection="1">
      <alignment horizontal="center"/>
      <protection/>
    </xf>
    <xf numFmtId="4" fontId="78" fillId="8" borderId="7" xfId="0" applyNumberFormat="1" applyFont="1" applyFill="1" applyBorder="1" applyAlignment="1" applyProtection="1">
      <alignment horizontal="center"/>
      <protection/>
    </xf>
    <xf numFmtId="2" fontId="68" fillId="4" borderId="18" xfId="0" applyNumberFormat="1" applyFont="1" applyFill="1" applyBorder="1" applyAlignment="1" applyProtection="1">
      <alignment horizontal="center"/>
      <protection/>
    </xf>
    <xf numFmtId="2" fontId="56" fillId="5" borderId="18" xfId="0" applyNumberFormat="1" applyFont="1" applyFill="1" applyBorder="1" applyAlignment="1" applyProtection="1">
      <alignment horizontal="center"/>
      <protection/>
    </xf>
    <xf numFmtId="2" fontId="57" fillId="3" borderId="18" xfId="0" applyNumberFormat="1" applyFont="1" applyFill="1" applyBorder="1" applyAlignment="1" applyProtection="1">
      <alignment horizontal="center"/>
      <protection/>
    </xf>
    <xf numFmtId="2" fontId="72" fillId="6" borderId="18" xfId="0" applyNumberFormat="1" applyFont="1" applyFill="1" applyBorder="1" applyAlignment="1" applyProtection="1">
      <alignment horizontal="center"/>
      <protection/>
    </xf>
    <xf numFmtId="2" fontId="75" fillId="7" borderId="18" xfId="0" applyNumberFormat="1" applyFont="1" applyFill="1" applyBorder="1" applyAlignment="1" applyProtection="1">
      <alignment horizontal="center"/>
      <protection/>
    </xf>
    <xf numFmtId="2" fontId="78" fillId="8" borderId="18" xfId="0" applyNumberFormat="1" applyFont="1" applyFill="1" applyBorder="1" applyAlignment="1" applyProtection="1">
      <alignment horizontal="center"/>
      <protection/>
    </xf>
    <xf numFmtId="0" fontId="80" fillId="9" borderId="1" xfId="0" applyFont="1" applyFill="1" applyBorder="1" applyAlignment="1">
      <alignment/>
    </xf>
    <xf numFmtId="0" fontId="80" fillId="9" borderId="7" xfId="0" applyFont="1" applyFill="1" applyBorder="1" applyAlignment="1" applyProtection="1">
      <alignment horizontal="center"/>
      <protection/>
    </xf>
    <xf numFmtId="0" fontId="81" fillId="10" borderId="18" xfId="0" applyFont="1" applyFill="1" applyBorder="1" applyAlignment="1" applyProtection="1">
      <alignment horizontal="center" vertical="center"/>
      <protection/>
    </xf>
    <xf numFmtId="0" fontId="82" fillId="10" borderId="1" xfId="0" applyFont="1" applyFill="1" applyBorder="1" applyAlignment="1">
      <alignment/>
    </xf>
    <xf numFmtId="164" fontId="33" fillId="0" borderId="18" xfId="0" applyNumberFormat="1" applyFont="1" applyBorder="1" applyAlignment="1" applyProtection="1">
      <alignment horizontal="center" vertical="center" wrapText="1"/>
      <protection/>
    </xf>
    <xf numFmtId="166" fontId="79" fillId="9" borderId="18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0" fontId="80" fillId="9" borderId="1" xfId="0" applyFont="1" applyFill="1" applyBorder="1" applyAlignment="1" applyProtection="1">
      <alignment horizontal="center"/>
      <protection/>
    </xf>
    <xf numFmtId="0" fontId="80" fillId="9" borderId="41" xfId="0" applyFont="1" applyFill="1" applyBorder="1" applyAlignment="1">
      <alignment/>
    </xf>
    <xf numFmtId="0" fontId="82" fillId="10" borderId="41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62" fillId="3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164" fontId="4" fillId="0" borderId="49" xfId="0" applyNumberFormat="1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>
      <alignment horizontal="center"/>
    </xf>
    <xf numFmtId="0" fontId="83" fillId="11" borderId="18" xfId="0" applyFont="1" applyFill="1" applyBorder="1" applyAlignment="1" applyProtection="1">
      <alignment horizontal="center" vertical="center"/>
      <protection/>
    </xf>
    <xf numFmtId="0" fontId="85" fillId="11" borderId="49" xfId="0" applyFont="1" applyFill="1" applyBorder="1" applyAlignment="1">
      <alignment horizontal="center"/>
    </xf>
    <xf numFmtId="0" fontId="85" fillId="11" borderId="6" xfId="0" applyFont="1" applyFill="1" applyBorder="1" applyAlignment="1">
      <alignment horizontal="center"/>
    </xf>
    <xf numFmtId="164" fontId="85" fillId="11" borderId="1" xfId="0" applyNumberFormat="1" applyFont="1" applyFill="1" applyBorder="1" applyAlignment="1" applyProtection="1">
      <alignment horizontal="center"/>
      <protection/>
    </xf>
    <xf numFmtId="164" fontId="85" fillId="11" borderId="7" xfId="0" applyNumberFormat="1" applyFont="1" applyFill="1" applyBorder="1" applyAlignment="1" applyProtection="1">
      <alignment horizontal="center"/>
      <protection/>
    </xf>
    <xf numFmtId="0" fontId="86" fillId="7" borderId="18" xfId="0" applyFont="1" applyFill="1" applyBorder="1" applyAlignment="1">
      <alignment horizontal="center" vertical="center" wrapText="1"/>
    </xf>
    <xf numFmtId="0" fontId="87" fillId="7" borderId="49" xfId="0" applyFont="1" applyFill="1" applyBorder="1" applyAlignment="1">
      <alignment horizontal="center"/>
    </xf>
    <xf numFmtId="0" fontId="87" fillId="7" borderId="6" xfId="0" applyFont="1" applyFill="1" applyBorder="1" applyAlignment="1">
      <alignment horizontal="center"/>
    </xf>
    <xf numFmtId="2" fontId="87" fillId="7" borderId="1" xfId="0" applyNumberFormat="1" applyFont="1" applyFill="1" applyBorder="1" applyAlignment="1">
      <alignment horizontal="center"/>
    </xf>
    <xf numFmtId="2" fontId="87" fillId="7" borderId="7" xfId="0" applyNumberFormat="1" applyFont="1" applyFill="1" applyBorder="1" applyAlignment="1">
      <alignment horizontal="center"/>
    </xf>
    <xf numFmtId="4" fontId="87" fillId="7" borderId="18" xfId="0" applyNumberFormat="1" applyFont="1" applyFill="1" applyBorder="1" applyAlignment="1">
      <alignment horizontal="center"/>
    </xf>
    <xf numFmtId="0" fontId="88" fillId="5" borderId="18" xfId="0" applyFont="1" applyFill="1" applyBorder="1" applyAlignment="1">
      <alignment horizontal="center" vertical="center" wrapText="1"/>
    </xf>
    <xf numFmtId="0" fontId="89" fillId="5" borderId="49" xfId="0" applyFont="1" applyFill="1" applyBorder="1" applyAlignment="1">
      <alignment horizontal="center"/>
    </xf>
    <xf numFmtId="0" fontId="89" fillId="5" borderId="6" xfId="0" applyFont="1" applyFill="1" applyBorder="1" applyAlignment="1">
      <alignment horizontal="center"/>
    </xf>
    <xf numFmtId="2" fontId="89" fillId="5" borderId="1" xfId="0" applyNumberFormat="1" applyFont="1" applyFill="1" applyBorder="1" applyAlignment="1">
      <alignment horizontal="center"/>
    </xf>
    <xf numFmtId="2" fontId="89" fillId="5" borderId="7" xfId="0" applyNumberFormat="1" applyFont="1" applyFill="1" applyBorder="1" applyAlignment="1">
      <alignment horizontal="center"/>
    </xf>
    <xf numFmtId="4" fontId="89" fillId="5" borderId="18" xfId="0" applyNumberFormat="1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/>
    </xf>
    <xf numFmtId="0" fontId="57" fillId="3" borderId="48" xfId="0" applyFont="1" applyFill="1" applyBorder="1" applyAlignment="1">
      <alignment horizontal="center"/>
    </xf>
    <xf numFmtId="0" fontId="57" fillId="3" borderId="20" xfId="0" applyFont="1" applyFill="1" applyBorder="1" applyAlignment="1">
      <alignment horizontal="center"/>
    </xf>
    <xf numFmtId="0" fontId="57" fillId="3" borderId="11" xfId="0" applyFont="1" applyFill="1" applyBorder="1" applyAlignment="1">
      <alignment horizontal="center"/>
    </xf>
    <xf numFmtId="166" fontId="57" fillId="3" borderId="20" xfId="0" applyNumberFormat="1" applyFont="1" applyFill="1" applyBorder="1" applyAlignment="1" applyProtection="1" quotePrefix="1">
      <alignment horizontal="center"/>
      <protection/>
    </xf>
    <xf numFmtId="166" fontId="57" fillId="3" borderId="11" xfId="0" applyNumberFormat="1" applyFont="1" applyFill="1" applyBorder="1" applyAlignment="1" applyProtection="1" quotePrefix="1">
      <alignment horizontal="center"/>
      <protection/>
    </xf>
    <xf numFmtId="166" fontId="57" fillId="3" borderId="51" xfId="0" applyNumberFormat="1" applyFont="1" applyFill="1" applyBorder="1" applyAlignment="1" applyProtection="1" quotePrefix="1">
      <alignment horizontal="center"/>
      <protection/>
    </xf>
    <xf numFmtId="166" fontId="57" fillId="3" borderId="40" xfId="0" applyNumberFormat="1" applyFont="1" applyFill="1" applyBorder="1" applyAlignment="1" applyProtection="1" quotePrefix="1">
      <alignment horizontal="center"/>
      <protection/>
    </xf>
    <xf numFmtId="4" fontId="57" fillId="3" borderId="52" xfId="0" applyNumberFormat="1" applyFont="1" applyFill="1" applyBorder="1" applyAlignment="1">
      <alignment horizontal="center"/>
    </xf>
    <xf numFmtId="4" fontId="57" fillId="3" borderId="27" xfId="0" applyNumberFormat="1" applyFont="1" applyFill="1" applyBorder="1" applyAlignment="1">
      <alignment horizontal="center"/>
    </xf>
    <xf numFmtId="0" fontId="90" fillId="12" borderId="26" xfId="0" applyFont="1" applyFill="1" applyBorder="1" applyAlignment="1" applyProtection="1">
      <alignment horizontal="centerContinuous" vertical="center" wrapText="1"/>
      <protection/>
    </xf>
    <xf numFmtId="0" fontId="90" fillId="12" borderId="27" xfId="0" applyFont="1" applyFill="1" applyBorder="1" applyAlignment="1">
      <alignment horizontal="centerContinuous" vertical="center"/>
    </xf>
    <xf numFmtId="0" fontId="91" fillId="12" borderId="53" xfId="0" applyFont="1" applyFill="1" applyBorder="1" applyAlignment="1">
      <alignment horizontal="center"/>
    </xf>
    <xf numFmtId="0" fontId="91" fillId="12" borderId="54" xfId="0" applyFont="1" applyFill="1" applyBorder="1" applyAlignment="1">
      <alignment horizontal="center"/>
    </xf>
    <xf numFmtId="0" fontId="91" fillId="12" borderId="20" xfId="0" applyFont="1" applyFill="1" applyBorder="1" applyAlignment="1">
      <alignment horizontal="center"/>
    </xf>
    <xf numFmtId="0" fontId="91" fillId="12" borderId="11" xfId="0" applyFont="1" applyFill="1" applyBorder="1" applyAlignment="1">
      <alignment horizontal="center"/>
    </xf>
    <xf numFmtId="166" fontId="91" fillId="12" borderId="20" xfId="0" applyNumberFormat="1" applyFont="1" applyFill="1" applyBorder="1" applyAlignment="1" applyProtection="1" quotePrefix="1">
      <alignment horizontal="center"/>
      <protection/>
    </xf>
    <xf numFmtId="166" fontId="91" fillId="12" borderId="11" xfId="0" applyNumberFormat="1" applyFont="1" applyFill="1" applyBorder="1" applyAlignment="1" applyProtection="1" quotePrefix="1">
      <alignment horizontal="center"/>
      <protection/>
    </xf>
    <xf numFmtId="166" fontId="91" fillId="12" borderId="43" xfId="0" applyNumberFormat="1" applyFont="1" applyFill="1" applyBorder="1" applyAlignment="1" applyProtection="1" quotePrefix="1">
      <alignment horizontal="center"/>
      <protection/>
    </xf>
    <xf numFmtId="166" fontId="91" fillId="12" borderId="45" xfId="0" applyNumberFormat="1" applyFont="1" applyFill="1" applyBorder="1" applyAlignment="1" applyProtection="1" quotePrefix="1">
      <alignment horizontal="center"/>
      <protection/>
    </xf>
    <xf numFmtId="4" fontId="91" fillId="12" borderId="52" xfId="0" applyNumberFormat="1" applyFont="1" applyFill="1" applyBorder="1" applyAlignment="1">
      <alignment horizontal="center"/>
    </xf>
    <xf numFmtId="4" fontId="91" fillId="12" borderId="55" xfId="0" applyNumberFormat="1" applyFont="1" applyFill="1" applyBorder="1" applyAlignment="1">
      <alignment horizontal="center"/>
    </xf>
    <xf numFmtId="0" fontId="90" fillId="12" borderId="18" xfId="0" applyFont="1" applyFill="1" applyBorder="1" applyAlignment="1">
      <alignment horizontal="center" vertical="center" wrapText="1"/>
    </xf>
    <xf numFmtId="0" fontId="66" fillId="13" borderId="18" xfId="0" applyFont="1" applyFill="1" applyBorder="1" applyAlignment="1">
      <alignment horizontal="center" vertical="center" wrapText="1"/>
    </xf>
    <xf numFmtId="0" fontId="68" fillId="13" borderId="49" xfId="0" applyFont="1" applyFill="1" applyBorder="1" applyAlignment="1">
      <alignment horizontal="center"/>
    </xf>
    <xf numFmtId="0" fontId="68" fillId="13" borderId="6" xfId="0" applyFont="1" applyFill="1" applyBorder="1" applyAlignment="1">
      <alignment horizontal="center"/>
    </xf>
    <xf numFmtId="166" fontId="68" fillId="13" borderId="1" xfId="0" applyNumberFormat="1" applyFont="1" applyFill="1" applyBorder="1" applyAlignment="1" applyProtection="1" quotePrefix="1">
      <alignment horizontal="center"/>
      <protection/>
    </xf>
    <xf numFmtId="166" fontId="68" fillId="13" borderId="7" xfId="0" applyNumberFormat="1" applyFont="1" applyFill="1" applyBorder="1" applyAlignment="1" applyProtection="1" quotePrefix="1">
      <alignment horizontal="center"/>
      <protection/>
    </xf>
    <xf numFmtId="0" fontId="92" fillId="7" borderId="18" xfId="0" applyFont="1" applyFill="1" applyBorder="1" applyAlignment="1">
      <alignment horizontal="center" vertical="center" wrapText="1"/>
    </xf>
    <xf numFmtId="0" fontId="93" fillId="7" borderId="49" xfId="0" applyFont="1" applyFill="1" applyBorder="1" applyAlignment="1">
      <alignment horizontal="center"/>
    </xf>
    <xf numFmtId="0" fontId="93" fillId="7" borderId="6" xfId="0" applyFont="1" applyFill="1" applyBorder="1" applyAlignment="1">
      <alignment horizontal="center"/>
    </xf>
    <xf numFmtId="166" fontId="93" fillId="7" borderId="6" xfId="0" applyNumberFormat="1" applyFont="1" applyFill="1" applyBorder="1" applyAlignment="1" applyProtection="1" quotePrefix="1">
      <alignment horizontal="center"/>
      <protection/>
    </xf>
    <xf numFmtId="166" fontId="93" fillId="7" borderId="7" xfId="0" applyNumberFormat="1" applyFont="1" applyFill="1" applyBorder="1" applyAlignment="1" applyProtection="1" quotePrefix="1">
      <alignment horizontal="center"/>
      <protection/>
    </xf>
    <xf numFmtId="0" fontId="85" fillId="10" borderId="1" xfId="0" applyFont="1" applyFill="1" applyBorder="1" applyAlignment="1" applyProtection="1">
      <alignment horizontal="center"/>
      <protection/>
    </xf>
    <xf numFmtId="0" fontId="83" fillId="10" borderId="18" xfId="0" applyFont="1" applyFill="1" applyBorder="1" applyAlignment="1" applyProtection="1">
      <alignment horizontal="center" vertical="center"/>
      <protection/>
    </xf>
    <xf numFmtId="164" fontId="85" fillId="10" borderId="1" xfId="0" applyNumberFormat="1" applyFont="1" applyFill="1" applyBorder="1" applyAlignment="1" applyProtection="1">
      <alignment horizontal="center"/>
      <protection/>
    </xf>
    <xf numFmtId="164" fontId="85" fillId="10" borderId="7" xfId="0" applyNumberFormat="1" applyFont="1" applyFill="1" applyBorder="1" applyAlignment="1" applyProtection="1">
      <alignment horizontal="center"/>
      <protection/>
    </xf>
    <xf numFmtId="0" fontId="85" fillId="10" borderId="41" xfId="0" applyFont="1" applyFill="1" applyBorder="1" applyAlignment="1" applyProtection="1">
      <alignment horizontal="center"/>
      <protection/>
    </xf>
    <xf numFmtId="0" fontId="91" fillId="12" borderId="1" xfId="0" applyFont="1" applyFill="1" applyBorder="1" applyAlignment="1" applyProtection="1">
      <alignment horizontal="center"/>
      <protection/>
    </xf>
    <xf numFmtId="2" fontId="91" fillId="12" borderId="1" xfId="0" applyNumberFormat="1" applyFont="1" applyFill="1" applyBorder="1" applyAlignment="1">
      <alignment horizontal="center"/>
    </xf>
    <xf numFmtId="2" fontId="91" fillId="12" borderId="7" xfId="0" applyNumberFormat="1" applyFont="1" applyFill="1" applyBorder="1" applyAlignment="1">
      <alignment horizontal="center"/>
    </xf>
    <xf numFmtId="0" fontId="91" fillId="12" borderId="41" xfId="0" applyFont="1" applyFill="1" applyBorder="1" applyAlignment="1" applyProtection="1">
      <alignment horizontal="center"/>
      <protection/>
    </xf>
    <xf numFmtId="4" fontId="91" fillId="12" borderId="18" xfId="0" applyNumberFormat="1" applyFont="1" applyFill="1" applyBorder="1" applyAlignment="1">
      <alignment horizontal="center"/>
    </xf>
    <xf numFmtId="0" fontId="58" fillId="5" borderId="26" xfId="0" applyFont="1" applyFill="1" applyBorder="1" applyAlignment="1" applyProtection="1">
      <alignment horizontal="centerContinuous" vertical="center" wrapText="1"/>
      <protection/>
    </xf>
    <xf numFmtId="0" fontId="58" fillId="5" borderId="27" xfId="0" applyFont="1" applyFill="1" applyBorder="1" applyAlignment="1">
      <alignment horizontal="centerContinuous" vertical="center"/>
    </xf>
    <xf numFmtId="166" fontId="56" fillId="5" borderId="46" xfId="0" applyNumberFormat="1" applyFont="1" applyFill="1" applyBorder="1" applyAlignment="1" applyProtection="1" quotePrefix="1">
      <alignment horizontal="center"/>
      <protection/>
    </xf>
    <xf numFmtId="166" fontId="56" fillId="5" borderId="48" xfId="0" applyNumberFormat="1" applyFont="1" applyFill="1" applyBorder="1" applyAlignment="1" applyProtection="1" quotePrefix="1">
      <alignment horizontal="center"/>
      <protection/>
    </xf>
    <xf numFmtId="166" fontId="56" fillId="5" borderId="14" xfId="0" applyNumberFormat="1" applyFont="1" applyFill="1" applyBorder="1" applyAlignment="1" applyProtection="1" quotePrefix="1">
      <alignment horizontal="center"/>
      <protection/>
    </xf>
    <xf numFmtId="166" fontId="56" fillId="5" borderId="56" xfId="0" applyNumberFormat="1" applyFont="1" applyFill="1" applyBorder="1" applyAlignment="1" applyProtection="1" quotePrefix="1">
      <alignment horizontal="center"/>
      <protection/>
    </xf>
    <xf numFmtId="166" fontId="56" fillId="5" borderId="43" xfId="0" applyNumberFormat="1" applyFont="1" applyFill="1" applyBorder="1" applyAlignment="1" applyProtection="1" quotePrefix="1">
      <alignment horizontal="center"/>
      <protection/>
    </xf>
    <xf numFmtId="166" fontId="56" fillId="5" borderId="45" xfId="0" applyNumberFormat="1" applyFont="1" applyFill="1" applyBorder="1" applyAlignment="1" applyProtection="1" quotePrefix="1">
      <alignment horizontal="center"/>
      <protection/>
    </xf>
    <xf numFmtId="4" fontId="56" fillId="5" borderId="52" xfId="0" applyNumberFormat="1" applyFont="1" applyFill="1" applyBorder="1" applyAlignment="1">
      <alignment horizontal="center"/>
    </xf>
    <xf numFmtId="4" fontId="56" fillId="5" borderId="55" xfId="0" applyNumberFormat="1" applyFont="1" applyFill="1" applyBorder="1" applyAlignment="1">
      <alignment horizontal="center"/>
    </xf>
    <xf numFmtId="166" fontId="84" fillId="4" borderId="1" xfId="0" applyNumberFormat="1" applyFont="1" applyFill="1" applyBorder="1" applyAlignment="1" applyProtection="1" quotePrefix="1">
      <alignment horizontal="center"/>
      <protection/>
    </xf>
    <xf numFmtId="166" fontId="84" fillId="4" borderId="7" xfId="0" applyNumberFormat="1" applyFont="1" applyFill="1" applyBorder="1" applyAlignment="1" applyProtection="1" quotePrefix="1">
      <alignment horizontal="center"/>
      <protection/>
    </xf>
    <xf numFmtId="4" fontId="84" fillId="4" borderId="18" xfId="0" applyNumberFormat="1" applyFont="1" applyFill="1" applyBorder="1" applyAlignment="1">
      <alignment horizontal="center"/>
    </xf>
    <xf numFmtId="0" fontId="83" fillId="4" borderId="18" xfId="0" applyFont="1" applyFill="1" applyBorder="1" applyAlignment="1">
      <alignment horizontal="center" vertical="center" wrapText="1"/>
    </xf>
    <xf numFmtId="166" fontId="84" fillId="4" borderId="41" xfId="0" applyNumberFormat="1" applyFont="1" applyFill="1" applyBorder="1" applyAlignment="1" applyProtection="1" quotePrefix="1">
      <alignment horizontal="center"/>
      <protection/>
    </xf>
    <xf numFmtId="0" fontId="38" fillId="7" borderId="18" xfId="0" applyFont="1" applyFill="1" applyBorder="1" applyAlignment="1">
      <alignment horizontal="center" vertical="center" wrapText="1"/>
    </xf>
    <xf numFmtId="0" fontId="94" fillId="7" borderId="49" xfId="0" applyFont="1" applyFill="1" applyBorder="1" applyAlignment="1">
      <alignment horizontal="center"/>
    </xf>
    <xf numFmtId="2" fontId="94" fillId="7" borderId="6" xfId="0" applyNumberFormat="1" applyFont="1" applyFill="1" applyBorder="1" applyAlignment="1">
      <alignment horizontal="center"/>
    </xf>
    <xf numFmtId="2" fontId="94" fillId="7" borderId="1" xfId="0" applyNumberFormat="1" applyFont="1" applyFill="1" applyBorder="1" applyAlignment="1">
      <alignment horizontal="center"/>
    </xf>
    <xf numFmtId="2" fontId="94" fillId="7" borderId="7" xfId="0" applyNumberFormat="1" applyFont="1" applyFill="1" applyBorder="1" applyAlignment="1">
      <alignment horizontal="center"/>
    </xf>
    <xf numFmtId="4" fontId="94" fillId="7" borderId="18" xfId="0" applyNumberFormat="1" applyFont="1" applyFill="1" applyBorder="1" applyAlignment="1">
      <alignment horizontal="center"/>
    </xf>
    <xf numFmtId="0" fontId="66" fillId="14" borderId="26" xfId="0" applyFont="1" applyFill="1" applyBorder="1" applyAlignment="1" applyProtection="1">
      <alignment horizontal="centerContinuous" vertical="center" wrapText="1"/>
      <protection/>
    </xf>
    <xf numFmtId="0" fontId="66" fillId="14" borderId="27" xfId="0" applyFont="1" applyFill="1" applyBorder="1" applyAlignment="1">
      <alignment horizontal="centerContinuous" vertical="center"/>
    </xf>
    <xf numFmtId="0" fontId="68" fillId="14" borderId="46" xfId="0" applyFont="1" applyFill="1" applyBorder="1" applyAlignment="1">
      <alignment horizontal="center"/>
    </xf>
    <xf numFmtId="0" fontId="68" fillId="14" borderId="48" xfId="0" applyFont="1" applyFill="1" applyBorder="1" applyAlignment="1">
      <alignment horizontal="center"/>
    </xf>
    <xf numFmtId="166" fontId="68" fillId="14" borderId="20" xfId="0" applyNumberFormat="1" applyFont="1" applyFill="1" applyBorder="1" applyAlignment="1" applyProtection="1" quotePrefix="1">
      <alignment horizontal="center"/>
      <protection/>
    </xf>
    <xf numFmtId="166" fontId="68" fillId="14" borderId="11" xfId="0" applyNumberFormat="1" applyFont="1" applyFill="1" applyBorder="1" applyAlignment="1" applyProtection="1" quotePrefix="1">
      <alignment horizontal="center"/>
      <protection/>
    </xf>
    <xf numFmtId="166" fontId="68" fillId="14" borderId="51" xfId="0" applyNumberFormat="1" applyFont="1" applyFill="1" applyBorder="1" applyAlignment="1" applyProtection="1" quotePrefix="1">
      <alignment horizontal="center"/>
      <protection/>
    </xf>
    <xf numFmtId="166" fontId="68" fillId="14" borderId="40" xfId="0" applyNumberFormat="1" applyFont="1" applyFill="1" applyBorder="1" applyAlignment="1" applyProtection="1" quotePrefix="1">
      <alignment horizontal="center"/>
      <protection/>
    </xf>
    <xf numFmtId="4" fontId="68" fillId="14" borderId="52" xfId="0" applyNumberFormat="1" applyFont="1" applyFill="1" applyBorder="1" applyAlignment="1">
      <alignment horizontal="center"/>
    </xf>
    <xf numFmtId="4" fontId="68" fillId="14" borderId="27" xfId="0" applyNumberFormat="1" applyFont="1" applyFill="1" applyBorder="1" applyAlignment="1">
      <alignment horizontal="center"/>
    </xf>
    <xf numFmtId="0" fontId="69" fillId="5" borderId="18" xfId="0" applyFont="1" applyFill="1" applyBorder="1" applyAlignment="1">
      <alignment horizontal="center" vertical="center" wrapText="1"/>
    </xf>
    <xf numFmtId="0" fontId="72" fillId="5" borderId="49" xfId="0" applyFont="1" applyFill="1" applyBorder="1" applyAlignment="1">
      <alignment horizontal="center"/>
    </xf>
    <xf numFmtId="166" fontId="72" fillId="5" borderId="6" xfId="0" applyNumberFormat="1" applyFont="1" applyFill="1" applyBorder="1" applyAlignment="1" applyProtection="1" quotePrefix="1">
      <alignment horizontal="center"/>
      <protection/>
    </xf>
    <xf numFmtId="166" fontId="72" fillId="5" borderId="7" xfId="0" applyNumberFormat="1" applyFont="1" applyFill="1" applyBorder="1" applyAlignment="1" applyProtection="1" quotePrefix="1">
      <alignment horizontal="center"/>
      <protection/>
    </xf>
    <xf numFmtId="4" fontId="72" fillId="5" borderId="18" xfId="0" applyNumberFormat="1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164" fontId="62" fillId="3" borderId="1" xfId="0" applyNumberFormat="1" applyFont="1" applyFill="1" applyBorder="1" applyAlignment="1" applyProtection="1">
      <alignment horizontal="center"/>
      <protection/>
    </xf>
    <xf numFmtId="164" fontId="62" fillId="3" borderId="7" xfId="0" applyNumberFormat="1" applyFont="1" applyFill="1" applyBorder="1" applyAlignment="1" applyProtection="1">
      <alignment horizontal="center"/>
      <protection/>
    </xf>
    <xf numFmtId="4" fontId="68" fillId="13" borderId="18" xfId="0" applyNumberFormat="1" applyFont="1" applyFill="1" applyBorder="1" applyAlignment="1">
      <alignment horizontal="center"/>
    </xf>
    <xf numFmtId="4" fontId="93" fillId="7" borderId="18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66" fontId="85" fillId="4" borderId="7" xfId="0" applyNumberFormat="1" applyFont="1" applyFill="1" applyBorder="1" applyAlignment="1" applyProtection="1" quotePrefix="1">
      <alignment horizontal="center"/>
      <protection/>
    </xf>
    <xf numFmtId="166" fontId="29" fillId="0" borderId="0" xfId="0" applyNumberFormat="1" applyFont="1" applyBorder="1" applyAlignment="1" applyProtection="1">
      <alignment horizontal="centerContinuous"/>
      <protection/>
    </xf>
    <xf numFmtId="0" fontId="65" fillId="3" borderId="1" xfId="0" applyFont="1" applyFill="1" applyBorder="1" applyAlignment="1">
      <alignment horizontal="center"/>
    </xf>
    <xf numFmtId="166" fontId="65" fillId="3" borderId="1" xfId="0" applyNumberFormat="1" applyFont="1" applyFill="1" applyBorder="1" applyAlignment="1" applyProtection="1">
      <alignment horizontal="center"/>
      <protection/>
    </xf>
    <xf numFmtId="166" fontId="65" fillId="3" borderId="7" xfId="0" applyNumberFormat="1" applyFont="1" applyFill="1" applyBorder="1" applyAlignment="1" applyProtection="1">
      <alignment horizontal="center"/>
      <protection/>
    </xf>
    <xf numFmtId="7" fontId="16" fillId="0" borderId="41" xfId="0" applyNumberFormat="1" applyFont="1" applyBorder="1" applyAlignment="1">
      <alignment/>
    </xf>
    <xf numFmtId="7" fontId="18" fillId="0" borderId="49" xfId="0" applyNumberFormat="1" applyFont="1" applyFill="1" applyBorder="1" applyAlignment="1">
      <alignment horizontal="center"/>
    </xf>
    <xf numFmtId="171" fontId="13" fillId="0" borderId="0" xfId="0" applyNumberFormat="1" applyFont="1" applyBorder="1" applyAlignment="1">
      <alignment horizontal="right"/>
    </xf>
    <xf numFmtId="172" fontId="29" fillId="0" borderId="22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centerContinuous"/>
    </xf>
    <xf numFmtId="172" fontId="14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 horizontal="right"/>
    </xf>
    <xf numFmtId="171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3" fillId="15" borderId="26" xfId="0" applyFont="1" applyFill="1" applyBorder="1" applyAlignment="1" applyProtection="1">
      <alignment horizontal="centerContinuous" vertical="center" wrapText="1"/>
      <protection/>
    </xf>
    <xf numFmtId="0" fontId="83" fillId="15" borderId="27" xfId="0" applyFont="1" applyFill="1" applyBorder="1" applyAlignment="1">
      <alignment horizontal="centerContinuous" vertical="center"/>
    </xf>
    <xf numFmtId="0" fontId="85" fillId="15" borderId="46" xfId="0" applyFont="1" applyFill="1" applyBorder="1" applyAlignment="1">
      <alignment horizontal="center"/>
    </xf>
    <xf numFmtId="0" fontId="85" fillId="15" borderId="48" xfId="0" applyFont="1" applyFill="1" applyBorder="1" applyAlignment="1">
      <alignment horizontal="left"/>
    </xf>
    <xf numFmtId="166" fontId="84" fillId="15" borderId="20" xfId="0" applyNumberFormat="1" applyFont="1" applyFill="1" applyBorder="1" applyAlignment="1" applyProtection="1" quotePrefix="1">
      <alignment horizontal="center"/>
      <protection/>
    </xf>
    <xf numFmtId="166" fontId="84" fillId="15" borderId="11" xfId="0" applyNumberFormat="1" applyFont="1" applyFill="1" applyBorder="1" applyAlignment="1" applyProtection="1" quotePrefix="1">
      <alignment horizontal="center"/>
      <protection/>
    </xf>
    <xf numFmtId="166" fontId="85" fillId="15" borderId="51" xfId="0" applyNumberFormat="1" applyFont="1" applyFill="1" applyBorder="1" applyAlignment="1" applyProtection="1" quotePrefix="1">
      <alignment horizontal="center"/>
      <protection/>
    </xf>
    <xf numFmtId="166" fontId="85" fillId="15" borderId="40" xfId="0" applyNumberFormat="1" applyFont="1" applyFill="1" applyBorder="1" applyAlignment="1" applyProtection="1" quotePrefix="1">
      <alignment horizontal="center"/>
      <protection/>
    </xf>
    <xf numFmtId="0" fontId="83" fillId="16" borderId="18" xfId="0" applyFont="1" applyFill="1" applyBorder="1" applyAlignment="1">
      <alignment horizontal="center" vertical="center" wrapText="1"/>
    </xf>
    <xf numFmtId="2" fontId="84" fillId="16" borderId="1" xfId="0" applyNumberFormat="1" applyFont="1" applyFill="1" applyBorder="1" applyAlignment="1">
      <alignment horizontal="center"/>
    </xf>
    <xf numFmtId="2" fontId="85" fillId="16" borderId="7" xfId="0" applyNumberFormat="1" applyFont="1" applyFill="1" applyBorder="1" applyAlignment="1">
      <alignment horizontal="center"/>
    </xf>
    <xf numFmtId="0" fontId="83" fillId="4" borderId="18" xfId="0" applyFont="1" applyFill="1" applyBorder="1" applyAlignment="1">
      <alignment horizontal="centerContinuous" vertical="center" wrapText="1"/>
    </xf>
    <xf numFmtId="0" fontId="62" fillId="3" borderId="41" xfId="0" applyFont="1" applyFill="1" applyBorder="1" applyAlignment="1">
      <alignment horizontal="center"/>
    </xf>
    <xf numFmtId="0" fontId="85" fillId="16" borderId="41" xfId="0" applyFont="1" applyFill="1" applyBorder="1" applyAlignment="1">
      <alignment horizontal="center"/>
    </xf>
    <xf numFmtId="0" fontId="85" fillId="4" borderId="41" xfId="0" applyFont="1" applyFill="1" applyBorder="1" applyAlignment="1">
      <alignment horizontal="left"/>
    </xf>
    <xf numFmtId="0" fontId="97" fillId="0" borderId="0" xfId="0" applyFont="1" applyBorder="1" applyAlignment="1" quotePrefix="1">
      <alignment horizontal="left"/>
    </xf>
    <xf numFmtId="0" fontId="29" fillId="0" borderId="25" xfId="0" applyFont="1" applyFill="1" applyBorder="1" applyAlignment="1">
      <alignment/>
    </xf>
    <xf numFmtId="170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6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70" fontId="53" fillId="0" borderId="0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"/>
    </xf>
    <xf numFmtId="166" fontId="53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 applyProtection="1">
      <alignment horizontal="left" vertical="center"/>
      <protection/>
    </xf>
    <xf numFmtId="0" fontId="64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65" fontId="1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4" fontId="13" fillId="0" borderId="26" xfId="0" applyNumberFormat="1" applyFont="1" applyBorder="1" applyAlignment="1" applyProtection="1">
      <alignment horizontal="center" vertical="center"/>
      <protection/>
    </xf>
    <xf numFmtId="7" fontId="98" fillId="0" borderId="27" xfId="0" applyNumberFormat="1" applyFont="1" applyFill="1" applyBorder="1" applyAlignment="1">
      <alignment horizontal="center" vertical="center"/>
    </xf>
    <xf numFmtId="166" fontId="14" fillId="0" borderId="0" xfId="0" applyNumberFormat="1" applyFont="1" applyBorder="1" applyAlignment="1" applyProtection="1">
      <alignment horizontal="center" vertical="center"/>
      <protection/>
    </xf>
    <xf numFmtId="168" fontId="14" fillId="0" borderId="0" xfId="0" applyNumberFormat="1" applyFont="1" applyBorder="1" applyAlignment="1" applyProtection="1" quotePrefix="1">
      <alignment horizontal="center" vertical="center"/>
      <protection/>
    </xf>
    <xf numFmtId="2" fontId="99" fillId="0" borderId="0" xfId="0" applyNumberFormat="1" applyFont="1" applyBorder="1" applyAlignment="1" applyProtection="1">
      <alignment horizontal="center" vertical="center"/>
      <protection/>
    </xf>
    <xf numFmtId="166" fontId="100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5" xfId="0" applyNumberFormat="1" applyFont="1" applyFill="1" applyBorder="1" applyAlignment="1">
      <alignment horizontal="center" vertical="center"/>
    </xf>
    <xf numFmtId="169" fontId="82" fillId="10" borderId="1" xfId="0" applyNumberFormat="1" applyFont="1" applyFill="1" applyBorder="1" applyAlignment="1" applyProtection="1">
      <alignment horizontal="center"/>
      <protection/>
    </xf>
    <xf numFmtId="169" fontId="82" fillId="10" borderId="7" xfId="0" applyNumberFormat="1" applyFont="1" applyFill="1" applyBorder="1" applyAlignment="1" applyProtection="1">
      <alignment horizontal="center"/>
      <protection/>
    </xf>
    <xf numFmtId="169" fontId="62" fillId="3" borderId="1" xfId="0" applyNumberFormat="1" applyFont="1" applyFill="1" applyBorder="1" applyAlignment="1" applyProtection="1">
      <alignment horizontal="center"/>
      <protection/>
    </xf>
    <xf numFmtId="169" fontId="16" fillId="0" borderId="26" xfId="0" applyNumberFormat="1" applyFont="1" applyBorder="1" applyAlignment="1">
      <alignment horizontal="centerContinuous"/>
    </xf>
    <xf numFmtId="169" fontId="29" fillId="0" borderId="0" xfId="0" applyNumberFormat="1" applyFont="1" applyBorder="1" applyAlignment="1">
      <alignment horizontal="center"/>
    </xf>
    <xf numFmtId="7" fontId="16" fillId="0" borderId="50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1" fillId="0" borderId="0" xfId="0" applyFont="1" applyAlignment="1">
      <alignment horizontal="right" vertical="top"/>
    </xf>
    <xf numFmtId="0" fontId="102" fillId="0" borderId="0" xfId="0" applyFont="1" applyFill="1" applyAlignment="1">
      <alignment/>
    </xf>
    <xf numFmtId="0" fontId="103" fillId="0" borderId="0" xfId="0" applyFont="1" applyAlignment="1">
      <alignment horizontal="centerContinuous"/>
    </xf>
    <xf numFmtId="0" fontId="102" fillId="0" borderId="0" xfId="0" applyFont="1" applyAlignment="1">
      <alignment horizontal="centerContinuous"/>
    </xf>
    <xf numFmtId="0" fontId="102" fillId="0" borderId="0" xfId="0" applyFont="1" applyAlignment="1">
      <alignment/>
    </xf>
    <xf numFmtId="166" fontId="12" fillId="0" borderId="26" xfId="0" applyNumberFormat="1" applyFont="1" applyBorder="1" applyAlignment="1" applyProtection="1">
      <alignment horizontal="center"/>
      <protection/>
    </xf>
    <xf numFmtId="0" fontId="33" fillId="0" borderId="26" xfId="0" applyFont="1" applyFill="1" applyBorder="1" applyAlignment="1" applyProtection="1">
      <alignment horizontal="centerContinuous" vertical="center"/>
      <protection/>
    </xf>
    <xf numFmtId="166" fontId="4" fillId="0" borderId="0" xfId="0" applyNumberFormat="1" applyFont="1" applyBorder="1" applyAlignment="1" applyProtection="1" quotePrefix="1">
      <alignment horizontal="centerContinuous"/>
      <protection/>
    </xf>
    <xf numFmtId="166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left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57" xfId="0" applyFont="1" applyBorder="1" applyAlignment="1">
      <alignment horizontal="centerContinuous"/>
    </xf>
    <xf numFmtId="0" fontId="16" fillId="0" borderId="58" xfId="0" applyFont="1" applyBorder="1" applyAlignment="1">
      <alignment horizontal="centerContinuous"/>
    </xf>
    <xf numFmtId="169" fontId="16" fillId="0" borderId="59" xfId="0" applyNumberFormat="1" applyFont="1" applyBorder="1" applyAlignment="1">
      <alignment horizontal="center"/>
    </xf>
    <xf numFmtId="0" fontId="16" fillId="0" borderId="60" xfId="0" applyFont="1" applyBorder="1" applyAlignment="1">
      <alignment horizontal="centerContinuous"/>
    </xf>
    <xf numFmtId="0" fontId="16" fillId="0" borderId="61" xfId="0" applyFont="1" applyBorder="1" applyAlignment="1">
      <alignment horizontal="centerContinuous"/>
    </xf>
    <xf numFmtId="169" fontId="16" fillId="0" borderId="62" xfId="0" applyNumberFormat="1" applyFont="1" applyFill="1" applyBorder="1" applyAlignment="1">
      <alignment horizontal="center"/>
    </xf>
    <xf numFmtId="0" fontId="16" fillId="0" borderId="63" xfId="0" applyFont="1" applyBorder="1" applyAlignment="1">
      <alignment horizontal="centerContinuous"/>
    </xf>
    <xf numFmtId="0" fontId="16" fillId="0" borderId="64" xfId="0" applyFont="1" applyBorder="1" applyAlignment="1">
      <alignment horizontal="centerContinuous"/>
    </xf>
    <xf numFmtId="164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5" xfId="0" applyNumberFormat="1" applyBorder="1" applyAlignment="1">
      <alignment horizontal="center"/>
    </xf>
    <xf numFmtId="1" fontId="16" fillId="0" borderId="59" xfId="0" applyNumberFormat="1" applyFont="1" applyBorder="1" applyAlignment="1">
      <alignment horizontal="center"/>
    </xf>
    <xf numFmtId="1" fontId="16" fillId="0" borderId="62" xfId="0" applyNumberFormat="1" applyFont="1" applyFill="1" applyBorder="1" applyAlignment="1">
      <alignment horizontal="center"/>
    </xf>
    <xf numFmtId="170" fontId="12" fillId="0" borderId="27" xfId="0" applyNumberFormat="1" applyFont="1" applyBorder="1" applyAlignment="1" applyProtection="1">
      <alignment horizontal="centerContinuous"/>
      <protection/>
    </xf>
    <xf numFmtId="2" fontId="95" fillId="0" borderId="17" xfId="0" applyNumberFormat="1" applyFont="1" applyFill="1" applyBorder="1" applyAlignment="1" applyProtection="1">
      <alignment horizontal="center"/>
      <protection/>
    </xf>
    <xf numFmtId="2" fontId="21" fillId="0" borderId="17" xfId="0" applyNumberFormat="1" applyFont="1" applyFill="1" applyBorder="1" applyAlignment="1" applyProtection="1">
      <alignment horizontal="center"/>
      <protection/>
    </xf>
    <xf numFmtId="2" fontId="96" fillId="0" borderId="17" xfId="0" applyNumberFormat="1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>
      <alignment horizontal="centerContinuous"/>
    </xf>
    <xf numFmtId="166" fontId="4" fillId="0" borderId="1" xfId="0" applyNumberFormat="1" applyFont="1" applyBorder="1" applyAlignment="1" applyProtection="1">
      <alignment horizontal="centerContinuous"/>
      <protection/>
    </xf>
    <xf numFmtId="166" fontId="4" fillId="0" borderId="7" xfId="0" applyNumberFormat="1" applyFont="1" applyBorder="1" applyAlignment="1" applyProtection="1">
      <alignment horizontal="centerContinuous"/>
      <protection/>
    </xf>
    <xf numFmtId="0" fontId="6" fillId="0" borderId="66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6" fillId="0" borderId="67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/>
      <protection/>
    </xf>
    <xf numFmtId="164" fontId="5" fillId="0" borderId="12" xfId="0" applyNumberFormat="1" applyFont="1" applyBorder="1" applyAlignment="1" applyProtection="1" quotePrefix="1">
      <alignment horizontal="center"/>
      <protection/>
    </xf>
    <xf numFmtId="166" fontId="62" fillId="3" borderId="12" xfId="0" applyNumberFormat="1" applyFont="1" applyFill="1" applyBorder="1" applyAlignment="1" applyProtection="1">
      <alignment horizontal="center"/>
      <protection/>
    </xf>
    <xf numFmtId="22" fontId="4" fillId="0" borderId="51" xfId="0" applyNumberFormat="1" applyFont="1" applyBorder="1" applyAlignment="1">
      <alignment horizontal="center"/>
    </xf>
    <xf numFmtId="22" fontId="4" fillId="0" borderId="12" xfId="0" applyNumberFormat="1" applyFont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 quotePrefix="1">
      <alignment horizontal="center"/>
      <protection/>
    </xf>
    <xf numFmtId="164" fontId="4" fillId="0" borderId="12" xfId="0" applyNumberFormat="1" applyFont="1" applyFill="1" applyBorder="1" applyAlignment="1" applyProtection="1" quotePrefix="1">
      <alignment horizontal="center"/>
      <protection/>
    </xf>
    <xf numFmtId="166" fontId="4" fillId="0" borderId="68" xfId="0" applyNumberFormat="1" applyFont="1" applyBorder="1" applyAlignment="1" applyProtection="1">
      <alignment horizontal="center"/>
      <protection/>
    </xf>
    <xf numFmtId="166" fontId="4" fillId="0" borderId="67" xfId="0" applyNumberFormat="1" applyFont="1" applyBorder="1" applyAlignment="1" applyProtection="1">
      <alignment horizontal="center"/>
      <protection/>
    </xf>
    <xf numFmtId="164" fontId="85" fillId="10" borderId="12" xfId="0" applyNumberFormat="1" applyFont="1" applyFill="1" applyBorder="1" applyAlignment="1" applyProtection="1">
      <alignment horizontal="center"/>
      <protection/>
    </xf>
    <xf numFmtId="2" fontId="91" fillId="12" borderId="12" xfId="0" applyNumberFormat="1" applyFont="1" applyFill="1" applyBorder="1" applyAlignment="1">
      <alignment horizontal="center"/>
    </xf>
    <xf numFmtId="166" fontId="56" fillId="5" borderId="51" xfId="0" applyNumberFormat="1" applyFont="1" applyFill="1" applyBorder="1" applyAlignment="1" applyProtection="1" quotePrefix="1">
      <alignment horizontal="center"/>
      <protection/>
    </xf>
    <xf numFmtId="166" fontId="56" fillId="5" borderId="40" xfId="0" applyNumberFormat="1" applyFont="1" applyFill="1" applyBorder="1" applyAlignment="1" applyProtection="1" quotePrefix="1">
      <alignment horizontal="center"/>
      <protection/>
    </xf>
    <xf numFmtId="166" fontId="84" fillId="4" borderId="12" xfId="0" applyNumberFormat="1" applyFont="1" applyFill="1" applyBorder="1" applyAlignment="1" applyProtection="1" quotePrefix="1">
      <alignment horizontal="center"/>
      <protection/>
    </xf>
    <xf numFmtId="166" fontId="4" fillId="0" borderId="12" xfId="0" applyNumberFormat="1" applyFont="1" applyBorder="1" applyAlignment="1">
      <alignment horizontal="center"/>
    </xf>
    <xf numFmtId="4" fontId="18" fillId="0" borderId="12" xfId="0" applyNumberFormat="1" applyFont="1" applyFill="1" applyBorder="1" applyAlignment="1">
      <alignment horizontal="right"/>
    </xf>
    <xf numFmtId="0" fontId="101" fillId="0" borderId="0" xfId="0" applyFont="1" applyAlignment="1">
      <alignment horizontal="right" vertical="top"/>
    </xf>
    <xf numFmtId="0" fontId="101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Continuous"/>
    </xf>
    <xf numFmtId="7" fontId="12" fillId="0" borderId="16" xfId="0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 horizontal="left" vertical="center"/>
      <protection/>
    </xf>
    <xf numFmtId="169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69" fontId="0" fillId="0" borderId="2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169" fontId="16" fillId="0" borderId="69" xfId="0" applyNumberFormat="1" applyFont="1" applyBorder="1" applyAlignment="1">
      <alignment horizontal="center"/>
    </xf>
    <xf numFmtId="1" fontId="16" fillId="0" borderId="69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22" fontId="4" fillId="0" borderId="2" xfId="0" applyNumberFormat="1" applyFont="1" applyFill="1" applyBorder="1" applyAlignment="1">
      <alignment horizontal="center"/>
    </xf>
    <xf numFmtId="22" fontId="4" fillId="0" borderId="4" xfId="0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center"/>
      <protection/>
    </xf>
    <xf numFmtId="164" fontId="4" fillId="0" borderId="1" xfId="23" applyNumberFormat="1" applyFont="1" applyFill="1" applyBorder="1" applyAlignment="1" applyProtection="1">
      <alignment horizontal="center"/>
      <protection/>
    </xf>
    <xf numFmtId="165" fontId="4" fillId="0" borderId="1" xfId="23" applyNumberFormat="1" applyFont="1" applyFill="1" applyBorder="1" applyAlignment="1" applyProtection="1">
      <alignment horizontal="center"/>
      <protection/>
    </xf>
    <xf numFmtId="22" fontId="4" fillId="0" borderId="2" xfId="23" applyNumberFormat="1" applyFont="1" applyFill="1" applyBorder="1" applyAlignment="1">
      <alignment horizontal="center"/>
      <protection/>
    </xf>
    <xf numFmtId="22" fontId="4" fillId="0" borderId="5" xfId="23" applyNumberFormat="1" applyFont="1" applyFill="1" applyBorder="1" applyAlignment="1" applyProtection="1">
      <alignment horizontal="center"/>
      <protection/>
    </xf>
    <xf numFmtId="7" fontId="21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5" xfId="0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 quotePrefix="1">
      <alignment horizontal="center"/>
      <protection/>
    </xf>
    <xf numFmtId="7" fontId="35" fillId="0" borderId="35" xfId="0" applyNumberFormat="1" applyFont="1" applyFill="1" applyBorder="1" applyAlignment="1">
      <alignment horizontal="right"/>
    </xf>
    <xf numFmtId="0" fontId="16" fillId="0" borderId="70" xfId="0" applyFont="1" applyBorder="1" applyAlignment="1">
      <alignment horizontal="centerContinuous"/>
    </xf>
    <xf numFmtId="0" fontId="16" fillId="0" borderId="71" xfId="0" applyFont="1" applyBorder="1" applyAlignment="1">
      <alignment horizontal="centerContinuous"/>
    </xf>
    <xf numFmtId="169" fontId="16" fillId="0" borderId="72" xfId="0" applyNumberFormat="1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0" fontId="104" fillId="0" borderId="0" xfId="0" applyFont="1" applyAlignment="1">
      <alignment horizontal="right" vertical="top"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0" fontId="105" fillId="0" borderId="0" xfId="0" applyFont="1" applyAlignment="1">
      <alignment horizontal="centerContinuous"/>
    </xf>
    <xf numFmtId="0" fontId="63" fillId="0" borderId="0" xfId="0" applyFont="1" applyAlignment="1">
      <alignment/>
    </xf>
    <xf numFmtId="0" fontId="29" fillId="0" borderId="0" xfId="0" applyFont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29" fillId="0" borderId="21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5" xfId="0" applyFont="1" applyBorder="1" applyAlignment="1">
      <alignment horizontal="centerContinuous"/>
    </xf>
    <xf numFmtId="0" fontId="29" fillId="0" borderId="25" xfId="0" applyFont="1" applyBorder="1" applyAlignment="1">
      <alignment/>
    </xf>
    <xf numFmtId="17" fontId="33" fillId="0" borderId="18" xfId="0" applyNumberFormat="1" applyFont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6" fillId="0" borderId="24" xfId="0" applyFont="1" applyBorder="1" applyAlignment="1">
      <alignment vertical="center"/>
    </xf>
    <xf numFmtId="0" fontId="106" fillId="0" borderId="5" xfId="0" applyFont="1" applyBorder="1" applyAlignment="1">
      <alignment vertical="center"/>
    </xf>
    <xf numFmtId="0" fontId="106" fillId="0" borderId="1" xfId="0" applyFont="1" applyBorder="1" applyAlignment="1">
      <alignment vertical="center"/>
    </xf>
    <xf numFmtId="0" fontId="106" fillId="0" borderId="49" xfId="0" applyFont="1" applyBorder="1" applyAlignment="1">
      <alignment vertical="center"/>
    </xf>
    <xf numFmtId="0" fontId="106" fillId="0" borderId="25" xfId="0" applyFont="1" applyBorder="1" applyAlignment="1">
      <alignment vertical="center"/>
    </xf>
    <xf numFmtId="0" fontId="106" fillId="1" borderId="14" xfId="0" applyFont="1" applyFill="1" applyBorder="1" applyAlignment="1">
      <alignment horizontal="center" vertical="center"/>
    </xf>
    <xf numFmtId="0" fontId="106" fillId="1" borderId="1" xfId="0" applyFont="1" applyFill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6" fillId="0" borderId="6" xfId="0" applyFont="1" applyBorder="1" applyAlignment="1">
      <alignment horizontal="center" vertical="center"/>
    </xf>
    <xf numFmtId="0" fontId="106" fillId="1" borderId="20" xfId="0" applyFont="1" applyFill="1" applyBorder="1" applyAlignment="1">
      <alignment horizontal="center" vertical="center"/>
    </xf>
    <xf numFmtId="0" fontId="106" fillId="1" borderId="6" xfId="0" applyFont="1" applyFill="1" applyBorder="1" applyAlignment="1">
      <alignment horizontal="center" vertical="center"/>
    </xf>
    <xf numFmtId="0" fontId="106" fillId="0" borderId="6" xfId="0" applyFont="1" applyFill="1" applyBorder="1" applyAlignment="1">
      <alignment horizontal="center" vertical="center"/>
    </xf>
    <xf numFmtId="0" fontId="106" fillId="0" borderId="51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167" fontId="107" fillId="0" borderId="18" xfId="0" applyNumberFormat="1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horizontal="center" vertical="center"/>
    </xf>
    <xf numFmtId="0" fontId="106" fillId="0" borderId="31" xfId="0" applyFont="1" applyFill="1" applyBorder="1" applyAlignment="1">
      <alignment horizontal="center" vertical="center"/>
    </xf>
    <xf numFmtId="0" fontId="106" fillId="0" borderId="27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vertical="center"/>
    </xf>
    <xf numFmtId="0" fontId="106" fillId="0" borderId="0" xfId="0" applyFont="1" applyBorder="1" applyAlignment="1">
      <alignment horizontal="right" vertical="center"/>
    </xf>
    <xf numFmtId="0" fontId="107" fillId="0" borderId="0" xfId="0" applyFont="1" applyBorder="1" applyAlignment="1">
      <alignment horizontal="right" vertical="center"/>
    </xf>
    <xf numFmtId="0" fontId="106" fillId="0" borderId="18" xfId="0" applyFont="1" applyBorder="1" applyAlignment="1">
      <alignment horizontal="center" vertical="center"/>
    </xf>
    <xf numFmtId="0" fontId="106" fillId="0" borderId="7" xfId="0" applyFont="1" applyBorder="1" applyAlignment="1">
      <alignment horizontal="center" vertical="center"/>
    </xf>
    <xf numFmtId="2" fontId="107" fillId="0" borderId="18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2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8" fillId="17" borderId="65" xfId="0" applyFont="1" applyFill="1" applyBorder="1" applyAlignment="1" applyProtection="1">
      <alignment horizontal="right"/>
      <protection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17" fillId="0" borderId="31" xfId="0" applyFont="1" applyBorder="1" applyAlignment="1">
      <alignment horizontal="right"/>
    </xf>
    <xf numFmtId="2" fontId="17" fillId="0" borderId="31" xfId="0" applyNumberFormat="1" applyFont="1" applyBorder="1" applyAlignment="1">
      <alignment horizontal="center"/>
    </xf>
    <xf numFmtId="0" fontId="109" fillId="0" borderId="31" xfId="0" applyFont="1" applyBorder="1" applyAlignment="1">
      <alignment/>
    </xf>
    <xf numFmtId="0" fontId="0" fillId="0" borderId="27" xfId="0" applyBorder="1" applyAlignment="1">
      <alignment/>
    </xf>
    <xf numFmtId="0" fontId="29" fillId="0" borderId="29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9" fillId="0" borderId="0" xfId="23" applyFont="1" applyBorder="1" applyProtection="1">
      <alignment/>
      <protection locked="0"/>
    </xf>
    <xf numFmtId="0" fontId="4" fillId="0" borderId="24" xfId="0" applyFont="1" applyBorder="1" applyAlignment="1">
      <alignment horizontal="right"/>
    </xf>
    <xf numFmtId="2" fontId="16" fillId="0" borderId="35" xfId="0" applyNumberFormat="1" applyFont="1" applyFill="1" applyBorder="1" applyAlignment="1">
      <alignment horizontal="right"/>
    </xf>
    <xf numFmtId="2" fontId="15" fillId="0" borderId="38" xfId="0" applyNumberFormat="1" applyFont="1" applyBorder="1" applyAlignment="1" applyProtection="1">
      <alignment horizontal="center"/>
      <protection/>
    </xf>
    <xf numFmtId="0" fontId="8" fillId="0" borderId="0" xfId="21">
      <alignment/>
      <protection/>
    </xf>
    <xf numFmtId="0" fontId="116" fillId="0" borderId="0" xfId="21" applyFont="1">
      <alignment/>
      <protection/>
    </xf>
    <xf numFmtId="0" fontId="8" fillId="0" borderId="0" xfId="21" applyAlignment="1">
      <alignment horizontal="center"/>
      <protection/>
    </xf>
    <xf numFmtId="0" fontId="117" fillId="0" borderId="0" xfId="21" applyFont="1">
      <alignment/>
      <protection/>
    </xf>
    <xf numFmtId="0" fontId="118" fillId="0" borderId="0" xfId="21" applyFont="1" applyFill="1" applyBorder="1" applyAlignment="1" applyProtection="1">
      <alignment horizontal="center"/>
      <protection/>
    </xf>
    <xf numFmtId="0" fontId="117" fillId="0" borderId="0" xfId="21" applyFont="1">
      <alignment/>
      <protection/>
    </xf>
    <xf numFmtId="0" fontId="10" fillId="0" borderId="0" xfId="23" applyFont="1">
      <alignment/>
      <protection/>
    </xf>
    <xf numFmtId="0" fontId="9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center"/>
      <protection/>
    </xf>
    <xf numFmtId="0" fontId="10" fillId="0" borderId="0" xfId="23" applyFont="1" applyBorder="1">
      <alignment/>
      <protection/>
    </xf>
    <xf numFmtId="0" fontId="10" fillId="0" borderId="0" xfId="23" applyFont="1" applyFill="1">
      <alignment/>
      <protection/>
    </xf>
    <xf numFmtId="0" fontId="9" fillId="0" borderId="0" xfId="23" applyFont="1" applyBorder="1">
      <alignment/>
      <protection/>
    </xf>
    <xf numFmtId="0" fontId="10" fillId="0" borderId="0" xfId="23" applyFont="1" applyFill="1" applyBorder="1">
      <alignment/>
      <protection/>
    </xf>
    <xf numFmtId="0" fontId="119" fillId="0" borderId="0" xfId="21" applyFont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0" xfId="21" applyBorder="1">
      <alignment/>
      <protection/>
    </xf>
    <xf numFmtId="0" fontId="8" fillId="0" borderId="21" xfId="21" applyBorder="1">
      <alignment/>
      <protection/>
    </xf>
    <xf numFmtId="0" fontId="8" fillId="0" borderId="22" xfId="21" applyBorder="1">
      <alignment/>
      <protection/>
    </xf>
    <xf numFmtId="0" fontId="8" fillId="0" borderId="22" xfId="21" applyBorder="1" applyAlignment="1">
      <alignment horizontal="center"/>
      <protection/>
    </xf>
    <xf numFmtId="0" fontId="8" fillId="0" borderId="23" xfId="21" applyBorder="1">
      <alignment/>
      <protection/>
    </xf>
    <xf numFmtId="0" fontId="120" fillId="18" borderId="24" xfId="21" applyFont="1" applyFill="1" applyBorder="1" applyAlignment="1">
      <alignment horizontal="right"/>
      <protection/>
    </xf>
    <xf numFmtId="0" fontId="116" fillId="18" borderId="0" xfId="21" applyFont="1" applyFill="1" applyBorder="1" applyAlignment="1" applyProtection="1">
      <alignment horizontal="left"/>
      <protection locked="0"/>
    </xf>
    <xf numFmtId="0" fontId="8" fillId="18" borderId="0" xfId="21" applyFill="1" applyBorder="1">
      <alignment/>
      <protection/>
    </xf>
    <xf numFmtId="0" fontId="8" fillId="18" borderId="0" xfId="21" applyFill="1" applyBorder="1" applyAlignment="1">
      <alignment horizontal="center"/>
      <protection/>
    </xf>
    <xf numFmtId="0" fontId="8" fillId="18" borderId="25" xfId="21" applyFill="1" applyBorder="1">
      <alignment/>
      <protection/>
    </xf>
    <xf numFmtId="0" fontId="8" fillId="0" borderId="73" xfId="21" applyBorder="1">
      <alignment/>
      <protection/>
    </xf>
    <xf numFmtId="0" fontId="8" fillId="0" borderId="3" xfId="21" applyBorder="1">
      <alignment/>
      <protection/>
    </xf>
    <xf numFmtId="0" fontId="8" fillId="0" borderId="3" xfId="21" applyBorder="1" applyAlignment="1">
      <alignment horizontal="center"/>
      <protection/>
    </xf>
    <xf numFmtId="0" fontId="8" fillId="0" borderId="74" xfId="21" applyBorder="1">
      <alignment/>
      <protection/>
    </xf>
    <xf numFmtId="0" fontId="116" fillId="0" borderId="75" xfId="21" applyFont="1" applyBorder="1" applyAlignment="1">
      <alignment horizontal="left"/>
      <protection/>
    </xf>
    <xf numFmtId="0" fontId="116" fillId="0" borderId="57" xfId="21" applyFont="1" applyBorder="1" applyAlignment="1">
      <alignment horizontal="center"/>
      <protection/>
    </xf>
    <xf numFmtId="0" fontId="116" fillId="2" borderId="57" xfId="21" applyFont="1" applyFill="1" applyBorder="1" applyAlignment="1">
      <alignment horizontal="center"/>
      <protection/>
    </xf>
    <xf numFmtId="0" fontId="116" fillId="2" borderId="57" xfId="21" applyFont="1" applyFill="1" applyBorder="1" applyAlignment="1">
      <alignment horizontal="center" wrapText="1"/>
      <protection/>
    </xf>
    <xf numFmtId="0" fontId="116" fillId="2" borderId="76" xfId="21" applyFont="1" applyFill="1" applyBorder="1" applyAlignment="1">
      <alignment horizontal="center"/>
      <protection/>
    </xf>
    <xf numFmtId="0" fontId="116" fillId="0" borderId="57" xfId="21" applyFont="1" applyFill="1" applyBorder="1" applyAlignment="1">
      <alignment horizontal="center"/>
      <protection/>
    </xf>
    <xf numFmtId="0" fontId="116" fillId="0" borderId="77" xfId="21" applyFont="1" applyFill="1" applyBorder="1" applyAlignment="1">
      <alignment horizontal="center" vertical="center" wrapText="1"/>
      <protection/>
    </xf>
    <xf numFmtId="0" fontId="116" fillId="0" borderId="75" xfId="21" applyFont="1" applyBorder="1" applyAlignment="1">
      <alignment horizontal="center"/>
      <protection/>
    </xf>
    <xf numFmtId="0" fontId="116" fillId="2" borderId="78" xfId="21" applyFont="1" applyFill="1" applyBorder="1" applyAlignment="1">
      <alignment horizontal="center"/>
      <protection/>
    </xf>
    <xf numFmtId="0" fontId="8" fillId="0" borderId="57" xfId="21" applyBorder="1" applyAlignment="1">
      <alignment horizontal="center"/>
      <protection/>
    </xf>
    <xf numFmtId="0" fontId="8" fillId="0" borderId="57" xfId="21" applyBorder="1" applyAlignment="1">
      <alignment/>
      <protection/>
    </xf>
    <xf numFmtId="0" fontId="116" fillId="0" borderId="79" xfId="21" applyFont="1" applyFill="1" applyBorder="1" applyAlignment="1">
      <alignment horizontal="center"/>
      <protection/>
    </xf>
    <xf numFmtId="0" fontId="116" fillId="19" borderId="75" xfId="21" applyFont="1" applyFill="1" applyBorder="1" applyAlignment="1" applyProtection="1">
      <alignment horizontal="center"/>
      <protection locked="0"/>
    </xf>
    <xf numFmtId="0" fontId="116" fillId="19" borderId="57" xfId="21" applyFont="1" applyFill="1" applyBorder="1" applyAlignment="1" applyProtection="1">
      <alignment horizontal="center"/>
      <protection locked="0"/>
    </xf>
    <xf numFmtId="0" fontId="8" fillId="0" borderId="57" xfId="21" applyFont="1" applyFill="1" applyBorder="1" applyAlignment="1">
      <alignment horizontal="center"/>
      <protection/>
    </xf>
    <xf numFmtId="0" fontId="8" fillId="2" borderId="80" xfId="21" applyFont="1" applyFill="1" applyBorder="1" applyAlignment="1">
      <alignment horizontal="center"/>
      <protection/>
    </xf>
    <xf numFmtId="0" fontId="8" fillId="2" borderId="76" xfId="21" applyFill="1" applyBorder="1" applyAlignment="1">
      <alignment horizontal="center"/>
      <protection/>
    </xf>
    <xf numFmtId="0" fontId="8" fillId="2" borderId="81" xfId="21" applyFont="1" applyFill="1" applyBorder="1">
      <alignment/>
      <protection/>
    </xf>
    <xf numFmtId="0" fontId="121" fillId="2" borderId="82" xfId="21" applyFont="1" applyFill="1" applyBorder="1" applyAlignment="1">
      <alignment horizontal="center"/>
      <protection/>
    </xf>
    <xf numFmtId="0" fontId="8" fillId="2" borderId="83" xfId="21" applyFill="1" applyBorder="1" applyAlignment="1">
      <alignment horizontal="center"/>
      <protection/>
    </xf>
    <xf numFmtId="0" fontId="8" fillId="2" borderId="84" xfId="21" applyFont="1" applyFill="1" applyBorder="1">
      <alignment/>
      <protection/>
    </xf>
    <xf numFmtId="0" fontId="8" fillId="2" borderId="78" xfId="21" applyFill="1" applyBorder="1" applyAlignment="1">
      <alignment horizontal="center"/>
      <protection/>
    </xf>
    <xf numFmtId="0" fontId="8" fillId="0" borderId="77" xfId="21" applyBorder="1">
      <alignment/>
      <protection/>
    </xf>
    <xf numFmtId="0" fontId="8" fillId="0" borderId="85" xfId="21" applyBorder="1">
      <alignment/>
      <protection/>
    </xf>
    <xf numFmtId="0" fontId="8" fillId="0" borderId="24" xfId="21" applyBorder="1">
      <alignment/>
      <protection/>
    </xf>
    <xf numFmtId="0" fontId="8" fillId="0" borderId="0" xfId="21" applyBorder="1" applyAlignment="1">
      <alignment horizontal="center"/>
      <protection/>
    </xf>
    <xf numFmtId="0" fontId="8" fillId="0" borderId="86" xfId="21" applyBorder="1">
      <alignment/>
      <protection/>
    </xf>
    <xf numFmtId="0" fontId="8" fillId="0" borderId="0" xfId="21" applyAlignment="1">
      <alignment vertical="center"/>
      <protection/>
    </xf>
    <xf numFmtId="0" fontId="8" fillId="0" borderId="87" xfId="21" applyBorder="1" applyAlignment="1">
      <alignment vertical="center"/>
      <protection/>
    </xf>
    <xf numFmtId="0" fontId="8" fillId="0" borderId="0" xfId="21" applyBorder="1" applyAlignment="1">
      <alignment vertical="center"/>
      <protection/>
    </xf>
    <xf numFmtId="0" fontId="121" fillId="2" borderId="88" xfId="21" applyFont="1" applyFill="1" applyBorder="1" applyAlignment="1">
      <alignment vertical="center"/>
      <protection/>
    </xf>
    <xf numFmtId="0" fontId="8" fillId="0" borderId="24" xfId="21" applyBorder="1" applyAlignment="1">
      <alignment vertical="center"/>
      <protection/>
    </xf>
    <xf numFmtId="0" fontId="8" fillId="0" borderId="0" xfId="21" applyBorder="1" applyAlignment="1">
      <alignment horizontal="center" vertical="center"/>
      <protection/>
    </xf>
    <xf numFmtId="0" fontId="116" fillId="4" borderId="70" xfId="21" applyFont="1" applyFill="1" applyBorder="1" applyAlignment="1">
      <alignment vertical="center"/>
      <protection/>
    </xf>
    <xf numFmtId="0" fontId="116" fillId="0" borderId="71" xfId="21" applyFont="1" applyBorder="1" applyAlignment="1">
      <alignment vertical="center"/>
      <protection/>
    </xf>
    <xf numFmtId="0" fontId="116" fillId="0" borderId="89" xfId="21" applyFont="1" applyBorder="1" applyAlignment="1">
      <alignment vertical="center"/>
      <protection/>
    </xf>
    <xf numFmtId="0" fontId="8" fillId="0" borderId="25" xfId="21" applyBorder="1" applyAlignment="1">
      <alignment vertical="center"/>
      <protection/>
    </xf>
    <xf numFmtId="0" fontId="116" fillId="4" borderId="90" xfId="21" applyFont="1" applyFill="1" applyBorder="1" applyAlignment="1">
      <alignment vertical="center"/>
      <protection/>
    </xf>
    <xf numFmtId="0" fontId="116" fillId="0" borderId="91" xfId="21" applyFont="1" applyBorder="1" applyAlignment="1">
      <alignment vertical="center"/>
      <protection/>
    </xf>
    <xf numFmtId="0" fontId="116" fillId="0" borderId="92" xfId="21" applyFont="1" applyBorder="1" applyAlignment="1">
      <alignment vertical="center"/>
      <protection/>
    </xf>
    <xf numFmtId="0" fontId="8" fillId="0" borderId="87" xfId="21" applyBorder="1">
      <alignment/>
      <protection/>
    </xf>
    <xf numFmtId="0" fontId="8" fillId="0" borderId="0" xfId="21" applyFont="1" applyBorder="1">
      <alignment/>
      <protection/>
    </xf>
    <xf numFmtId="0" fontId="116" fillId="0" borderId="0" xfId="21" applyFont="1" applyBorder="1">
      <alignment/>
      <protection/>
    </xf>
    <xf numFmtId="0" fontId="8" fillId="0" borderId="25" xfId="21" applyBorder="1">
      <alignment/>
      <protection/>
    </xf>
    <xf numFmtId="0" fontId="120" fillId="18" borderId="18" xfId="21" applyFont="1" applyFill="1" applyBorder="1">
      <alignment/>
      <protection/>
    </xf>
    <xf numFmtId="169" fontId="116" fillId="18" borderId="26" xfId="21" applyNumberFormat="1" applyFont="1" applyFill="1" applyBorder="1">
      <alignment/>
      <protection/>
    </xf>
    <xf numFmtId="0" fontId="8" fillId="0" borderId="56" xfId="21" applyBorder="1">
      <alignment/>
      <protection/>
    </xf>
    <xf numFmtId="0" fontId="120" fillId="18" borderId="93" xfId="21" applyFont="1" applyFill="1" applyBorder="1">
      <alignment/>
      <protection/>
    </xf>
    <xf numFmtId="169" fontId="116" fillId="18" borderId="94" xfId="21" applyNumberFormat="1" applyFont="1" applyFill="1" applyBorder="1">
      <alignment/>
      <protection/>
    </xf>
    <xf numFmtId="0" fontId="8" fillId="0" borderId="28" xfId="21" applyBorder="1">
      <alignment/>
      <protection/>
    </xf>
    <xf numFmtId="0" fontId="8" fillId="0" borderId="29" xfId="21" applyBorder="1">
      <alignment/>
      <protection/>
    </xf>
    <xf numFmtId="0" fontId="8" fillId="0" borderId="29" xfId="21" applyBorder="1" applyAlignment="1">
      <alignment horizontal="center"/>
      <protection/>
    </xf>
    <xf numFmtId="0" fontId="8" fillId="0" borderId="30" xfId="21" applyBorder="1">
      <alignment/>
      <protection/>
    </xf>
    <xf numFmtId="0" fontId="23" fillId="0" borderId="0" xfId="23" applyFont="1" applyFill="1">
      <alignment/>
      <protection/>
    </xf>
    <xf numFmtId="0" fontId="23" fillId="0" borderId="0" xfId="23" applyFont="1">
      <alignment/>
      <protection/>
    </xf>
    <xf numFmtId="0" fontId="101" fillId="0" borderId="0" xfId="23" applyFont="1" applyAlignment="1">
      <alignment horizontal="right" vertical="top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 applyFill="1" applyAlignment="1">
      <alignment horizontal="centerContinuous"/>
      <protection/>
    </xf>
    <xf numFmtId="0" fontId="4" fillId="0" borderId="0" xfId="23" applyFont="1" applyFill="1">
      <alignment/>
      <protection/>
    </xf>
    <xf numFmtId="0" fontId="4" fillId="0" borderId="0" xfId="23" applyFont="1">
      <alignment/>
      <protection/>
    </xf>
    <xf numFmtId="0" fontId="25" fillId="0" borderId="0" xfId="23" applyFont="1" applyFill="1" applyBorder="1" applyAlignment="1" applyProtection="1">
      <alignment horizontal="centerContinuous"/>
      <protection/>
    </xf>
    <xf numFmtId="0" fontId="26" fillId="0" borderId="0" xfId="23" applyFont="1" applyAlignment="1">
      <alignment horizontal="centerContinuous"/>
      <protection/>
    </xf>
    <xf numFmtId="0" fontId="26" fillId="0" borderId="0" xfId="23" applyFont="1">
      <alignment/>
      <protection/>
    </xf>
    <xf numFmtId="0" fontId="26" fillId="0" borderId="0" xfId="23" applyFont="1" applyFill="1">
      <alignment/>
      <protection/>
    </xf>
    <xf numFmtId="0" fontId="4" fillId="0" borderId="21" xfId="23" applyFont="1" applyBorder="1">
      <alignment/>
      <protection/>
    </xf>
    <xf numFmtId="0" fontId="4" fillId="0" borderId="22" xfId="23" applyFont="1" applyBorder="1">
      <alignment/>
      <protection/>
    </xf>
    <xf numFmtId="0" fontId="4" fillId="0" borderId="22" xfId="23" applyFont="1" applyBorder="1" applyAlignment="1" applyProtection="1">
      <alignment horizontal="left"/>
      <protection/>
    </xf>
    <xf numFmtId="0" fontId="4" fillId="0" borderId="22" xfId="23" applyFont="1" applyFill="1" applyBorder="1">
      <alignment/>
      <protection/>
    </xf>
    <xf numFmtId="0" fontId="4" fillId="0" borderId="23" xfId="23" applyFont="1" applyFill="1" applyBorder="1">
      <alignment/>
      <protection/>
    </xf>
    <xf numFmtId="0" fontId="10" fillId="0" borderId="24" xfId="23" applyFont="1" applyBorder="1">
      <alignment/>
      <protection/>
    </xf>
    <xf numFmtId="0" fontId="10" fillId="0" borderId="25" xfId="23" applyFont="1" applyFill="1" applyBorder="1">
      <alignment/>
      <protection/>
    </xf>
    <xf numFmtId="0" fontId="4" fillId="0" borderId="24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0" xfId="23" applyFont="1" applyFill="1" applyBorder="1">
      <alignment/>
      <protection/>
    </xf>
    <xf numFmtId="0" fontId="4" fillId="0" borderId="25" xfId="23" applyFont="1" applyFill="1" applyBorder="1">
      <alignment/>
      <protection/>
    </xf>
    <xf numFmtId="0" fontId="14" fillId="0" borderId="0" xfId="23" applyFont="1">
      <alignment/>
      <protection/>
    </xf>
    <xf numFmtId="0" fontId="11" fillId="0" borderId="24" xfId="23" applyFont="1" applyBorder="1" applyAlignment="1">
      <alignment horizontal="centerContinuous"/>
      <protection/>
    </xf>
    <xf numFmtId="0" fontId="11" fillId="0" borderId="0" xfId="23" applyFont="1" applyBorder="1" applyAlignment="1">
      <alignment horizontal="centerContinuous"/>
      <protection/>
    </xf>
    <xf numFmtId="0" fontId="11" fillId="0" borderId="0" xfId="23" applyFont="1" applyFill="1" applyBorder="1" applyAlignment="1">
      <alignment horizontal="centerContinuous"/>
      <protection/>
    </xf>
    <xf numFmtId="0" fontId="11" fillId="0" borderId="0" xfId="23" applyFont="1" applyFill="1" applyAlignment="1">
      <alignment horizontal="centerContinuous"/>
      <protection/>
    </xf>
    <xf numFmtId="0" fontId="11" fillId="0" borderId="25" xfId="23" applyFont="1" applyFill="1" applyBorder="1" applyAlignment="1">
      <alignment horizontal="centerContinuous"/>
      <protection/>
    </xf>
    <xf numFmtId="0" fontId="14" fillId="0" borderId="0" xfId="23" applyFont="1" applyFill="1">
      <alignment/>
      <protection/>
    </xf>
    <xf numFmtId="0" fontId="4" fillId="0" borderId="0" xfId="23" applyFont="1" applyBorder="1" applyAlignment="1">
      <alignment horizontal="center"/>
      <protection/>
    </xf>
    <xf numFmtId="0" fontId="124" fillId="0" borderId="0" xfId="23" applyFont="1" applyFill="1" applyBorder="1">
      <alignment/>
      <protection/>
    </xf>
    <xf numFmtId="0" fontId="125" fillId="0" borderId="0" xfId="23" applyFont="1" applyFill="1">
      <alignment/>
      <protection/>
    </xf>
    <xf numFmtId="0" fontId="125" fillId="0" borderId="0" xfId="23" applyFont="1" applyFill="1" applyBorder="1">
      <alignment/>
      <protection/>
    </xf>
    <xf numFmtId="0" fontId="0" fillId="0" borderId="26" xfId="23" applyFont="1" applyBorder="1" applyAlignment="1" applyProtection="1">
      <alignment horizontal="center"/>
      <protection/>
    </xf>
    <xf numFmtId="169" fontId="16" fillId="0" borderId="26" xfId="21" applyNumberFormat="1" applyFont="1" applyBorder="1" applyAlignment="1" applyProtection="1">
      <alignment horizontal="centerContinuous"/>
      <protection locked="0"/>
    </xf>
    <xf numFmtId="0" fontId="0" fillId="0" borderId="27" xfId="23" applyBorder="1" applyAlignment="1">
      <alignment horizontal="centerContinuous"/>
      <protection/>
    </xf>
    <xf numFmtId="169" fontId="16" fillId="0" borderId="0" xfId="21" applyNumberFormat="1" applyFont="1" applyBorder="1" applyAlignment="1">
      <alignment horizontal="center"/>
      <protection/>
    </xf>
    <xf numFmtId="0" fontId="31" fillId="20" borderId="21" xfId="23" applyFont="1" applyFill="1" applyBorder="1" applyAlignment="1">
      <alignment horizontal="left"/>
      <protection/>
    </xf>
    <xf numFmtId="2" fontId="4" fillId="20" borderId="22" xfId="23" applyNumberFormat="1" applyFont="1" applyFill="1" applyBorder="1" applyAlignment="1">
      <alignment horizontal="left"/>
      <protection/>
    </xf>
    <xf numFmtId="0" fontId="4" fillId="20" borderId="23" xfId="23" applyFont="1" applyFill="1" applyBorder="1" applyAlignment="1">
      <alignment horizontal="left"/>
      <protection/>
    </xf>
    <xf numFmtId="0" fontId="31" fillId="21" borderId="95" xfId="23" applyFont="1" applyFill="1" applyBorder="1">
      <alignment/>
      <protection/>
    </xf>
    <xf numFmtId="0" fontId="31" fillId="21" borderId="96" xfId="23" applyFont="1" applyFill="1" applyBorder="1">
      <alignment/>
      <protection/>
    </xf>
    <xf numFmtId="0" fontId="31" fillId="21" borderId="89" xfId="23" applyFont="1" applyFill="1" applyBorder="1">
      <alignment/>
      <protection/>
    </xf>
    <xf numFmtId="169" fontId="0" fillId="0" borderId="0" xfId="23" applyNumberFormat="1" applyFont="1" applyBorder="1" applyAlignment="1">
      <alignment horizontal="centerContinuous"/>
      <protection/>
    </xf>
    <xf numFmtId="0" fontId="4" fillId="20" borderId="24" xfId="23" applyFont="1" applyFill="1" applyBorder="1" applyAlignment="1">
      <alignment horizontal="left"/>
      <protection/>
    </xf>
    <xf numFmtId="0" fontId="4" fillId="20" borderId="0" xfId="23" applyFont="1" applyFill="1" applyBorder="1" applyAlignment="1">
      <alignment horizontal="left"/>
      <protection/>
    </xf>
    <xf numFmtId="22" fontId="4" fillId="20" borderId="25" xfId="23" applyNumberFormat="1" applyFont="1" applyFill="1" applyBorder="1" applyAlignment="1">
      <alignment horizontal="left"/>
      <protection/>
    </xf>
    <xf numFmtId="22" fontId="4" fillId="0" borderId="0" xfId="23" applyNumberFormat="1" applyFont="1" applyBorder="1">
      <alignment/>
      <protection/>
    </xf>
    <xf numFmtId="0" fontId="31" fillId="21" borderId="97" xfId="23" applyFont="1" applyFill="1" applyBorder="1">
      <alignment/>
      <protection/>
    </xf>
    <xf numFmtId="0" fontId="31" fillId="21" borderId="0" xfId="23" applyFont="1" applyFill="1" applyBorder="1">
      <alignment/>
      <protection/>
    </xf>
    <xf numFmtId="0" fontId="31" fillId="21" borderId="98" xfId="23" applyFont="1" applyFill="1" applyBorder="1">
      <alignment/>
      <protection/>
    </xf>
    <xf numFmtId="0" fontId="31" fillId="0" borderId="0" xfId="23" applyFont="1" applyFill="1" applyBorder="1">
      <alignment/>
      <protection/>
    </xf>
    <xf numFmtId="0" fontId="31" fillId="0" borderId="25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0" fontId="4" fillId="0" borderId="17" xfId="23" applyFont="1" applyBorder="1">
      <alignment/>
      <protection/>
    </xf>
    <xf numFmtId="0" fontId="4" fillId="20" borderId="28" xfId="23" applyFont="1" applyFill="1" applyBorder="1" applyAlignment="1">
      <alignment horizontal="left"/>
      <protection/>
    </xf>
    <xf numFmtId="0" fontId="31" fillId="20" borderId="29" xfId="23" applyFont="1" applyFill="1" applyBorder="1" applyAlignment="1">
      <alignment horizontal="left"/>
      <protection/>
    </xf>
    <xf numFmtId="0" fontId="31" fillId="20" borderId="30" xfId="23" applyFont="1" applyFill="1" applyBorder="1" applyAlignment="1">
      <alignment horizontal="left"/>
      <protection/>
    </xf>
    <xf numFmtId="0" fontId="31" fillId="21" borderId="99" xfId="23" applyFont="1" applyFill="1" applyBorder="1">
      <alignment/>
      <protection/>
    </xf>
    <xf numFmtId="0" fontId="31" fillId="21" borderId="100" xfId="23" applyFont="1" applyFill="1" applyBorder="1">
      <alignment/>
      <protection/>
    </xf>
    <xf numFmtId="0" fontId="31" fillId="21" borderId="101" xfId="23" applyFont="1" applyFill="1" applyBorder="1">
      <alignment/>
      <protection/>
    </xf>
    <xf numFmtId="0" fontId="33" fillId="0" borderId="18" xfId="23" applyFont="1" applyBorder="1" applyAlignment="1" applyProtection="1">
      <alignment horizontal="center" vertical="center" textRotation="90" wrapText="1"/>
      <protection/>
    </xf>
    <xf numFmtId="0" fontId="33" fillId="0" borderId="18" xfId="23" applyFont="1" applyBorder="1" applyAlignment="1">
      <alignment horizontal="center" vertical="center"/>
      <protection/>
    </xf>
    <xf numFmtId="0" fontId="33" fillId="0" borderId="18" xfId="23" applyFont="1" applyBorder="1" applyAlignment="1" applyProtection="1">
      <alignment horizontal="center" vertical="center"/>
      <protection/>
    </xf>
    <xf numFmtId="164" fontId="33" fillId="0" borderId="18" xfId="23" applyNumberFormat="1" applyFont="1" applyBorder="1" applyAlignment="1" applyProtection="1">
      <alignment horizontal="center" vertical="center" wrapText="1"/>
      <protection/>
    </xf>
    <xf numFmtId="0" fontId="33" fillId="0" borderId="18" xfId="23" applyFont="1" applyBorder="1" applyAlignment="1" applyProtection="1">
      <alignment horizontal="center" vertical="center" wrapText="1"/>
      <protection/>
    </xf>
    <xf numFmtId="166" fontId="33" fillId="0" borderId="18" xfId="23" applyNumberFormat="1" applyFont="1" applyBorder="1" applyAlignment="1" applyProtection="1">
      <alignment horizontal="center" vertical="center"/>
      <protection/>
    </xf>
    <xf numFmtId="166" fontId="79" fillId="9" borderId="18" xfId="23" applyNumberFormat="1" applyFont="1" applyFill="1" applyBorder="1" applyAlignment="1" applyProtection="1">
      <alignment horizontal="center" vertical="center"/>
      <protection/>
    </xf>
    <xf numFmtId="0" fontId="81" fillId="10" borderId="18" xfId="23" applyFont="1" applyFill="1" applyBorder="1" applyAlignment="1" applyProtection="1">
      <alignment horizontal="center" vertical="center"/>
      <protection/>
    </xf>
    <xf numFmtId="0" fontId="33" fillId="0" borderId="26" xfId="23" applyFont="1" applyBorder="1" applyAlignment="1" applyProtection="1">
      <alignment horizontal="center" vertical="center"/>
      <protection/>
    </xf>
    <xf numFmtId="0" fontId="33" fillId="0" borderId="26" xfId="23" applyFont="1" applyFill="1" applyBorder="1" applyAlignment="1" applyProtection="1">
      <alignment horizontal="center" vertical="center" wrapText="1"/>
      <protection/>
    </xf>
    <xf numFmtId="0" fontId="33" fillId="0" borderId="18" xfId="23" applyFont="1" applyFill="1" applyBorder="1" applyAlignment="1" applyProtection="1">
      <alignment horizontal="center" vertical="center" wrapText="1"/>
      <protection/>
    </xf>
    <xf numFmtId="0" fontId="33" fillId="0" borderId="26" xfId="23" applyFont="1" applyBorder="1" applyAlignment="1" applyProtection="1">
      <alignment horizontal="center" vertical="center" wrapText="1"/>
      <protection/>
    </xf>
    <xf numFmtId="0" fontId="59" fillId="3" borderId="15" xfId="23" applyFont="1" applyFill="1" applyBorder="1" applyAlignment="1" applyProtection="1">
      <alignment horizontal="centerContinuous" vertical="center" wrapText="1"/>
      <protection/>
    </xf>
    <xf numFmtId="0" fontId="60" fillId="3" borderId="17" xfId="23" applyFont="1" applyFill="1" applyBorder="1" applyAlignment="1">
      <alignment horizontal="centerContinuous"/>
      <protection/>
    </xf>
    <xf numFmtId="0" fontId="59" fillId="3" borderId="13" xfId="23" applyFont="1" applyFill="1" applyBorder="1" applyAlignment="1">
      <alignment horizontal="centerContinuous" vertical="center"/>
      <protection/>
    </xf>
    <xf numFmtId="0" fontId="33" fillId="22" borderId="18" xfId="23" applyFont="1" applyFill="1" applyBorder="1" applyAlignment="1">
      <alignment horizontal="center" vertical="center" wrapText="1"/>
      <protection/>
    </xf>
    <xf numFmtId="0" fontId="33" fillId="0" borderId="18" xfId="23" applyFont="1" applyBorder="1" applyAlignment="1">
      <alignment horizontal="center" vertical="center" wrapText="1"/>
      <protection/>
    </xf>
    <xf numFmtId="0" fontId="33" fillId="0" borderId="18" xfId="23" applyFont="1" applyFill="1" applyBorder="1" applyAlignment="1">
      <alignment horizontal="center" vertical="center" wrapText="1"/>
      <protection/>
    </xf>
    <xf numFmtId="0" fontId="33" fillId="20" borderId="18" xfId="23" applyFont="1" applyFill="1" applyBorder="1" applyAlignment="1">
      <alignment horizontal="center" vertical="center" wrapText="1"/>
      <protection/>
    </xf>
    <xf numFmtId="0" fontId="4" fillId="0" borderId="25" xfId="23" applyFont="1" applyFill="1" applyBorder="1" applyAlignment="1">
      <alignment horizontal="center"/>
      <protection/>
    </xf>
    <xf numFmtId="0" fontId="4" fillId="2" borderId="13" xfId="23" applyFont="1" applyFill="1" applyBorder="1">
      <alignment/>
      <protection/>
    </xf>
    <xf numFmtId="0" fontId="4" fillId="0" borderId="41" xfId="23" applyFont="1" applyBorder="1">
      <alignment/>
      <protection/>
    </xf>
    <xf numFmtId="0" fontId="4" fillId="0" borderId="66" xfId="23" applyFont="1" applyBorder="1">
      <alignment/>
      <protection/>
    </xf>
    <xf numFmtId="0" fontId="4" fillId="19" borderId="41" xfId="23" applyFont="1" applyFill="1" applyBorder="1" applyProtection="1">
      <alignment/>
      <protection locked="0"/>
    </xf>
    <xf numFmtId="0" fontId="4" fillId="19" borderId="41" xfId="23" applyFont="1" applyFill="1" applyBorder="1" applyAlignment="1" applyProtection="1">
      <alignment horizontal="center"/>
      <protection locked="0"/>
    </xf>
    <xf numFmtId="0" fontId="80" fillId="9" borderId="41" xfId="23" applyFont="1" applyFill="1" applyBorder="1" applyProtection="1">
      <alignment/>
      <protection locked="0"/>
    </xf>
    <xf numFmtId="0" fontId="82" fillId="10" borderId="41" xfId="23" applyFont="1" applyFill="1" applyBorder="1" applyProtection="1">
      <alignment/>
      <protection locked="0"/>
    </xf>
    <xf numFmtId="22" fontId="4" fillId="19" borderId="66" xfId="23" applyNumberFormat="1" applyFont="1" applyFill="1" applyBorder="1" applyAlignment="1" applyProtection="1">
      <alignment horizontal="center"/>
      <protection locked="0"/>
    </xf>
    <xf numFmtId="0" fontId="4" fillId="19" borderId="102" xfId="23" applyFont="1" applyFill="1" applyBorder="1" applyProtection="1">
      <alignment/>
      <protection locked="0"/>
    </xf>
    <xf numFmtId="0" fontId="4" fillId="0" borderId="41" xfId="23" applyFont="1" applyFill="1" applyBorder="1">
      <alignment/>
      <protection/>
    </xf>
    <xf numFmtId="0" fontId="4" fillId="19" borderId="66" xfId="23" applyFont="1" applyFill="1" applyBorder="1" applyProtection="1">
      <alignment/>
      <protection locked="0"/>
    </xf>
    <xf numFmtId="166" fontId="5" fillId="3" borderId="41" xfId="23" applyNumberFormat="1" applyFont="1" applyFill="1" applyBorder="1" applyAlignment="1" applyProtection="1" quotePrefix="1">
      <alignment horizontal="center"/>
      <protection/>
    </xf>
    <xf numFmtId="4" fontId="5" fillId="3" borderId="41" xfId="23" applyNumberFormat="1" applyFont="1" applyFill="1" applyBorder="1" applyAlignment="1" applyProtection="1">
      <alignment horizontal="center"/>
      <protection/>
    </xf>
    <xf numFmtId="0" fontId="16" fillId="22" borderId="66" xfId="23" applyFont="1" applyFill="1" applyBorder="1">
      <alignment/>
      <protection/>
    </xf>
    <xf numFmtId="0" fontId="16" fillId="19" borderId="66" xfId="23" applyFont="1" applyFill="1" applyBorder="1" applyProtection="1">
      <alignment/>
      <protection locked="0"/>
    </xf>
    <xf numFmtId="0" fontId="16" fillId="18" borderId="66" xfId="23" applyFont="1" applyFill="1" applyBorder="1">
      <alignment/>
      <protection/>
    </xf>
    <xf numFmtId="0" fontId="16" fillId="0" borderId="103" xfId="23" applyFont="1" applyFill="1" applyBorder="1">
      <alignment/>
      <protection/>
    </xf>
    <xf numFmtId="0" fontId="16" fillId="20" borderId="66" xfId="23" applyFont="1" applyFill="1" applyBorder="1">
      <alignment/>
      <protection/>
    </xf>
    <xf numFmtId="0" fontId="16" fillId="0" borderId="66" xfId="23" applyFont="1" applyFill="1" applyBorder="1">
      <alignment/>
      <protection/>
    </xf>
    <xf numFmtId="0" fontId="16" fillId="0" borderId="66" xfId="23" applyFont="1" applyBorder="1">
      <alignment/>
      <protection/>
    </xf>
    <xf numFmtId="0" fontId="4" fillId="2" borderId="49" xfId="23" applyFont="1" applyFill="1" applyBorder="1">
      <alignment/>
      <protection/>
    </xf>
    <xf numFmtId="0" fontId="4" fillId="0" borderId="35" xfId="23" applyFont="1" applyBorder="1">
      <alignment/>
      <protection/>
    </xf>
    <xf numFmtId="0" fontId="4" fillId="0" borderId="36" xfId="23" applyFont="1" applyBorder="1">
      <alignment/>
      <protection/>
    </xf>
    <xf numFmtId="0" fontId="4" fillId="19" borderId="35" xfId="23" applyFont="1" applyFill="1" applyBorder="1" applyProtection="1">
      <alignment/>
      <protection locked="0"/>
    </xf>
    <xf numFmtId="0" fontId="4" fillId="19" borderId="35" xfId="23" applyFont="1" applyFill="1" applyBorder="1" applyAlignment="1" applyProtection="1">
      <alignment horizontal="center"/>
      <protection locked="0"/>
    </xf>
    <xf numFmtId="0" fontId="80" fillId="9" borderId="35" xfId="23" applyFont="1" applyFill="1" applyBorder="1" applyProtection="1">
      <alignment/>
      <protection locked="0"/>
    </xf>
    <xf numFmtId="0" fontId="82" fillId="10" borderId="35" xfId="23" applyFont="1" applyFill="1" applyBorder="1" applyProtection="1">
      <alignment/>
      <protection locked="0"/>
    </xf>
    <xf numFmtId="22" fontId="4" fillId="19" borderId="36" xfId="23" applyNumberFormat="1" applyFont="1" applyFill="1" applyBorder="1" applyAlignment="1" applyProtection="1">
      <alignment horizontal="center"/>
      <protection locked="0"/>
    </xf>
    <xf numFmtId="0" fontId="4" fillId="19" borderId="0" xfId="23" applyFont="1" applyFill="1" applyBorder="1" applyProtection="1">
      <alignment/>
      <protection locked="0"/>
    </xf>
    <xf numFmtId="0" fontId="4" fillId="0" borderId="35" xfId="23" applyFont="1" applyFill="1" applyBorder="1">
      <alignment/>
      <protection/>
    </xf>
    <xf numFmtId="0" fontId="4" fillId="19" borderId="36" xfId="23" applyFont="1" applyFill="1" applyBorder="1" applyProtection="1">
      <alignment/>
      <protection locked="0"/>
    </xf>
    <xf numFmtId="166" fontId="5" fillId="3" borderId="104" xfId="23" applyNumberFormat="1" applyFont="1" applyFill="1" applyBorder="1" applyAlignment="1" applyProtection="1" quotePrefix="1">
      <alignment horizontal="center"/>
      <protection/>
    </xf>
    <xf numFmtId="4" fontId="5" fillId="3" borderId="104" xfId="23" applyNumberFormat="1" applyFont="1" applyFill="1" applyBorder="1" applyAlignment="1" applyProtection="1">
      <alignment horizontal="center"/>
      <protection/>
    </xf>
    <xf numFmtId="0" fontId="16" fillId="22" borderId="36" xfId="23" applyFont="1" applyFill="1" applyBorder="1">
      <alignment/>
      <protection/>
    </xf>
    <xf numFmtId="0" fontId="16" fillId="19" borderId="36" xfId="23" applyFont="1" applyFill="1" applyBorder="1" applyProtection="1">
      <alignment/>
      <protection locked="0"/>
    </xf>
    <xf numFmtId="0" fontId="16" fillId="18" borderId="36" xfId="23" applyFont="1" applyFill="1" applyBorder="1">
      <alignment/>
      <protection/>
    </xf>
    <xf numFmtId="0" fontId="16" fillId="0" borderId="105" xfId="23" applyFont="1" applyFill="1" applyBorder="1">
      <alignment/>
      <protection/>
    </xf>
    <xf numFmtId="0" fontId="16" fillId="20" borderId="36" xfId="23" applyFont="1" applyFill="1" applyBorder="1">
      <alignment/>
      <protection/>
    </xf>
    <xf numFmtId="0" fontId="16" fillId="0" borderId="36" xfId="23" applyFont="1" applyFill="1" applyBorder="1">
      <alignment/>
      <protection/>
    </xf>
    <xf numFmtId="0" fontId="16" fillId="0" borderId="36" xfId="23" applyFont="1" applyBorder="1">
      <alignment/>
      <protection/>
    </xf>
    <xf numFmtId="0" fontId="4" fillId="0" borderId="24" xfId="23" applyFont="1" applyFill="1" applyBorder="1">
      <alignment/>
      <protection/>
    </xf>
    <xf numFmtId="0" fontId="4" fillId="0" borderId="106" xfId="23" applyFont="1" applyFill="1" applyBorder="1" applyAlignment="1">
      <alignment horizontal="center"/>
      <protection/>
    </xf>
    <xf numFmtId="0" fontId="4" fillId="0" borderId="107" xfId="23" applyFont="1" applyFill="1" applyBorder="1" applyAlignment="1">
      <alignment horizontal="center"/>
      <protection/>
    </xf>
    <xf numFmtId="0" fontId="4" fillId="19" borderId="106" xfId="21" applyFont="1" applyFill="1" applyBorder="1" applyAlignment="1" applyProtection="1">
      <alignment horizontal="center"/>
      <protection locked="0"/>
    </xf>
    <xf numFmtId="0" fontId="80" fillId="9" borderId="106" xfId="23" applyFont="1" applyFill="1" applyBorder="1" applyProtection="1">
      <alignment/>
      <protection locked="0"/>
    </xf>
    <xf numFmtId="0" fontId="82" fillId="10" borderId="106" xfId="23" applyFont="1" applyFill="1" applyBorder="1" applyProtection="1">
      <alignment/>
      <protection locked="0"/>
    </xf>
    <xf numFmtId="22" fontId="4" fillId="19" borderId="107" xfId="21" applyNumberFormat="1" applyFont="1" applyFill="1" applyBorder="1" applyAlignment="1" applyProtection="1">
      <alignment horizontal="center"/>
      <protection locked="0"/>
    </xf>
    <xf numFmtId="22" fontId="4" fillId="19" borderId="108" xfId="21" applyNumberFormat="1" applyFont="1" applyFill="1" applyBorder="1" applyAlignment="1" applyProtection="1">
      <alignment horizontal="center"/>
      <protection locked="0"/>
    </xf>
    <xf numFmtId="4" fontId="4" fillId="0" borderId="106" xfId="23" applyNumberFormat="1" applyFont="1" applyFill="1" applyBorder="1" applyAlignment="1" applyProtection="1" quotePrefix="1">
      <alignment horizontal="center"/>
      <protection/>
    </xf>
    <xf numFmtId="164" fontId="4" fillId="0" borderId="106" xfId="23" applyNumberFormat="1" applyFont="1" applyFill="1" applyBorder="1" applyAlignment="1" applyProtection="1" quotePrefix="1">
      <alignment horizontal="center"/>
      <protection/>
    </xf>
    <xf numFmtId="166" fontId="4" fillId="19" borderId="107" xfId="23" applyNumberFormat="1" applyFont="1" applyFill="1" applyBorder="1" applyAlignment="1" applyProtection="1">
      <alignment horizontal="center"/>
      <protection locked="0"/>
    </xf>
    <xf numFmtId="168" fontId="4" fillId="0" borderId="106" xfId="23" applyNumberFormat="1" applyFont="1" applyFill="1" applyBorder="1" applyAlignment="1" applyProtection="1" quotePrefix="1">
      <alignment horizontal="center"/>
      <protection/>
    </xf>
    <xf numFmtId="166" fontId="4" fillId="0" borderId="106" xfId="23" applyNumberFormat="1" applyFont="1" applyFill="1" applyBorder="1" applyAlignment="1" applyProtection="1">
      <alignment horizontal="center"/>
      <protection/>
    </xf>
    <xf numFmtId="166" fontId="5" fillId="3" borderId="106" xfId="23" applyNumberFormat="1" applyFont="1" applyFill="1" applyBorder="1" applyAlignment="1" applyProtection="1" quotePrefix="1">
      <alignment horizontal="center"/>
      <protection/>
    </xf>
    <xf numFmtId="4" fontId="5" fillId="3" borderId="106" xfId="23" applyNumberFormat="1" applyFont="1" applyFill="1" applyBorder="1" applyAlignment="1" applyProtection="1">
      <alignment horizontal="center"/>
      <protection/>
    </xf>
    <xf numFmtId="4" fontId="16" fillId="22" borderId="107" xfId="23" applyNumberFormat="1" applyFont="1" applyFill="1" applyBorder="1" applyAlignment="1">
      <alignment horizontal="right"/>
      <protection/>
    </xf>
    <xf numFmtId="4" fontId="5" fillId="0" borderId="106" xfId="23" applyNumberFormat="1" applyFont="1" applyFill="1" applyBorder="1" applyAlignment="1" applyProtection="1">
      <alignment horizontal="center"/>
      <protection/>
    </xf>
    <xf numFmtId="178" fontId="16" fillId="19" borderId="107" xfId="23" applyNumberFormat="1" applyFont="1" applyFill="1" applyBorder="1" applyAlignment="1" applyProtection="1">
      <alignment horizontal="right"/>
      <protection locked="0"/>
    </xf>
    <xf numFmtId="4" fontId="16" fillId="19" borderId="106" xfId="23" applyNumberFormat="1" applyFont="1" applyFill="1" applyBorder="1" applyAlignment="1" applyProtection="1">
      <alignment horizontal="right"/>
      <protection locked="0"/>
    </xf>
    <xf numFmtId="167" fontId="16" fillId="18" borderId="106" xfId="23" applyNumberFormat="1" applyFont="1" applyFill="1" applyBorder="1" applyAlignment="1">
      <alignment horizontal="center"/>
      <protection/>
    </xf>
    <xf numFmtId="4" fontId="16" fillId="18" borderId="107" xfId="23" applyNumberFormat="1" applyFont="1" applyFill="1" applyBorder="1" applyAlignment="1">
      <alignment horizontal="right"/>
      <protection/>
    </xf>
    <xf numFmtId="4" fontId="16" fillId="0" borderId="109" xfId="23" applyNumberFormat="1" applyFont="1" applyFill="1" applyBorder="1" applyAlignment="1">
      <alignment horizontal="right"/>
      <protection/>
    </xf>
    <xf numFmtId="4" fontId="126" fillId="20" borderId="107" xfId="23" applyNumberFormat="1" applyFont="1" applyFill="1" applyBorder="1" applyAlignment="1">
      <alignment horizontal="right"/>
      <protection/>
    </xf>
    <xf numFmtId="179" fontId="126" fillId="20" borderId="107" xfId="23" applyNumberFormat="1" applyFont="1" applyFill="1" applyBorder="1" applyAlignment="1">
      <alignment horizontal="right"/>
      <protection/>
    </xf>
    <xf numFmtId="4" fontId="16" fillId="0" borderId="107" xfId="23" applyNumberFormat="1" applyFont="1" applyFill="1" applyBorder="1" applyAlignment="1">
      <alignment horizontal="right"/>
      <protection/>
    </xf>
    <xf numFmtId="4" fontId="16" fillId="0" borderId="106" xfId="23" applyNumberFormat="1" applyFont="1" applyFill="1" applyBorder="1" applyAlignment="1">
      <alignment horizontal="right"/>
      <protection/>
    </xf>
    <xf numFmtId="2" fontId="4" fillId="0" borderId="25" xfId="23" applyNumberFormat="1" applyFont="1" applyFill="1" applyBorder="1" applyAlignment="1">
      <alignment horizontal="center"/>
      <protection/>
    </xf>
    <xf numFmtId="0" fontId="4" fillId="0" borderId="6" xfId="23" applyFont="1" applyFill="1" applyBorder="1" applyAlignment="1">
      <alignment horizontal="center"/>
      <protection/>
    </xf>
    <xf numFmtId="0" fontId="4" fillId="0" borderId="10" xfId="23" applyFont="1" applyFill="1" applyBorder="1" applyAlignment="1">
      <alignment horizontal="center"/>
      <protection/>
    </xf>
    <xf numFmtId="0" fontId="4" fillId="19" borderId="6" xfId="21" applyFont="1" applyFill="1" applyBorder="1" applyAlignment="1" applyProtection="1">
      <alignment horizontal="center"/>
      <protection locked="0"/>
    </xf>
    <xf numFmtId="164" fontId="4" fillId="19" borderId="6" xfId="21" applyNumberFormat="1" applyFont="1" applyFill="1" applyBorder="1" applyAlignment="1" applyProtection="1">
      <alignment horizontal="center"/>
      <protection locked="0"/>
    </xf>
    <xf numFmtId="165" fontId="4" fillId="19" borderId="6" xfId="21" applyNumberFormat="1" applyFont="1" applyFill="1" applyBorder="1" applyAlignment="1" applyProtection="1">
      <alignment horizontal="center"/>
      <protection locked="0"/>
    </xf>
    <xf numFmtId="0" fontId="80" fillId="9" borderId="6" xfId="23" applyFont="1" applyFill="1" applyBorder="1" applyProtection="1">
      <alignment/>
      <protection locked="0"/>
    </xf>
    <xf numFmtId="0" fontId="82" fillId="10" borderId="6" xfId="23" applyFont="1" applyFill="1" applyBorder="1" applyProtection="1">
      <alignment/>
      <protection locked="0"/>
    </xf>
    <xf numFmtId="22" fontId="4" fillId="19" borderId="10" xfId="21" applyNumberFormat="1" applyFont="1" applyFill="1" applyBorder="1" applyAlignment="1" applyProtection="1">
      <alignment horizontal="center"/>
      <protection locked="0"/>
    </xf>
    <xf numFmtId="22" fontId="4" fillId="19" borderId="4" xfId="21" applyNumberFormat="1" applyFont="1" applyFill="1" applyBorder="1" applyAlignment="1" applyProtection="1">
      <alignment horizontal="center"/>
      <protection locked="0"/>
    </xf>
    <xf numFmtId="4" fontId="4" fillId="0" borderId="6" xfId="23" applyNumberFormat="1" applyFont="1" applyFill="1" applyBorder="1" applyAlignment="1" applyProtection="1" quotePrefix="1">
      <alignment horizontal="center"/>
      <protection/>
    </xf>
    <xf numFmtId="164" fontId="4" fillId="0" borderId="6" xfId="23" applyNumberFormat="1" applyFont="1" applyFill="1" applyBorder="1" applyAlignment="1" applyProtection="1" quotePrefix="1">
      <alignment horizontal="center"/>
      <protection/>
    </xf>
    <xf numFmtId="166" fontId="4" fillId="19" borderId="10" xfId="23" applyNumberFormat="1" applyFont="1" applyFill="1" applyBorder="1" applyAlignment="1" applyProtection="1">
      <alignment horizontal="center"/>
      <protection locked="0"/>
    </xf>
    <xf numFmtId="168" fontId="4" fillId="0" borderId="6" xfId="23" applyNumberFormat="1" applyFont="1" applyFill="1" applyBorder="1" applyAlignment="1" applyProtection="1" quotePrefix="1">
      <alignment horizontal="center"/>
      <protection/>
    </xf>
    <xf numFmtId="166" fontId="4" fillId="0" borderId="6" xfId="23" applyNumberFormat="1" applyFont="1" applyFill="1" applyBorder="1" applyAlignment="1" applyProtection="1">
      <alignment horizontal="center"/>
      <protection/>
    </xf>
    <xf numFmtId="166" fontId="5" fillId="3" borderId="6" xfId="23" applyNumberFormat="1" applyFont="1" applyFill="1" applyBorder="1" applyAlignment="1" applyProtection="1" quotePrefix="1">
      <alignment horizontal="center"/>
      <protection/>
    </xf>
    <xf numFmtId="4" fontId="5" fillId="3" borderId="6" xfId="23" applyNumberFormat="1" applyFont="1" applyFill="1" applyBorder="1" applyAlignment="1" applyProtection="1">
      <alignment horizontal="center"/>
      <protection/>
    </xf>
    <xf numFmtId="4" fontId="16" fillId="22" borderId="10" xfId="23" applyNumberFormat="1" applyFont="1" applyFill="1" applyBorder="1" applyAlignment="1">
      <alignment horizontal="right"/>
      <protection/>
    </xf>
    <xf numFmtId="4" fontId="5" fillId="0" borderId="6" xfId="23" applyNumberFormat="1" applyFont="1" applyFill="1" applyBorder="1" applyAlignment="1" applyProtection="1">
      <alignment horizontal="center"/>
      <protection/>
    </xf>
    <xf numFmtId="178" fontId="16" fillId="19" borderId="10" xfId="23" applyNumberFormat="1" applyFont="1" applyFill="1" applyBorder="1" applyAlignment="1" applyProtection="1">
      <alignment horizontal="right"/>
      <protection locked="0"/>
    </xf>
    <xf numFmtId="4" fontId="16" fillId="19" borderId="2" xfId="23" applyNumberFormat="1" applyFont="1" applyFill="1" applyBorder="1" applyAlignment="1" applyProtection="1">
      <alignment horizontal="right"/>
      <protection locked="0"/>
    </xf>
    <xf numFmtId="167" fontId="16" fillId="18" borderId="2" xfId="23" applyNumberFormat="1" applyFont="1" applyFill="1" applyBorder="1" applyAlignment="1">
      <alignment horizontal="center"/>
      <protection/>
    </xf>
    <xf numFmtId="4" fontId="16" fillId="18" borderId="10" xfId="23" applyNumberFormat="1" applyFont="1" applyFill="1" applyBorder="1" applyAlignment="1">
      <alignment horizontal="right"/>
      <protection/>
    </xf>
    <xf numFmtId="4" fontId="16" fillId="0" borderId="110" xfId="23" applyNumberFormat="1" applyFont="1" applyFill="1" applyBorder="1" applyAlignment="1">
      <alignment horizontal="right"/>
      <protection/>
    </xf>
    <xf numFmtId="4" fontId="16" fillId="20" borderId="2" xfId="23" applyNumberFormat="1" applyFont="1" applyFill="1" applyBorder="1" applyAlignment="1">
      <alignment horizontal="right"/>
      <protection/>
    </xf>
    <xf numFmtId="179" fontId="16" fillId="20" borderId="10" xfId="23" applyNumberFormat="1" applyFont="1" applyFill="1" applyBorder="1" applyAlignment="1">
      <alignment horizontal="right"/>
      <protection/>
    </xf>
    <xf numFmtId="166" fontId="5" fillId="3" borderId="1" xfId="23" applyNumberFormat="1" applyFont="1" applyFill="1" applyBorder="1" applyAlignment="1" applyProtection="1" quotePrefix="1">
      <alignment horizontal="center"/>
      <protection/>
    </xf>
    <xf numFmtId="4" fontId="5" fillId="3" borderId="1" xfId="23" applyNumberFormat="1" applyFont="1" applyFill="1" applyBorder="1" applyAlignment="1" applyProtection="1">
      <alignment horizontal="center"/>
      <protection/>
    </xf>
    <xf numFmtId="4" fontId="16" fillId="0" borderId="10" xfId="23" applyNumberFormat="1" applyFont="1" applyFill="1" applyBorder="1" applyAlignment="1">
      <alignment horizontal="right"/>
      <protection/>
    </xf>
    <xf numFmtId="4" fontId="16" fillId="0" borderId="1" xfId="23" applyNumberFormat="1" applyFont="1" applyFill="1" applyBorder="1" applyAlignment="1">
      <alignment horizontal="right"/>
      <protection/>
    </xf>
    <xf numFmtId="22" fontId="4" fillId="19" borderId="6" xfId="21" applyNumberFormat="1" applyFont="1" applyFill="1" applyBorder="1" applyAlignment="1" applyProtection="1">
      <alignment horizontal="center"/>
      <protection locked="0"/>
    </xf>
    <xf numFmtId="166" fontId="4" fillId="19" borderId="6" xfId="23" applyNumberFormat="1" applyFont="1" applyFill="1" applyBorder="1" applyAlignment="1" applyProtection="1">
      <alignment horizontal="center"/>
      <protection locked="0"/>
    </xf>
    <xf numFmtId="4" fontId="16" fillId="22" borderId="6" xfId="23" applyNumberFormat="1" applyFont="1" applyFill="1" applyBorder="1" applyAlignment="1">
      <alignment horizontal="right"/>
      <protection/>
    </xf>
    <xf numFmtId="178" fontId="16" fillId="19" borderId="6" xfId="23" applyNumberFormat="1" applyFont="1" applyFill="1" applyBorder="1" applyAlignment="1" applyProtection="1">
      <alignment horizontal="right"/>
      <protection locked="0"/>
    </xf>
    <xf numFmtId="4" fontId="16" fillId="19" borderId="6" xfId="23" applyNumberFormat="1" applyFont="1" applyFill="1" applyBorder="1" applyAlignment="1" applyProtection="1">
      <alignment horizontal="right"/>
      <protection locked="0"/>
    </xf>
    <xf numFmtId="4" fontId="16" fillId="18" borderId="6" xfId="23" applyNumberFormat="1" applyFont="1" applyFill="1" applyBorder="1" applyAlignment="1">
      <alignment horizontal="right"/>
      <protection/>
    </xf>
    <xf numFmtId="4" fontId="16" fillId="0" borderId="6" xfId="23" applyNumberFormat="1" applyFont="1" applyFill="1" applyBorder="1" applyAlignment="1">
      <alignment horizontal="right"/>
      <protection/>
    </xf>
    <xf numFmtId="4" fontId="16" fillId="20" borderId="6" xfId="23" applyNumberFormat="1" applyFont="1" applyFill="1" applyBorder="1" applyAlignment="1">
      <alignment horizontal="right"/>
      <protection/>
    </xf>
    <xf numFmtId="179" fontId="16" fillId="20" borderId="6" xfId="23" applyNumberFormat="1" applyFont="1" applyFill="1" applyBorder="1" applyAlignment="1">
      <alignment horizontal="right"/>
      <protection/>
    </xf>
    <xf numFmtId="0" fontId="4" fillId="0" borderId="111" xfId="23" applyFont="1" applyFill="1" applyBorder="1" applyAlignment="1">
      <alignment horizontal="center"/>
      <protection/>
    </xf>
    <xf numFmtId="0" fontId="4" fillId="0" borderId="112" xfId="23" applyFont="1" applyFill="1" applyBorder="1" applyAlignment="1">
      <alignment horizontal="center"/>
      <protection/>
    </xf>
    <xf numFmtId="0" fontId="4" fillId="19" borderId="111" xfId="21" applyFont="1" applyFill="1" applyBorder="1" applyAlignment="1" applyProtection="1">
      <alignment horizontal="center"/>
      <protection locked="0"/>
    </xf>
    <xf numFmtId="164" fontId="4" fillId="19" borderId="111" xfId="21" applyNumberFormat="1" applyFont="1" applyFill="1" applyBorder="1" applyAlignment="1" applyProtection="1">
      <alignment horizontal="center"/>
      <protection locked="0"/>
    </xf>
    <xf numFmtId="165" fontId="4" fillId="19" borderId="111" xfId="21" applyNumberFormat="1" applyFont="1" applyFill="1" applyBorder="1" applyAlignment="1" applyProtection="1">
      <alignment horizontal="center"/>
      <protection locked="0"/>
    </xf>
    <xf numFmtId="0" fontId="80" fillId="9" borderId="111" xfId="23" applyFont="1" applyFill="1" applyBorder="1" applyProtection="1">
      <alignment/>
      <protection locked="0"/>
    </xf>
    <xf numFmtId="0" fontId="82" fillId="10" borderId="111" xfId="23" applyFont="1" applyFill="1" applyBorder="1" applyProtection="1">
      <alignment/>
      <protection locked="0"/>
    </xf>
    <xf numFmtId="22" fontId="4" fillId="19" borderId="111" xfId="21" applyNumberFormat="1" applyFont="1" applyFill="1" applyBorder="1" applyAlignment="1" applyProtection="1">
      <alignment horizontal="center"/>
      <protection locked="0"/>
    </xf>
    <xf numFmtId="4" fontId="4" fillId="0" borderId="111" xfId="23" applyNumberFormat="1" applyFont="1" applyFill="1" applyBorder="1" applyAlignment="1" applyProtection="1" quotePrefix="1">
      <alignment horizontal="center"/>
      <protection/>
    </xf>
    <xf numFmtId="164" fontId="4" fillId="0" borderId="111" xfId="23" applyNumberFormat="1" applyFont="1" applyFill="1" applyBorder="1" applyAlignment="1" applyProtection="1" quotePrefix="1">
      <alignment horizontal="center"/>
      <protection/>
    </xf>
    <xf numFmtId="166" fontId="4" fillId="19" borderId="111" xfId="23" applyNumberFormat="1" applyFont="1" applyFill="1" applyBorder="1" applyAlignment="1" applyProtection="1">
      <alignment horizontal="center"/>
      <protection locked="0"/>
    </xf>
    <xf numFmtId="168" fontId="4" fillId="0" borderId="111" xfId="23" applyNumberFormat="1" applyFont="1" applyFill="1" applyBorder="1" applyAlignment="1" applyProtection="1" quotePrefix="1">
      <alignment horizontal="center"/>
      <protection/>
    </xf>
    <xf numFmtId="166" fontId="4" fillId="0" borderId="111" xfId="23" applyNumberFormat="1" applyFont="1" applyFill="1" applyBorder="1" applyAlignment="1" applyProtection="1">
      <alignment horizontal="center"/>
      <protection/>
    </xf>
    <xf numFmtId="166" fontId="5" fillId="3" borderId="111" xfId="23" applyNumberFormat="1" applyFont="1" applyFill="1" applyBorder="1" applyAlignment="1" applyProtection="1" quotePrefix="1">
      <alignment horizontal="center"/>
      <protection/>
    </xf>
    <xf numFmtId="4" fontId="5" fillId="3" borderId="111" xfId="23" applyNumberFormat="1" applyFont="1" applyFill="1" applyBorder="1" applyAlignment="1" applyProtection="1">
      <alignment horizontal="center"/>
      <protection/>
    </xf>
    <xf numFmtId="4" fontId="16" fillId="22" borderId="111" xfId="23" applyNumberFormat="1" applyFont="1" applyFill="1" applyBorder="1" applyAlignment="1">
      <alignment horizontal="right"/>
      <protection/>
    </xf>
    <xf numFmtId="4" fontId="5" fillId="0" borderId="111" xfId="23" applyNumberFormat="1" applyFont="1" applyFill="1" applyBorder="1" applyAlignment="1" applyProtection="1">
      <alignment horizontal="center"/>
      <protection/>
    </xf>
    <xf numFmtId="178" fontId="16" fillId="19" borderId="111" xfId="23" applyNumberFormat="1" applyFont="1" applyFill="1" applyBorder="1" applyAlignment="1" applyProtection="1">
      <alignment horizontal="right"/>
      <protection locked="0"/>
    </xf>
    <xf numFmtId="4" fontId="16" fillId="19" borderId="111" xfId="23" applyNumberFormat="1" applyFont="1" applyFill="1" applyBorder="1" applyAlignment="1" applyProtection="1">
      <alignment horizontal="right"/>
      <protection locked="0"/>
    </xf>
    <xf numFmtId="4" fontId="16" fillId="0" borderId="111" xfId="23" applyNumberFormat="1" applyFont="1" applyFill="1" applyBorder="1" applyAlignment="1">
      <alignment horizontal="right"/>
      <protection/>
    </xf>
    <xf numFmtId="4" fontId="16" fillId="20" borderId="111" xfId="23" applyNumberFormat="1" applyFont="1" applyFill="1" applyBorder="1" applyAlignment="1">
      <alignment horizontal="right"/>
      <protection/>
    </xf>
    <xf numFmtId="179" fontId="16" fillId="20" borderId="111" xfId="23" applyNumberFormat="1" applyFont="1" applyFill="1" applyBorder="1" applyAlignment="1">
      <alignment horizontal="right"/>
      <protection/>
    </xf>
    <xf numFmtId="167" fontId="16" fillId="18" borderId="113" xfId="23" applyNumberFormat="1" applyFont="1" applyFill="1" applyBorder="1" applyAlignment="1">
      <alignment horizontal="center"/>
      <protection/>
    </xf>
    <xf numFmtId="4" fontId="16" fillId="18" borderId="114" xfId="23" applyNumberFormat="1" applyFont="1" applyFill="1" applyBorder="1" applyAlignment="1">
      <alignment horizontal="right"/>
      <protection/>
    </xf>
    <xf numFmtId="4" fontId="16" fillId="18" borderId="115" xfId="23" applyNumberFormat="1" applyFont="1" applyFill="1" applyBorder="1" applyAlignment="1">
      <alignment horizontal="right"/>
      <protection/>
    </xf>
    <xf numFmtId="4" fontId="16" fillId="18" borderId="116" xfId="23" applyNumberFormat="1" applyFont="1" applyFill="1" applyBorder="1" applyAlignment="1">
      <alignment horizontal="right"/>
      <protection/>
    </xf>
    <xf numFmtId="167" fontId="16" fillId="18" borderId="117" xfId="23" applyNumberFormat="1" applyFont="1" applyFill="1" applyBorder="1" applyAlignment="1">
      <alignment horizontal="center"/>
      <protection/>
    </xf>
    <xf numFmtId="4" fontId="16" fillId="18" borderId="117" xfId="23" applyNumberFormat="1" applyFont="1" applyFill="1" applyBorder="1" applyAlignment="1">
      <alignment horizontal="right"/>
      <protection/>
    </xf>
    <xf numFmtId="4" fontId="16" fillId="18" borderId="118" xfId="23" applyNumberFormat="1" applyFont="1" applyFill="1" applyBorder="1" applyAlignment="1">
      <alignment horizontal="right"/>
      <protection/>
    </xf>
    <xf numFmtId="0" fontId="4" fillId="2" borderId="7" xfId="23" applyFont="1" applyFill="1" applyBorder="1">
      <alignment/>
      <protection/>
    </xf>
    <xf numFmtId="0" fontId="4" fillId="0" borderId="7" xfId="23" applyFont="1" applyBorder="1" applyAlignment="1">
      <alignment horizontal="center"/>
      <protection/>
    </xf>
    <xf numFmtId="0" fontId="4" fillId="0" borderId="13" xfId="23" applyFont="1" applyBorder="1" applyAlignment="1">
      <alignment horizontal="center"/>
      <protection/>
    </xf>
    <xf numFmtId="0" fontId="4" fillId="19" borderId="7" xfId="23" applyFont="1" applyFill="1" applyBorder="1" applyAlignment="1" applyProtection="1">
      <alignment horizontal="center"/>
      <protection locked="0"/>
    </xf>
    <xf numFmtId="164" fontId="5" fillId="19" borderId="7" xfId="23" applyNumberFormat="1" applyFont="1" applyFill="1" applyBorder="1" applyAlignment="1" applyProtection="1">
      <alignment horizontal="center"/>
      <protection locked="0"/>
    </xf>
    <xf numFmtId="165" fontId="4" fillId="19" borderId="7" xfId="23" applyNumberFormat="1" applyFont="1" applyFill="1" applyBorder="1" applyAlignment="1" applyProtection="1">
      <alignment horizontal="center"/>
      <protection locked="0"/>
    </xf>
    <xf numFmtId="0" fontId="80" fillId="9" borderId="7" xfId="23" applyFont="1" applyFill="1" applyBorder="1" applyAlignment="1" applyProtection="1">
      <alignment horizontal="center"/>
      <protection locked="0"/>
    </xf>
    <xf numFmtId="169" fontId="82" fillId="10" borderId="7" xfId="23" applyNumberFormat="1" applyFont="1" applyFill="1" applyBorder="1" applyAlignment="1" applyProtection="1">
      <alignment horizontal="center"/>
      <protection locked="0"/>
    </xf>
    <xf numFmtId="166" fontId="4" fillId="19" borderId="7" xfId="23" applyNumberFormat="1" applyFont="1" applyFill="1" applyBorder="1" applyAlignment="1" applyProtection="1">
      <alignment horizontal="center"/>
      <protection locked="0"/>
    </xf>
    <xf numFmtId="166" fontId="4" fillId="0" borderId="7" xfId="23" applyNumberFormat="1" applyFont="1" applyFill="1" applyBorder="1" applyAlignment="1" applyProtection="1">
      <alignment horizontal="center"/>
      <protection/>
    </xf>
    <xf numFmtId="168" fontId="4" fillId="0" borderId="7" xfId="23" applyNumberFormat="1" applyFont="1" applyFill="1" applyBorder="1" applyAlignment="1" applyProtection="1" quotePrefix="1">
      <alignment horizontal="center"/>
      <protection/>
    </xf>
    <xf numFmtId="166" fontId="57" fillId="3" borderId="12" xfId="23" applyNumberFormat="1" applyFont="1" applyFill="1" applyBorder="1" applyAlignment="1" applyProtection="1" quotePrefix="1">
      <alignment horizontal="center"/>
      <protection/>
    </xf>
    <xf numFmtId="4" fontId="57" fillId="3" borderId="12" xfId="23" applyNumberFormat="1" applyFont="1" applyFill="1" applyBorder="1" applyAlignment="1" applyProtection="1">
      <alignment horizontal="center"/>
      <protection/>
    </xf>
    <xf numFmtId="2" fontId="16" fillId="22" borderId="7" xfId="23" applyNumberFormat="1" applyFont="1" applyFill="1" applyBorder="1" applyAlignment="1">
      <alignment horizontal="right"/>
      <protection/>
    </xf>
    <xf numFmtId="4" fontId="5" fillId="0" borderId="7" xfId="23" applyNumberFormat="1" applyFont="1" applyBorder="1" applyAlignment="1" applyProtection="1">
      <alignment horizontal="center"/>
      <protection/>
    </xf>
    <xf numFmtId="0" fontId="16" fillId="19" borderId="7" xfId="23" applyFont="1" applyFill="1" applyBorder="1" applyProtection="1">
      <alignment/>
      <protection locked="0"/>
    </xf>
    <xf numFmtId="167" fontId="16" fillId="18" borderId="7" xfId="23" applyNumberFormat="1" applyFont="1" applyFill="1" applyBorder="1" applyAlignment="1">
      <alignment horizontal="center"/>
      <protection/>
    </xf>
    <xf numFmtId="0" fontId="16" fillId="18" borderId="7" xfId="23" applyFont="1" applyFill="1" applyBorder="1">
      <alignment/>
      <protection/>
    </xf>
    <xf numFmtId="0" fontId="16" fillId="0" borderId="7" xfId="23" applyFont="1" applyFill="1" applyBorder="1">
      <alignment/>
      <protection/>
    </xf>
    <xf numFmtId="4" fontId="16" fillId="20" borderId="7" xfId="23" applyNumberFormat="1" applyFont="1" applyFill="1" applyBorder="1" applyAlignment="1">
      <alignment horizontal="right"/>
      <protection/>
    </xf>
    <xf numFmtId="0" fontId="16" fillId="20" borderId="7" xfId="23" applyFont="1" applyFill="1" applyBorder="1">
      <alignment/>
      <protection/>
    </xf>
    <xf numFmtId="166" fontId="57" fillId="3" borderId="7" xfId="23" applyNumberFormat="1" applyFont="1" applyFill="1" applyBorder="1" applyAlignment="1" applyProtection="1" quotePrefix="1">
      <alignment horizontal="center"/>
      <protection/>
    </xf>
    <xf numFmtId="4" fontId="57" fillId="3" borderId="7" xfId="23" applyNumberFormat="1" applyFont="1" applyFill="1" applyBorder="1" applyAlignment="1" applyProtection="1">
      <alignment horizontal="center"/>
      <protection/>
    </xf>
    <xf numFmtId="0" fontId="16" fillId="0" borderId="35" xfId="23" applyFont="1" applyBorder="1">
      <alignment/>
      <protection/>
    </xf>
    <xf numFmtId="0" fontId="41" fillId="0" borderId="38" xfId="23" applyFont="1" applyBorder="1" applyAlignment="1">
      <alignment horizontal="center"/>
      <protection/>
    </xf>
    <xf numFmtId="0" fontId="43" fillId="0" borderId="0" xfId="23" applyFont="1" applyBorder="1" applyAlignment="1" applyProtection="1">
      <alignment horizontal="left"/>
      <protection/>
    </xf>
    <xf numFmtId="164" fontId="5" fillId="0" borderId="0" xfId="23" applyNumberFormat="1" applyFont="1" applyBorder="1" applyAlignment="1" applyProtection="1">
      <alignment horizontal="center"/>
      <protection/>
    </xf>
    <xf numFmtId="165" fontId="4" fillId="0" borderId="0" xfId="23" applyNumberFormat="1" applyFont="1" applyBorder="1" applyAlignment="1" applyProtection="1">
      <alignment horizontal="center"/>
      <protection/>
    </xf>
    <xf numFmtId="166" fontId="4" fillId="0" borderId="0" xfId="23" applyNumberFormat="1" applyFont="1" applyBorder="1" applyAlignment="1" applyProtection="1">
      <alignment horizontal="center"/>
      <protection/>
    </xf>
    <xf numFmtId="166" fontId="4" fillId="0" borderId="0" xfId="23" applyNumberFormat="1" applyFont="1" applyFill="1" applyBorder="1" applyAlignment="1" applyProtection="1">
      <alignment horizontal="center"/>
      <protection/>
    </xf>
    <xf numFmtId="168" fontId="4" fillId="0" borderId="0" xfId="23" applyNumberFormat="1" applyFont="1" applyBorder="1" applyAlignment="1" applyProtection="1" quotePrefix="1">
      <alignment horizontal="center"/>
      <protection/>
    </xf>
    <xf numFmtId="2" fontId="57" fillId="3" borderId="7" xfId="23" applyNumberFormat="1" applyFont="1" applyFill="1" applyBorder="1" applyAlignment="1" applyProtection="1">
      <alignment horizontal="center"/>
      <protection/>
    </xf>
    <xf numFmtId="7" fontId="12" fillId="0" borderId="0" xfId="23" applyNumberFormat="1" applyFont="1" applyFill="1" applyBorder="1" applyAlignment="1" applyProtection="1">
      <alignment horizontal="right"/>
      <protection/>
    </xf>
    <xf numFmtId="2" fontId="15" fillId="0" borderId="0" xfId="23" applyNumberFormat="1" applyFont="1" applyBorder="1" applyAlignment="1" applyProtection="1">
      <alignment horizontal="center"/>
      <protection/>
    </xf>
    <xf numFmtId="7" fontId="12" fillId="0" borderId="16" xfId="23" applyNumberFormat="1" applyFont="1" applyFill="1" applyBorder="1" applyAlignment="1" applyProtection="1">
      <alignment horizontal="right"/>
      <protection/>
    </xf>
    <xf numFmtId="0" fontId="0" fillId="0" borderId="0" xfId="23">
      <alignment/>
      <protection/>
    </xf>
    <xf numFmtId="0" fontId="0" fillId="0" borderId="24" xfId="23" applyBorder="1">
      <alignment/>
      <protection/>
    </xf>
    <xf numFmtId="0" fontId="0" fillId="0" borderId="0" xfId="23" applyFont="1">
      <alignment/>
      <protection/>
    </xf>
    <xf numFmtId="0" fontId="0" fillId="0" borderId="0" xfId="23" applyFont="1" applyFill="1">
      <alignment/>
      <protection/>
    </xf>
    <xf numFmtId="0" fontId="0" fillId="0" borderId="0" xfId="23" applyFill="1">
      <alignment/>
      <protection/>
    </xf>
    <xf numFmtId="0" fontId="0" fillId="0" borderId="25" xfId="23" applyBorder="1">
      <alignment/>
      <protection/>
    </xf>
    <xf numFmtId="0" fontId="4" fillId="0" borderId="28" xfId="23" applyFont="1" applyBorder="1">
      <alignment/>
      <protection/>
    </xf>
    <xf numFmtId="0" fontId="4" fillId="0" borderId="29" xfId="23" applyFont="1" applyBorder="1">
      <alignment/>
      <protection/>
    </xf>
    <xf numFmtId="0" fontId="4" fillId="0" borderId="29" xfId="23" applyFont="1" applyFill="1" applyBorder="1">
      <alignment/>
      <protection/>
    </xf>
    <xf numFmtId="0" fontId="4" fillId="0" borderId="30" xfId="23" applyFont="1" applyBorder="1">
      <alignment/>
      <protection/>
    </xf>
    <xf numFmtId="0" fontId="0" fillId="0" borderId="0" xfId="23" applyBorder="1">
      <alignment/>
      <protection/>
    </xf>
    <xf numFmtId="0" fontId="50" fillId="0" borderId="0" xfId="23" applyFont="1">
      <alignment/>
      <protection/>
    </xf>
    <xf numFmtId="0" fontId="50" fillId="0" borderId="0" xfId="23" applyFont="1" applyFill="1">
      <alignment/>
      <protection/>
    </xf>
    <xf numFmtId="0" fontId="50" fillId="18" borderId="0" xfId="23" applyFont="1" applyFill="1">
      <alignment/>
      <protection/>
    </xf>
    <xf numFmtId="0" fontId="50" fillId="0" borderId="119" xfId="23" applyFont="1" applyBorder="1">
      <alignment/>
      <protection/>
    </xf>
    <xf numFmtId="0" fontId="50" fillId="19" borderId="0" xfId="23" applyFont="1" applyFill="1">
      <alignment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 applyFill="1" applyAlignment="1">
      <alignment horizontal="centerContinuous"/>
      <protection/>
    </xf>
    <xf numFmtId="0" fontId="4" fillId="0" borderId="23" xfId="23" applyFont="1" applyBorder="1">
      <alignment/>
      <protection/>
    </xf>
    <xf numFmtId="0" fontId="9" fillId="0" borderId="0" xfId="23" applyFont="1" applyBorder="1" applyAlignment="1">
      <alignment horizontal="centerContinuous"/>
      <protection/>
    </xf>
    <xf numFmtId="0" fontId="10" fillId="0" borderId="0" xfId="23" applyFont="1" applyBorder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0" fillId="0" borderId="0" xfId="23" applyFont="1" applyFill="1" applyBorder="1" applyAlignment="1">
      <alignment horizontal="centerContinuous"/>
      <protection/>
    </xf>
    <xf numFmtId="0" fontId="10" fillId="0" borderId="25" xfId="23" applyFont="1" applyBorder="1" applyAlignment="1">
      <alignment horizontal="centerContinuous"/>
      <protection/>
    </xf>
    <xf numFmtId="0" fontId="4" fillId="0" borderId="25" xfId="23" applyFont="1" applyBorder="1">
      <alignment/>
      <protection/>
    </xf>
    <xf numFmtId="0" fontId="9" fillId="0" borderId="0" xfId="23" applyFont="1">
      <alignment/>
      <protection/>
    </xf>
    <xf numFmtId="0" fontId="10" fillId="0" borderId="0" xfId="23" applyFont="1" applyBorder="1" applyProtection="1">
      <alignment/>
      <protection/>
    </xf>
    <xf numFmtId="0" fontId="10" fillId="0" borderId="25" xfId="23" applyFont="1" applyBorder="1">
      <alignment/>
      <protection/>
    </xf>
    <xf numFmtId="0" fontId="20" fillId="0" borderId="0" xfId="23" applyFont="1">
      <alignment/>
      <protection/>
    </xf>
    <xf numFmtId="0" fontId="4" fillId="0" borderId="0" xfId="23" applyFont="1" applyBorder="1" applyProtection="1">
      <alignment/>
      <protection/>
    </xf>
    <xf numFmtId="0" fontId="31" fillId="0" borderId="0" xfId="23" applyFont="1" applyBorder="1">
      <alignment/>
      <protection/>
    </xf>
    <xf numFmtId="0" fontId="11" fillId="0" borderId="24" xfId="23" applyFont="1" applyBorder="1" applyAlignment="1">
      <alignment horizontal="centerContinuous"/>
      <protection/>
    </xf>
    <xf numFmtId="0" fontId="11" fillId="0" borderId="0" xfId="23" applyFont="1" applyBorder="1" applyAlignment="1">
      <alignment horizontal="centerContinuous"/>
      <protection/>
    </xf>
    <xf numFmtId="0" fontId="11" fillId="0" borderId="0" xfId="23" applyFont="1" applyBorder="1" applyAlignment="1" applyProtection="1">
      <alignment horizontal="centerContinuous"/>
      <protection/>
    </xf>
    <xf numFmtId="0" fontId="11" fillId="0" borderId="0" xfId="23" applyFont="1" applyFill="1" applyBorder="1" applyAlignment="1">
      <alignment horizontal="centerContinuous"/>
      <protection/>
    </xf>
    <xf numFmtId="0" fontId="11" fillId="0" borderId="25" xfId="23" applyFont="1" applyBorder="1" applyAlignment="1">
      <alignment horizontal="centerContinuous"/>
      <protection/>
    </xf>
    <xf numFmtId="0" fontId="0" fillId="0" borderId="26" xfId="23" applyFont="1" applyBorder="1" applyAlignment="1" applyProtection="1">
      <alignment horizontal="left"/>
      <protection/>
    </xf>
    <xf numFmtId="0" fontId="0" fillId="0" borderId="38" xfId="23" applyFont="1" applyBorder="1" applyAlignment="1" applyProtection="1">
      <alignment horizontal="center"/>
      <protection/>
    </xf>
    <xf numFmtId="169" fontId="0" fillId="0" borderId="27" xfId="23" applyNumberFormat="1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26" xfId="23" applyFont="1" applyBorder="1" applyAlignment="1" applyProtection="1" quotePrefix="1">
      <alignment horizontal="left"/>
      <protection/>
    </xf>
    <xf numFmtId="0" fontId="0" fillId="0" borderId="31" xfId="23" applyFont="1" applyBorder="1" applyAlignment="1" applyProtection="1">
      <alignment horizontal="center"/>
      <protection/>
    </xf>
    <xf numFmtId="164" fontId="0" fillId="0" borderId="27" xfId="23" applyNumberFormat="1" applyFont="1" applyBorder="1" applyAlignment="1" applyProtection="1">
      <alignment horizontal="center"/>
      <protection/>
    </xf>
    <xf numFmtId="0" fontId="0" fillId="0" borderId="0" xfId="23" applyFont="1" applyBorder="1" applyAlignment="1" applyProtection="1">
      <alignment horizontal="center"/>
      <protection/>
    </xf>
    <xf numFmtId="22" fontId="4" fillId="0" borderId="0" xfId="23" applyNumberFormat="1" applyFont="1" applyFill="1" applyBorder="1">
      <alignment/>
      <protection/>
    </xf>
    <xf numFmtId="0" fontId="37" fillId="0" borderId="0" xfId="23" applyFont="1" applyBorder="1" applyAlignment="1" applyProtection="1">
      <alignment horizontal="left"/>
      <protection/>
    </xf>
    <xf numFmtId="0" fontId="6" fillId="0" borderId="0" xfId="23" applyFont="1" applyBorder="1" applyAlignment="1" applyProtection="1">
      <alignment horizontal="center"/>
      <protection/>
    </xf>
    <xf numFmtId="164" fontId="4" fillId="0" borderId="0" xfId="23" applyNumberFormat="1" applyFont="1" applyBorder="1" applyAlignment="1" applyProtection="1">
      <alignment horizontal="center"/>
      <protection/>
    </xf>
    <xf numFmtId="2" fontId="127" fillId="0" borderId="120" xfId="23" applyNumberFormat="1" applyFont="1" applyBorder="1" applyAlignment="1">
      <alignment horizontal="left"/>
      <protection/>
    </xf>
    <xf numFmtId="166" fontId="57" fillId="0" borderId="121" xfId="23" applyNumberFormat="1" applyFont="1" applyBorder="1" applyAlignment="1" applyProtection="1" quotePrefix="1">
      <alignment horizontal="left"/>
      <protection/>
    </xf>
    <xf numFmtId="166" fontId="57" fillId="0" borderId="92" xfId="23" applyNumberFormat="1" applyFont="1" applyBorder="1" applyAlignment="1" applyProtection="1" quotePrefix="1">
      <alignment horizontal="left"/>
      <protection/>
    </xf>
    <xf numFmtId="2" fontId="93" fillId="0" borderId="120" xfId="23" applyNumberFormat="1" applyFont="1" applyBorder="1" applyAlignment="1">
      <alignment horizontal="left"/>
      <protection/>
    </xf>
    <xf numFmtId="166" fontId="5" fillId="0" borderId="0" xfId="23" applyNumberFormat="1" applyFont="1" applyFill="1" applyBorder="1" applyAlignment="1" applyProtection="1" quotePrefix="1">
      <alignment horizontal="center"/>
      <protection/>
    </xf>
    <xf numFmtId="166" fontId="5" fillId="0" borderId="0" xfId="23" applyNumberFormat="1" applyFont="1" applyBorder="1" applyAlignment="1" applyProtection="1">
      <alignment horizontal="center"/>
      <protection/>
    </xf>
    <xf numFmtId="166" fontId="22" fillId="0" borderId="0" xfId="23" applyNumberFormat="1" applyFont="1" applyFill="1" applyBorder="1" applyAlignment="1">
      <alignment horizontal="center"/>
      <protection/>
    </xf>
    <xf numFmtId="0" fontId="33" fillId="0" borderId="18" xfId="23" applyFont="1" applyBorder="1" applyAlignment="1" applyProtection="1" quotePrefix="1">
      <alignment horizontal="center" vertical="center" wrapText="1"/>
      <protection/>
    </xf>
    <xf numFmtId="0" fontId="61" fillId="3" borderId="18" xfId="23" applyFont="1" applyFill="1" applyBorder="1" applyAlignment="1" applyProtection="1">
      <alignment horizontal="center" vertical="center"/>
      <protection/>
    </xf>
    <xf numFmtId="0" fontId="38" fillId="7" borderId="7" xfId="23" applyFont="1" applyFill="1" applyBorder="1" applyAlignment="1">
      <alignment horizontal="center" vertical="center" wrapText="1"/>
      <protection/>
    </xf>
    <xf numFmtId="0" fontId="66" fillId="14" borderId="15" xfId="23" applyFont="1" applyFill="1" applyBorder="1" applyAlignment="1" applyProtection="1">
      <alignment horizontal="centerContinuous" vertical="center" wrapText="1"/>
      <protection/>
    </xf>
    <xf numFmtId="0" fontId="66" fillId="14" borderId="13" xfId="23" applyFont="1" applyFill="1" applyBorder="1" applyAlignment="1">
      <alignment horizontal="centerContinuous" vertical="center"/>
      <protection/>
    </xf>
    <xf numFmtId="0" fontId="69" fillId="5" borderId="7" xfId="23" applyFont="1" applyFill="1" applyBorder="1" applyAlignment="1">
      <alignment horizontal="center" vertical="center" wrapText="1"/>
      <protection/>
    </xf>
    <xf numFmtId="0" fontId="38" fillId="0" borderId="18" xfId="23" applyFont="1" applyFill="1" applyBorder="1" applyAlignment="1">
      <alignment horizontal="center" vertical="center" wrapText="1"/>
      <protection/>
    </xf>
    <xf numFmtId="0" fontId="4" fillId="0" borderId="35" xfId="23" applyFont="1" applyBorder="1" applyAlignment="1">
      <alignment horizontal="center"/>
      <protection/>
    </xf>
    <xf numFmtId="0" fontId="4" fillId="19" borderId="36" xfId="23" applyFont="1" applyFill="1" applyBorder="1" applyAlignment="1">
      <alignment horizontal="center"/>
      <protection/>
    </xf>
    <xf numFmtId="0" fontId="62" fillId="3" borderId="35" xfId="23" applyFont="1" applyFill="1" applyBorder="1" applyAlignment="1">
      <alignment horizontal="center"/>
      <protection/>
    </xf>
    <xf numFmtId="0" fontId="4" fillId="19" borderId="37" xfId="23" applyFont="1" applyFill="1" applyBorder="1" applyAlignment="1">
      <alignment horizontal="center"/>
      <protection/>
    </xf>
    <xf numFmtId="0" fontId="4" fillId="0" borderId="1" xfId="23" applyFont="1" applyBorder="1">
      <alignment/>
      <protection/>
    </xf>
    <xf numFmtId="0" fontId="62" fillId="3" borderId="0" xfId="23" applyFont="1" applyFill="1" applyBorder="1" applyAlignment="1">
      <alignment horizontal="center"/>
      <protection/>
    </xf>
    <xf numFmtId="0" fontId="94" fillId="7" borderId="49" xfId="23" applyFont="1" applyFill="1" applyBorder="1" applyAlignment="1">
      <alignment horizontal="center"/>
      <protection/>
    </xf>
    <xf numFmtId="0" fontId="68" fillId="14" borderId="46" xfId="23" applyFont="1" applyFill="1" applyBorder="1" applyAlignment="1">
      <alignment horizontal="center"/>
      <protection/>
    </xf>
    <xf numFmtId="0" fontId="68" fillId="14" borderId="48" xfId="23" applyFont="1" applyFill="1" applyBorder="1" applyAlignment="1">
      <alignment horizontal="center"/>
      <protection/>
    </xf>
    <xf numFmtId="0" fontId="72" fillId="5" borderId="49" xfId="23" applyFont="1" applyFill="1" applyBorder="1" applyAlignment="1">
      <alignment horizontal="center"/>
      <protection/>
    </xf>
    <xf numFmtId="0" fontId="16" fillId="19" borderId="49" xfId="23" applyFont="1" applyFill="1" applyBorder="1" applyProtection="1">
      <alignment/>
      <protection locked="0"/>
    </xf>
    <xf numFmtId="0" fontId="68" fillId="14" borderId="53" xfId="23" applyFont="1" applyFill="1" applyBorder="1" applyAlignment="1">
      <alignment horizontal="center"/>
      <protection/>
    </xf>
    <xf numFmtId="0" fontId="68" fillId="14" borderId="54" xfId="23" applyFont="1" applyFill="1" applyBorder="1" applyAlignment="1">
      <alignment horizontal="center"/>
      <protection/>
    </xf>
    <xf numFmtId="180" fontId="4" fillId="0" borderId="49" xfId="23" applyNumberFormat="1" applyFont="1" applyFill="1" applyBorder="1" applyAlignment="1">
      <alignment horizontal="center"/>
      <protection/>
    </xf>
    <xf numFmtId="0" fontId="4" fillId="0" borderId="49" xfId="23" applyFont="1" applyBorder="1" applyAlignment="1">
      <alignment horizontal="center"/>
      <protection/>
    </xf>
    <xf numFmtId="7" fontId="18" fillId="0" borderId="49" xfId="23" applyNumberFormat="1" applyFont="1" applyFill="1" applyBorder="1" applyAlignment="1">
      <alignment horizontal="center"/>
      <protection/>
    </xf>
    <xf numFmtId="0" fontId="4" fillId="0" borderId="122" xfId="23" applyFont="1" applyBorder="1" applyAlignment="1">
      <alignment horizontal="center"/>
      <protection/>
    </xf>
    <xf numFmtId="0" fontId="6" fillId="19" borderId="85" xfId="23" applyFont="1" applyFill="1" applyBorder="1" applyAlignment="1" applyProtection="1">
      <alignment horizontal="center"/>
      <protection/>
    </xf>
    <xf numFmtId="0" fontId="6" fillId="19" borderId="123" xfId="23" applyFont="1" applyFill="1" applyBorder="1" applyAlignment="1" applyProtection="1">
      <alignment horizontal="center"/>
      <protection/>
    </xf>
    <xf numFmtId="0" fontId="6" fillId="19" borderId="122" xfId="23" applyFont="1" applyFill="1" applyBorder="1" applyAlignment="1" applyProtection="1">
      <alignment horizontal="center"/>
      <protection/>
    </xf>
    <xf numFmtId="166" fontId="62" fillId="3" borderId="122" xfId="23" applyNumberFormat="1" applyFont="1" applyFill="1" applyBorder="1" applyAlignment="1" applyProtection="1">
      <alignment horizontal="center"/>
      <protection/>
    </xf>
    <xf numFmtId="22" fontId="4" fillId="19" borderId="124" xfId="23" applyNumberFormat="1" applyFont="1" applyFill="1" applyBorder="1" applyAlignment="1">
      <alignment horizontal="center"/>
      <protection/>
    </xf>
    <xf numFmtId="22" fontId="4" fillId="19" borderId="123" xfId="23" applyNumberFormat="1" applyFont="1" applyFill="1" applyBorder="1" applyAlignment="1" applyProtection="1">
      <alignment horizontal="center"/>
      <protection/>
    </xf>
    <xf numFmtId="2" fontId="4" fillId="0" borderId="122" xfId="23" applyNumberFormat="1" applyFont="1" applyFill="1" applyBorder="1" applyAlignment="1" applyProtection="1" quotePrefix="1">
      <alignment horizontal="center"/>
      <protection/>
    </xf>
    <xf numFmtId="164" fontId="4" fillId="0" borderId="122" xfId="23" applyNumberFormat="1" applyFont="1" applyFill="1" applyBorder="1" applyAlignment="1" applyProtection="1" quotePrefix="1">
      <alignment horizontal="center"/>
      <protection/>
    </xf>
    <xf numFmtId="166" fontId="4" fillId="19" borderId="125" xfId="23" applyNumberFormat="1" applyFont="1" applyFill="1" applyBorder="1" applyAlignment="1" applyProtection="1">
      <alignment horizontal="center"/>
      <protection/>
    </xf>
    <xf numFmtId="166" fontId="4" fillId="0" borderId="122" xfId="23" applyNumberFormat="1" applyFont="1" applyBorder="1" applyAlignment="1" applyProtection="1">
      <alignment horizontal="center"/>
      <protection/>
    </xf>
    <xf numFmtId="164" fontId="62" fillId="3" borderId="85" xfId="23" applyNumberFormat="1" applyFont="1" applyFill="1" applyBorder="1" applyAlignment="1" applyProtection="1">
      <alignment horizontal="center"/>
      <protection/>
    </xf>
    <xf numFmtId="2" fontId="94" fillId="7" borderId="122" xfId="23" applyNumberFormat="1" applyFont="1" applyFill="1" applyBorder="1" applyAlignment="1">
      <alignment horizontal="center"/>
      <protection/>
    </xf>
    <xf numFmtId="166" fontId="68" fillId="14" borderId="124" xfId="23" applyNumberFormat="1" applyFont="1" applyFill="1" applyBorder="1" applyAlignment="1" applyProtection="1" quotePrefix="1">
      <alignment horizontal="center"/>
      <protection/>
    </xf>
    <xf numFmtId="166" fontId="68" fillId="14" borderId="126" xfId="23" applyNumberFormat="1" applyFont="1" applyFill="1" applyBorder="1" applyAlignment="1" applyProtection="1" quotePrefix="1">
      <alignment horizontal="center"/>
      <protection/>
    </xf>
    <xf numFmtId="166" fontId="72" fillId="5" borderId="122" xfId="23" applyNumberFormat="1" applyFont="1" applyFill="1" applyBorder="1" applyAlignment="1" applyProtection="1" quotePrefix="1">
      <alignment horizontal="center"/>
      <protection/>
    </xf>
    <xf numFmtId="0" fontId="16" fillId="19" borderId="122" xfId="23" applyFont="1" applyFill="1" applyBorder="1" applyProtection="1">
      <alignment/>
      <protection locked="0"/>
    </xf>
    <xf numFmtId="0" fontId="16" fillId="19" borderId="125" xfId="23" applyFont="1" applyFill="1" applyBorder="1" applyProtection="1">
      <alignment/>
      <protection locked="0"/>
    </xf>
    <xf numFmtId="0" fontId="16" fillId="18" borderId="125" xfId="23" applyFont="1" applyFill="1" applyBorder="1">
      <alignment/>
      <protection/>
    </xf>
    <xf numFmtId="0" fontId="16" fillId="0" borderId="127" xfId="23" applyFont="1" applyFill="1" applyBorder="1">
      <alignment/>
      <protection/>
    </xf>
    <xf numFmtId="0" fontId="16" fillId="20" borderId="125" xfId="23" applyFont="1" applyFill="1" applyBorder="1">
      <alignment/>
      <protection/>
    </xf>
    <xf numFmtId="180" fontId="4" fillId="0" borderId="122" xfId="23" applyNumberFormat="1" applyFont="1" applyFill="1" applyBorder="1" applyAlignment="1" applyProtection="1" quotePrefix="1">
      <alignment horizontal="center"/>
      <protection/>
    </xf>
    <xf numFmtId="166" fontId="18" fillId="0" borderId="122" xfId="23" applyNumberFormat="1" applyFont="1" applyFill="1" applyBorder="1" applyAlignment="1">
      <alignment horizontal="center"/>
      <protection/>
    </xf>
    <xf numFmtId="0" fontId="4" fillId="0" borderId="106" xfId="23" applyFont="1" applyBorder="1" applyAlignment="1">
      <alignment horizontal="center"/>
      <protection/>
    </xf>
    <xf numFmtId="0" fontId="6" fillId="19" borderId="128" xfId="21" applyFont="1" applyFill="1" applyBorder="1" applyAlignment="1" applyProtection="1">
      <alignment horizontal="center"/>
      <protection locked="0"/>
    </xf>
    <xf numFmtId="0" fontId="6" fillId="19" borderId="106" xfId="21" applyFont="1" applyFill="1" applyBorder="1" applyAlignment="1" applyProtection="1">
      <alignment horizontal="center"/>
      <protection locked="0"/>
    </xf>
    <xf numFmtId="169" fontId="62" fillId="3" borderId="106" xfId="23" applyNumberFormat="1" applyFont="1" applyFill="1" applyBorder="1" applyAlignment="1" applyProtection="1">
      <alignment horizontal="center"/>
      <protection/>
    </xf>
    <xf numFmtId="22" fontId="4" fillId="19" borderId="129" xfId="21" applyNumberFormat="1" applyFont="1" applyFill="1" applyBorder="1" applyAlignment="1" applyProtection="1">
      <alignment horizontal="center"/>
      <protection locked="0"/>
    </xf>
    <xf numFmtId="22" fontId="4" fillId="19" borderId="106" xfId="21" applyNumberFormat="1" applyFont="1" applyFill="1" applyBorder="1" applyAlignment="1" applyProtection="1">
      <alignment horizontal="center"/>
      <protection locked="0"/>
    </xf>
    <xf numFmtId="2" fontId="4" fillId="0" borderId="106" xfId="23" applyNumberFormat="1" applyFont="1" applyFill="1" applyBorder="1" applyAlignment="1" applyProtection="1" quotePrefix="1">
      <alignment horizontal="center"/>
      <protection/>
    </xf>
    <xf numFmtId="168" fontId="4" fillId="0" borderId="107" xfId="23" applyNumberFormat="1" applyFont="1" applyBorder="1" applyAlignment="1" applyProtection="1" quotePrefix="1">
      <alignment horizontal="center"/>
      <protection/>
    </xf>
    <xf numFmtId="166" fontId="4" fillId="0" borderId="106" xfId="23" applyNumberFormat="1" applyFont="1" applyBorder="1" applyAlignment="1" applyProtection="1">
      <alignment horizontal="center"/>
      <protection/>
    </xf>
    <xf numFmtId="164" fontId="62" fillId="3" borderId="108" xfId="23" applyNumberFormat="1" applyFont="1" applyFill="1" applyBorder="1" applyAlignment="1" applyProtection="1">
      <alignment horizontal="center"/>
      <protection/>
    </xf>
    <xf numFmtId="2" fontId="94" fillId="7" borderId="106" xfId="23" applyNumberFormat="1" applyFont="1" applyFill="1" applyBorder="1" applyAlignment="1">
      <alignment horizontal="center"/>
      <protection/>
    </xf>
    <xf numFmtId="166" fontId="68" fillId="14" borderId="129" xfId="23" applyNumberFormat="1" applyFont="1" applyFill="1" applyBorder="1" applyAlignment="1" applyProtection="1" quotePrefix="1">
      <alignment horizontal="center"/>
      <protection/>
    </xf>
    <xf numFmtId="166" fontId="68" fillId="14" borderId="130" xfId="23" applyNumberFormat="1" applyFont="1" applyFill="1" applyBorder="1" applyAlignment="1" applyProtection="1" quotePrefix="1">
      <alignment horizontal="center"/>
      <protection/>
    </xf>
    <xf numFmtId="166" fontId="72" fillId="5" borderId="106" xfId="23" applyNumberFormat="1" applyFont="1" applyFill="1" applyBorder="1" applyAlignment="1" applyProtection="1" quotePrefix="1">
      <alignment horizontal="center"/>
      <protection/>
    </xf>
    <xf numFmtId="178" fontId="16" fillId="19" borderId="106" xfId="23" applyNumberFormat="1" applyFont="1" applyFill="1" applyBorder="1" applyAlignment="1" applyProtection="1">
      <alignment horizontal="right"/>
      <protection locked="0"/>
    </xf>
    <xf numFmtId="180" fontId="4" fillId="0" borderId="106" xfId="23" applyNumberFormat="1" applyFont="1" applyFill="1" applyBorder="1" applyAlignment="1" applyProtection="1" quotePrefix="1">
      <alignment horizontal="center"/>
      <protection/>
    </xf>
    <xf numFmtId="0" fontId="4" fillId="0" borderId="1" xfId="23" applyFont="1" applyBorder="1" applyAlignment="1">
      <alignment horizontal="center"/>
      <protection/>
    </xf>
    <xf numFmtId="0" fontId="6" fillId="19" borderId="3" xfId="23" applyFont="1" applyFill="1" applyBorder="1" applyAlignment="1" applyProtection="1">
      <alignment horizontal="center"/>
      <protection locked="0"/>
    </xf>
    <xf numFmtId="0" fontId="6" fillId="19" borderId="5" xfId="23" applyFont="1" applyFill="1" applyBorder="1" applyAlignment="1" applyProtection="1">
      <alignment horizontal="center"/>
      <protection locked="0"/>
    </xf>
    <xf numFmtId="0" fontId="6" fillId="19" borderId="1" xfId="23" applyFont="1" applyFill="1" applyBorder="1" applyAlignment="1" applyProtection="1">
      <alignment horizontal="center"/>
      <protection locked="0"/>
    </xf>
    <xf numFmtId="169" fontId="62" fillId="3" borderId="1" xfId="23" applyNumberFormat="1" applyFont="1" applyFill="1" applyBorder="1" applyAlignment="1" applyProtection="1">
      <alignment horizontal="center"/>
      <protection/>
    </xf>
    <xf numFmtId="22" fontId="4" fillId="19" borderId="14" xfId="23" applyNumberFormat="1" applyFont="1" applyFill="1" applyBorder="1" applyAlignment="1" applyProtection="1">
      <alignment horizontal="center"/>
      <protection locked="0"/>
    </xf>
    <xf numFmtId="22" fontId="4" fillId="19" borderId="5" xfId="23" applyNumberFormat="1" applyFont="1" applyFill="1" applyBorder="1" applyAlignment="1" applyProtection="1">
      <alignment horizontal="center"/>
      <protection locked="0"/>
    </xf>
    <xf numFmtId="2" fontId="4" fillId="0" borderId="1" xfId="23" applyNumberFormat="1" applyFont="1" applyFill="1" applyBorder="1" applyAlignment="1" applyProtection="1" quotePrefix="1">
      <alignment horizontal="center"/>
      <protection/>
    </xf>
    <xf numFmtId="164" fontId="4" fillId="0" borderId="1" xfId="23" applyNumberFormat="1" applyFont="1" applyFill="1" applyBorder="1" applyAlignment="1" applyProtection="1" quotePrefix="1">
      <alignment horizontal="center"/>
      <protection/>
    </xf>
    <xf numFmtId="166" fontId="4" fillId="19" borderId="2" xfId="23" applyNumberFormat="1" applyFont="1" applyFill="1" applyBorder="1" applyAlignment="1" applyProtection="1">
      <alignment horizontal="center"/>
      <protection locked="0"/>
    </xf>
    <xf numFmtId="168" fontId="4" fillId="0" borderId="2" xfId="23" applyNumberFormat="1" applyFont="1" applyBorder="1" applyAlignment="1" applyProtection="1" quotePrefix="1">
      <alignment horizontal="center"/>
      <protection/>
    </xf>
    <xf numFmtId="166" fontId="4" fillId="0" borderId="1" xfId="23" applyNumberFormat="1" applyFont="1" applyBorder="1" applyAlignment="1" applyProtection="1">
      <alignment horizontal="center"/>
      <protection/>
    </xf>
    <xf numFmtId="164" fontId="62" fillId="3" borderId="3" xfId="23" applyNumberFormat="1" applyFont="1" applyFill="1" applyBorder="1" applyAlignment="1" applyProtection="1">
      <alignment horizontal="center"/>
      <protection/>
    </xf>
    <xf numFmtId="2" fontId="94" fillId="7" borderId="1" xfId="23" applyNumberFormat="1" applyFont="1" applyFill="1" applyBorder="1" applyAlignment="1">
      <alignment horizontal="center"/>
      <protection/>
    </xf>
    <xf numFmtId="166" fontId="68" fillId="14" borderId="20" xfId="23" applyNumberFormat="1" applyFont="1" applyFill="1" applyBorder="1" applyAlignment="1" applyProtection="1" quotePrefix="1">
      <alignment horizontal="center"/>
      <protection/>
    </xf>
    <xf numFmtId="166" fontId="68" fillId="14" borderId="11" xfId="23" applyNumberFormat="1" applyFont="1" applyFill="1" applyBorder="1" applyAlignment="1" applyProtection="1" quotePrefix="1">
      <alignment horizontal="center"/>
      <protection/>
    </xf>
    <xf numFmtId="166" fontId="72" fillId="5" borderId="6" xfId="23" applyNumberFormat="1" applyFont="1" applyFill="1" applyBorder="1" applyAlignment="1" applyProtection="1" quotePrefix="1">
      <alignment horizontal="center"/>
      <protection/>
    </xf>
    <xf numFmtId="180" fontId="4" fillId="0" borderId="1" xfId="23" applyNumberFormat="1" applyFont="1" applyFill="1" applyBorder="1" applyAlignment="1" applyProtection="1" quotePrefix="1">
      <alignment horizontal="center"/>
      <protection/>
    </xf>
    <xf numFmtId="4" fontId="16" fillId="0" borderId="2" xfId="23" applyNumberFormat="1" applyFont="1" applyFill="1" applyBorder="1" applyAlignment="1">
      <alignment horizontal="right"/>
      <protection/>
    </xf>
    <xf numFmtId="0" fontId="4" fillId="0" borderId="104" xfId="23" applyFont="1" applyBorder="1" applyAlignment="1">
      <alignment horizontal="center"/>
      <protection/>
    </xf>
    <xf numFmtId="0" fontId="6" fillId="19" borderId="100" xfId="23" applyFont="1" applyFill="1" applyBorder="1" applyAlignment="1" applyProtection="1">
      <alignment horizontal="center"/>
      <protection locked="0"/>
    </xf>
    <xf numFmtId="0" fontId="6" fillId="19" borderId="131" xfId="23" applyFont="1" applyFill="1" applyBorder="1" applyAlignment="1" applyProtection="1">
      <alignment horizontal="center"/>
      <protection locked="0"/>
    </xf>
    <xf numFmtId="0" fontId="6" fillId="19" borderId="104" xfId="23" applyFont="1" applyFill="1" applyBorder="1" applyAlignment="1" applyProtection="1">
      <alignment horizontal="center"/>
      <protection locked="0"/>
    </xf>
    <xf numFmtId="169" fontId="62" fillId="3" borderId="104" xfId="23" applyNumberFormat="1" applyFont="1" applyFill="1" applyBorder="1" applyAlignment="1" applyProtection="1">
      <alignment horizontal="center"/>
      <protection/>
    </xf>
    <xf numFmtId="22" fontId="4" fillId="19" borderId="132" xfId="23" applyNumberFormat="1" applyFont="1" applyFill="1" applyBorder="1" applyAlignment="1" applyProtection="1">
      <alignment horizontal="center"/>
      <protection locked="0"/>
    </xf>
    <xf numFmtId="22" fontId="4" fillId="19" borderId="131" xfId="23" applyNumberFormat="1" applyFont="1" applyFill="1" applyBorder="1" applyAlignment="1" applyProtection="1">
      <alignment horizontal="center"/>
      <protection locked="0"/>
    </xf>
    <xf numFmtId="2" fontId="4" fillId="0" borderId="104" xfId="23" applyNumberFormat="1" applyFont="1" applyFill="1" applyBorder="1" applyAlignment="1" applyProtection="1" quotePrefix="1">
      <alignment horizontal="center"/>
      <protection/>
    </xf>
    <xf numFmtId="164" fontId="4" fillId="0" borderId="104" xfId="23" applyNumberFormat="1" applyFont="1" applyFill="1" applyBorder="1" applyAlignment="1" applyProtection="1" quotePrefix="1">
      <alignment horizontal="center"/>
      <protection/>
    </xf>
    <xf numFmtId="166" fontId="4" fillId="19" borderId="133" xfId="23" applyNumberFormat="1" applyFont="1" applyFill="1" applyBorder="1" applyAlignment="1" applyProtection="1">
      <alignment horizontal="center"/>
      <protection locked="0"/>
    </xf>
    <xf numFmtId="168" fontId="4" fillId="0" borderId="133" xfId="23" applyNumberFormat="1" applyFont="1" applyBorder="1" applyAlignment="1" applyProtection="1" quotePrefix="1">
      <alignment horizontal="center"/>
      <protection/>
    </xf>
    <xf numFmtId="166" fontId="4" fillId="0" borderId="104" xfId="23" applyNumberFormat="1" applyFont="1" applyBorder="1" applyAlignment="1" applyProtection="1">
      <alignment horizontal="center"/>
      <protection/>
    </xf>
    <xf numFmtId="164" fontId="62" fillId="3" borderId="100" xfId="23" applyNumberFormat="1" applyFont="1" applyFill="1" applyBorder="1" applyAlignment="1" applyProtection="1">
      <alignment horizontal="center"/>
      <protection/>
    </xf>
    <xf numFmtId="2" fontId="94" fillId="7" borderId="104" xfId="23" applyNumberFormat="1" applyFont="1" applyFill="1" applyBorder="1" applyAlignment="1">
      <alignment horizontal="center"/>
      <protection/>
    </xf>
    <xf numFmtId="166" fontId="68" fillId="14" borderId="134" xfId="23" applyNumberFormat="1" applyFont="1" applyFill="1" applyBorder="1" applyAlignment="1" applyProtection="1" quotePrefix="1">
      <alignment horizontal="center"/>
      <protection/>
    </xf>
    <xf numFmtId="166" fontId="68" fillId="14" borderId="135" xfId="23" applyNumberFormat="1" applyFont="1" applyFill="1" applyBorder="1" applyAlignment="1" applyProtection="1" quotePrefix="1">
      <alignment horizontal="center"/>
      <protection/>
    </xf>
    <xf numFmtId="166" fontId="72" fillId="5" borderId="111" xfId="23" applyNumberFormat="1" applyFont="1" applyFill="1" applyBorder="1" applyAlignment="1" applyProtection="1" quotePrefix="1">
      <alignment horizontal="center"/>
      <protection/>
    </xf>
    <xf numFmtId="167" fontId="16" fillId="18" borderId="133" xfId="23" applyNumberFormat="1" applyFont="1" applyFill="1" applyBorder="1" applyAlignment="1">
      <alignment horizontal="center"/>
      <protection/>
    </xf>
    <xf numFmtId="4" fontId="16" fillId="18" borderId="111" xfId="23" applyNumberFormat="1" applyFont="1" applyFill="1" applyBorder="1" applyAlignment="1">
      <alignment horizontal="right"/>
      <protection/>
    </xf>
    <xf numFmtId="4" fontId="16" fillId="18" borderId="112" xfId="23" applyNumberFormat="1" applyFont="1" applyFill="1" applyBorder="1" applyAlignment="1">
      <alignment horizontal="right"/>
      <protection/>
    </xf>
    <xf numFmtId="180" fontId="4" fillId="0" borderId="104" xfId="23" applyNumberFormat="1" applyFont="1" applyFill="1" applyBorder="1" applyAlignment="1" applyProtection="1" quotePrefix="1">
      <alignment horizontal="center"/>
      <protection/>
    </xf>
    <xf numFmtId="4" fontId="16" fillId="0" borderId="133" xfId="23" applyNumberFormat="1" applyFont="1" applyFill="1" applyBorder="1" applyAlignment="1">
      <alignment horizontal="right"/>
      <protection/>
    </xf>
    <xf numFmtId="2" fontId="4" fillId="0" borderId="33" xfId="23" applyNumberFormat="1" applyFont="1" applyFill="1" applyBorder="1" applyAlignment="1" applyProtection="1" quotePrefix="1">
      <alignment horizontal="center"/>
      <protection/>
    </xf>
    <xf numFmtId="0" fontId="6" fillId="19" borderId="108" xfId="23" applyFont="1" applyFill="1" applyBorder="1" applyAlignment="1" applyProtection="1">
      <alignment horizontal="center"/>
      <protection locked="0"/>
    </xf>
    <xf numFmtId="0" fontId="6" fillId="19" borderId="128" xfId="23" applyFont="1" applyFill="1" applyBorder="1" applyAlignment="1" applyProtection="1">
      <alignment horizontal="center"/>
      <protection locked="0"/>
    </xf>
    <xf numFmtId="0" fontId="6" fillId="19" borderId="106" xfId="23" applyFont="1" applyFill="1" applyBorder="1" applyAlignment="1" applyProtection="1">
      <alignment horizontal="center"/>
      <protection locked="0"/>
    </xf>
    <xf numFmtId="22" fontId="4" fillId="19" borderId="129" xfId="23" applyNumberFormat="1" applyFont="1" applyFill="1" applyBorder="1" applyAlignment="1" applyProtection="1">
      <alignment horizontal="center"/>
      <protection locked="0"/>
    </xf>
    <xf numFmtId="22" fontId="4" fillId="19" borderId="128" xfId="23" applyNumberFormat="1" applyFont="1" applyFill="1" applyBorder="1" applyAlignment="1" applyProtection="1">
      <alignment horizontal="center"/>
      <protection locked="0"/>
    </xf>
    <xf numFmtId="167" fontId="16" fillId="18" borderId="116" xfId="23" applyNumberFormat="1" applyFont="1" applyFill="1" applyBorder="1" applyAlignment="1">
      <alignment horizontal="center"/>
      <protection/>
    </xf>
    <xf numFmtId="0" fontId="6" fillId="19" borderId="17" xfId="23" applyFont="1" applyFill="1" applyBorder="1" applyAlignment="1" applyProtection="1">
      <alignment horizontal="center"/>
      <protection/>
    </xf>
    <xf numFmtId="0" fontId="6" fillId="19" borderId="15" xfId="23" applyFont="1" applyFill="1" applyBorder="1" applyAlignment="1" applyProtection="1">
      <alignment horizontal="center"/>
      <protection/>
    </xf>
    <xf numFmtId="0" fontId="6" fillId="19" borderId="7" xfId="23" applyFont="1" applyFill="1" applyBorder="1" applyAlignment="1" applyProtection="1">
      <alignment horizontal="center"/>
      <protection/>
    </xf>
    <xf numFmtId="166" fontId="62" fillId="3" borderId="7" xfId="23" applyNumberFormat="1" applyFont="1" applyFill="1" applyBorder="1" applyAlignment="1" applyProtection="1">
      <alignment horizontal="center"/>
      <protection/>
    </xf>
    <xf numFmtId="166" fontId="4" fillId="19" borderId="13" xfId="23" applyNumberFormat="1" applyFont="1" applyFill="1" applyBorder="1" applyAlignment="1" applyProtection="1">
      <alignment horizontal="center"/>
      <protection/>
    </xf>
    <xf numFmtId="166" fontId="4" fillId="0" borderId="13" xfId="23" applyNumberFormat="1" applyFont="1" applyBorder="1" applyAlignment="1" applyProtection="1">
      <alignment horizontal="center"/>
      <protection/>
    </xf>
    <xf numFmtId="168" fontId="4" fillId="0" borderId="7" xfId="23" applyNumberFormat="1" applyFont="1" applyBorder="1" applyAlignment="1" applyProtection="1" quotePrefix="1">
      <alignment horizontal="center"/>
      <protection/>
    </xf>
    <xf numFmtId="166" fontId="4" fillId="0" borderId="7" xfId="23" applyNumberFormat="1" applyFont="1" applyBorder="1" applyAlignment="1" applyProtection="1">
      <alignment horizontal="center"/>
      <protection/>
    </xf>
    <xf numFmtId="164" fontId="62" fillId="3" borderId="17" xfId="23" applyNumberFormat="1" applyFont="1" applyFill="1" applyBorder="1" applyAlignment="1" applyProtection="1">
      <alignment horizontal="center"/>
      <protection/>
    </xf>
    <xf numFmtId="2" fontId="94" fillId="7" borderId="7" xfId="23" applyNumberFormat="1" applyFont="1" applyFill="1" applyBorder="1" applyAlignment="1">
      <alignment horizontal="center"/>
      <protection/>
    </xf>
    <xf numFmtId="166" fontId="68" fillId="14" borderId="43" xfId="23" applyNumberFormat="1" applyFont="1" applyFill="1" applyBorder="1" applyAlignment="1" applyProtection="1" quotePrefix="1">
      <alignment horizontal="center"/>
      <protection/>
    </xf>
    <xf numFmtId="166" fontId="68" fillId="14" borderId="45" xfId="23" applyNumberFormat="1" applyFont="1" applyFill="1" applyBorder="1" applyAlignment="1" applyProtection="1" quotePrefix="1">
      <alignment horizontal="center"/>
      <protection/>
    </xf>
    <xf numFmtId="166" fontId="72" fillId="5" borderId="7" xfId="23" applyNumberFormat="1" applyFont="1" applyFill="1" applyBorder="1" applyAlignment="1" applyProtection="1" quotePrefix="1">
      <alignment horizontal="center"/>
      <protection/>
    </xf>
    <xf numFmtId="166" fontId="68" fillId="14" borderId="14" xfId="23" applyNumberFormat="1" applyFont="1" applyFill="1" applyBorder="1" applyAlignment="1" applyProtection="1" quotePrefix="1">
      <alignment horizontal="center"/>
      <protection/>
    </xf>
    <xf numFmtId="166" fontId="68" fillId="14" borderId="56" xfId="23" applyNumberFormat="1" applyFont="1" applyFill="1" applyBorder="1" applyAlignment="1" applyProtection="1" quotePrefix="1">
      <alignment horizontal="center"/>
      <protection/>
    </xf>
    <xf numFmtId="166" fontId="72" fillId="5" borderId="1" xfId="23" applyNumberFormat="1" applyFont="1" applyFill="1" applyBorder="1" applyAlignment="1" applyProtection="1" quotePrefix="1">
      <alignment horizontal="center"/>
      <protection/>
    </xf>
    <xf numFmtId="180" fontId="4" fillId="0" borderId="35" xfId="23" applyNumberFormat="1" applyFont="1" applyFill="1" applyBorder="1" applyAlignment="1" applyProtection="1" quotePrefix="1">
      <alignment horizontal="center"/>
      <protection/>
    </xf>
    <xf numFmtId="166" fontId="4" fillId="0" borderId="136" xfId="23" applyNumberFormat="1" applyFont="1" applyBorder="1" applyAlignment="1" applyProtection="1">
      <alignment horizontal="center"/>
      <protection/>
    </xf>
    <xf numFmtId="4" fontId="94" fillId="7" borderId="18" xfId="23" applyNumberFormat="1" applyFont="1" applyFill="1" applyBorder="1" applyAlignment="1">
      <alignment horizontal="center"/>
      <protection/>
    </xf>
    <xf numFmtId="4" fontId="68" fillId="14" borderId="52" xfId="23" applyNumberFormat="1" applyFont="1" applyFill="1" applyBorder="1" applyAlignment="1">
      <alignment horizontal="center"/>
      <protection/>
    </xf>
    <xf numFmtId="4" fontId="68" fillId="14" borderId="27" xfId="23" applyNumberFormat="1" applyFont="1" applyFill="1" applyBorder="1" applyAlignment="1">
      <alignment horizontal="center"/>
      <protection/>
    </xf>
    <xf numFmtId="4" fontId="72" fillId="5" borderId="18" xfId="23" applyNumberFormat="1" applyFont="1" applyFill="1" applyBorder="1" applyAlignment="1">
      <alignment horizontal="center"/>
      <protection/>
    </xf>
    <xf numFmtId="4" fontId="72" fillId="5" borderId="26" xfId="23" applyNumberFormat="1" applyFont="1" applyFill="1" applyBorder="1" applyAlignment="1">
      <alignment horizontal="center"/>
      <protection/>
    </xf>
    <xf numFmtId="166" fontId="72" fillId="0" borderId="38" xfId="23" applyNumberFormat="1" applyFont="1" applyFill="1" applyBorder="1" applyAlignment="1" applyProtection="1" quotePrefix="1">
      <alignment horizontal="center"/>
      <protection/>
    </xf>
    <xf numFmtId="0" fontId="41" fillId="0" borderId="0" xfId="23" applyFont="1" applyBorder="1" applyAlignment="1">
      <alignment horizontal="center"/>
      <protection/>
    </xf>
    <xf numFmtId="0" fontId="43" fillId="0" borderId="0" xfId="23" applyFont="1" applyBorder="1" applyAlignment="1" applyProtection="1">
      <alignment horizontal="left" vertical="top"/>
      <protection/>
    </xf>
    <xf numFmtId="0" fontId="41" fillId="0" borderId="0" xfId="23" applyFont="1">
      <alignment/>
      <protection/>
    </xf>
    <xf numFmtId="0" fontId="41" fillId="0" borderId="0" xfId="23" applyFont="1" applyBorder="1">
      <alignment/>
      <protection/>
    </xf>
    <xf numFmtId="4" fontId="47" fillId="0" borderId="0" xfId="23" applyNumberFormat="1" applyFont="1" applyFill="1" applyBorder="1" applyAlignment="1">
      <alignment horizontal="center"/>
      <protection/>
    </xf>
    <xf numFmtId="4" fontId="72" fillId="0" borderId="0" xfId="23" applyNumberFormat="1" applyFont="1" applyFill="1" applyBorder="1" applyAlignment="1">
      <alignment horizontal="center"/>
      <protection/>
    </xf>
    <xf numFmtId="0" fontId="41" fillId="0" borderId="24" xfId="23" applyFont="1" applyBorder="1">
      <alignment/>
      <protection/>
    </xf>
    <xf numFmtId="0" fontId="0" fillId="0" borderId="0" xfId="23" applyFill="1" applyBorder="1">
      <alignment/>
      <protection/>
    </xf>
    <xf numFmtId="7" fontId="46" fillId="0" borderId="0" xfId="23" applyNumberFormat="1" applyFont="1" applyFill="1" applyBorder="1" applyAlignment="1">
      <alignment horizontal="right"/>
      <protection/>
    </xf>
    <xf numFmtId="0" fontId="41" fillId="0" borderId="25" xfId="23" applyFont="1" applyBorder="1">
      <alignment/>
      <protection/>
    </xf>
    <xf numFmtId="0" fontId="0" fillId="0" borderId="0" xfId="23" applyFont="1" applyBorder="1">
      <alignment/>
      <protection/>
    </xf>
    <xf numFmtId="0" fontId="8" fillId="0" borderId="29" xfId="23" applyFont="1" applyBorder="1">
      <alignment/>
      <protection/>
    </xf>
    <xf numFmtId="0" fontId="0" fillId="0" borderId="29" xfId="23" applyBorder="1">
      <alignment/>
      <protection/>
    </xf>
    <xf numFmtId="0" fontId="0" fillId="0" borderId="29" xfId="23" applyFill="1" applyBorder="1">
      <alignment/>
      <protection/>
    </xf>
    <xf numFmtId="0" fontId="8" fillId="0" borderId="0" xfId="23" applyFont="1" applyBorder="1">
      <alignment/>
      <protection/>
    </xf>
    <xf numFmtId="0" fontId="8" fillId="0" borderId="0" xfId="23" applyFont="1">
      <alignment/>
      <protection/>
    </xf>
    <xf numFmtId="0" fontId="8" fillId="0" borderId="0" xfId="23" applyFont="1" applyFill="1">
      <alignment/>
      <protection/>
    </xf>
    <xf numFmtId="0" fontId="50" fillId="18" borderId="0" xfId="21" applyFont="1" applyFill="1">
      <alignment/>
      <protection/>
    </xf>
    <xf numFmtId="0" fontId="50" fillId="0" borderId="119" xfId="21" applyFont="1" applyBorder="1">
      <alignment/>
      <protection/>
    </xf>
    <xf numFmtId="0" fontId="50" fillId="0" borderId="0" xfId="21" applyFont="1">
      <alignment/>
      <protection/>
    </xf>
    <xf numFmtId="0" fontId="50" fillId="19" borderId="0" xfId="21" applyFont="1" applyFill="1">
      <alignment/>
      <protection/>
    </xf>
    <xf numFmtId="0" fontId="120" fillId="18" borderId="79" xfId="21" applyFont="1" applyFill="1" applyBorder="1" applyAlignment="1">
      <alignment vertical="center"/>
      <protection/>
    </xf>
    <xf numFmtId="0" fontId="120" fillId="18" borderId="4" xfId="21" applyFont="1" applyFill="1" applyBorder="1" applyAlignment="1">
      <alignment vertical="center"/>
      <protection/>
    </xf>
    <xf numFmtId="4" fontId="16" fillId="0" borderId="36" xfId="23" applyNumberFormat="1" applyFont="1" applyFill="1" applyBorder="1" applyAlignment="1">
      <alignment horizontal="right"/>
      <protection/>
    </xf>
    <xf numFmtId="7" fontId="12" fillId="0" borderId="16" xfId="23" applyNumberFormat="1" applyFont="1" applyFill="1" applyBorder="1" applyAlignment="1">
      <alignment horizontal="right"/>
      <protection/>
    </xf>
    <xf numFmtId="169" fontId="62" fillId="3" borderId="6" xfId="0" applyNumberFormat="1" applyFont="1" applyFill="1" applyBorder="1" applyAlignment="1" applyProtection="1">
      <alignment horizontal="center"/>
      <protection/>
    </xf>
    <xf numFmtId="168" fontId="4" fillId="0" borderId="10" xfId="0" applyNumberFormat="1" applyFont="1" applyBorder="1" applyAlignment="1" applyProtection="1" quotePrefix="1">
      <alignment horizontal="center"/>
      <protection/>
    </xf>
    <xf numFmtId="4" fontId="18" fillId="0" borderId="6" xfId="0" applyNumberFormat="1" applyFont="1" applyFill="1" applyBorder="1" applyAlignment="1">
      <alignment horizontal="right"/>
    </xf>
    <xf numFmtId="0" fontId="116" fillId="23" borderId="77" xfId="21" applyFont="1" applyFill="1" applyBorder="1" applyAlignment="1">
      <alignment horizontal="center" wrapText="1"/>
      <protection/>
    </xf>
    <xf numFmtId="0" fontId="116" fillId="23" borderId="85" xfId="21" applyFont="1" applyFill="1" applyBorder="1" applyAlignment="1">
      <alignment horizontal="center"/>
      <protection/>
    </xf>
    <xf numFmtId="0" fontId="116" fillId="23" borderId="137" xfId="21" applyFont="1" applyFill="1" applyBorder="1" applyAlignment="1">
      <alignment horizontal="center" wrapText="1"/>
      <protection/>
    </xf>
    <xf numFmtId="0" fontId="116" fillId="23" borderId="3" xfId="21" applyFont="1" applyFill="1" applyBorder="1" applyAlignment="1">
      <alignment horizontal="center"/>
      <protection/>
    </xf>
    <xf numFmtId="0" fontId="4" fillId="2" borderId="138" xfId="23" applyFont="1" applyFill="1" applyBorder="1" applyAlignment="1">
      <alignment horizontal="center" vertical="center" textRotation="90"/>
      <protection/>
    </xf>
    <xf numFmtId="0" fontId="4" fillId="2" borderId="35" xfId="23" applyFont="1" applyFill="1" applyBorder="1" applyAlignment="1">
      <alignment horizontal="center" vertical="center" textRotation="90"/>
      <protection/>
    </xf>
    <xf numFmtId="0" fontId="4" fillId="2" borderId="104" xfId="23" applyFont="1" applyFill="1" applyBorder="1" applyAlignment="1">
      <alignment horizontal="center" vertical="center" textRotation="90"/>
      <protection/>
    </xf>
    <xf numFmtId="7" fontId="16" fillId="0" borderId="3" xfId="0" applyNumberFormat="1" applyFont="1" applyFill="1" applyBorder="1" applyAlignment="1">
      <alignment horizontal="center"/>
    </xf>
    <xf numFmtId="7" fontId="16" fillId="0" borderId="0" xfId="0" applyNumberFormat="1" applyFont="1" applyFill="1" applyBorder="1" applyAlignment="1">
      <alignment horizontal="center"/>
    </xf>
    <xf numFmtId="166" fontId="4" fillId="0" borderId="19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168" fontId="12" fillId="0" borderId="0" xfId="0" applyNumberFormat="1" applyFont="1" applyBorder="1" applyAlignment="1" applyProtection="1">
      <alignment horizontal="center"/>
      <protection/>
    </xf>
    <xf numFmtId="173" fontId="16" fillId="0" borderId="0" xfId="0" applyNumberFormat="1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líneas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447675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66675</xdr:rowOff>
    </xdr:from>
    <xdr:to>
      <xdr:col>1</xdr:col>
      <xdr:colOff>447675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371475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CE15">
            <v>36586</v>
          </cell>
          <cell r="CF15">
            <v>36617</v>
          </cell>
          <cell r="CG15">
            <v>36647</v>
          </cell>
          <cell r="CH15">
            <v>36678</v>
          </cell>
          <cell r="CI15">
            <v>36708</v>
          </cell>
          <cell r="CJ15">
            <v>36739</v>
          </cell>
          <cell r="CK15">
            <v>36770</v>
          </cell>
          <cell r="CL15">
            <v>36800</v>
          </cell>
          <cell r="CM15">
            <v>36831</v>
          </cell>
          <cell r="CN15">
            <v>36861</v>
          </cell>
          <cell r="CO15">
            <v>36892</v>
          </cell>
          <cell r="CP15">
            <v>36923</v>
          </cell>
          <cell r="CQ15">
            <v>36951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CF17">
            <v>1</v>
          </cell>
          <cell r="CK17">
            <v>1</v>
          </cell>
          <cell r="CN17">
            <v>1</v>
          </cell>
          <cell r="CO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CH18">
            <v>1</v>
          </cell>
          <cell r="CJ18">
            <v>1</v>
          </cell>
          <cell r="CN18">
            <v>2</v>
          </cell>
          <cell r="CO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  <cell r="CJ19">
            <v>1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77.2</v>
          </cell>
          <cell r="G20" t="str">
            <v>C</v>
          </cell>
          <cell r="CO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77.1</v>
          </cell>
          <cell r="G21" t="str">
            <v>C</v>
          </cell>
          <cell r="CL21">
            <v>1</v>
          </cell>
          <cell r="CN21">
            <v>4</v>
          </cell>
          <cell r="CO21">
            <v>2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A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348</v>
          </cell>
          <cell r="G24" t="str">
            <v>B</v>
          </cell>
          <cell r="CK24">
            <v>1</v>
          </cell>
          <cell r="CM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CM25">
            <v>1</v>
          </cell>
          <cell r="CO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CE26">
            <v>3</v>
          </cell>
          <cell r="CM26">
            <v>1</v>
          </cell>
          <cell r="CO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166</v>
          </cell>
          <cell r="G27" t="str">
            <v>A</v>
          </cell>
          <cell r="C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  <cell r="CK28">
            <v>1</v>
          </cell>
          <cell r="CM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CI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CM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CM35">
            <v>1</v>
          </cell>
          <cell r="CO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5.4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5.3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CE38">
            <v>1</v>
          </cell>
          <cell r="CF38">
            <v>1</v>
          </cell>
          <cell r="CI38">
            <v>1</v>
          </cell>
          <cell r="CK38">
            <v>2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  <cell r="CO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  <cell r="CO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CI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CI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70</v>
          </cell>
          <cell r="G45" t="str">
            <v>A</v>
          </cell>
          <cell r="CO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CL46">
            <v>3</v>
          </cell>
          <cell r="CM46" t="str">
            <v>XXXX</v>
          </cell>
          <cell r="CN46" t="str">
            <v>XXXX</v>
          </cell>
          <cell r="CO46" t="str">
            <v>XXXX</v>
          </cell>
          <cell r="CP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CH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CO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163.9</v>
          </cell>
          <cell r="G51" t="str">
            <v>A</v>
          </cell>
          <cell r="CO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164.1</v>
          </cell>
          <cell r="G52" t="str">
            <v>A</v>
          </cell>
          <cell r="CK52">
            <v>1</v>
          </cell>
          <cell r="CM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CK53">
            <v>1</v>
          </cell>
          <cell r="CL53">
            <v>1</v>
          </cell>
          <cell r="CM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CJ54">
            <v>1</v>
          </cell>
          <cell r="CM54">
            <v>1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CE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CE57" t="str">
            <v>XXXX</v>
          </cell>
          <cell r="CF57" t="str">
            <v>XXXX</v>
          </cell>
          <cell r="CG57" t="str">
            <v>XXXX</v>
          </cell>
          <cell r="CH57" t="str">
            <v>XXXX</v>
          </cell>
          <cell r="CI57" t="str">
            <v>XXXX</v>
          </cell>
          <cell r="CJ57" t="str">
            <v>XXXX</v>
          </cell>
          <cell r="CK57" t="str">
            <v>XXXX</v>
          </cell>
          <cell r="CL57" t="str">
            <v>XXXX</v>
          </cell>
          <cell r="CM57" t="str">
            <v>XXXX</v>
          </cell>
          <cell r="CN57" t="str">
            <v>XXXX</v>
          </cell>
          <cell r="CO57" t="str">
            <v>XXXX</v>
          </cell>
          <cell r="CP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149</v>
          </cell>
          <cell r="G58" t="str">
            <v>A</v>
          </cell>
          <cell r="CG58">
            <v>4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258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CN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CG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CL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CG65">
            <v>1</v>
          </cell>
          <cell r="CH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  <cell r="CJ67">
            <v>1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CL69">
            <v>1</v>
          </cell>
          <cell r="CM69">
            <v>1</v>
          </cell>
          <cell r="CO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CG70">
            <v>1</v>
          </cell>
          <cell r="CL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CL73">
            <v>1</v>
          </cell>
          <cell r="CN73">
            <v>1</v>
          </cell>
          <cell r="CO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CO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CE76" t="str">
            <v>XXXX</v>
          </cell>
          <cell r="CF76" t="str">
            <v>XXXX</v>
          </cell>
          <cell r="CG76" t="str">
            <v>XXXX</v>
          </cell>
          <cell r="CH76" t="str">
            <v>XXXX</v>
          </cell>
          <cell r="CI76" t="str">
            <v>XXXX</v>
          </cell>
          <cell r="CJ76" t="str">
            <v>XXXX</v>
          </cell>
          <cell r="CK76" t="str">
            <v>XXXX</v>
          </cell>
          <cell r="CL76" t="str">
            <v>XXXX</v>
          </cell>
          <cell r="CM76">
            <v>4</v>
          </cell>
          <cell r="CN76">
            <v>1</v>
          </cell>
          <cell r="CO76">
            <v>3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CE77" t="str">
            <v>XXXX</v>
          </cell>
          <cell r="CF77" t="str">
            <v>XXXX</v>
          </cell>
          <cell r="CG77" t="str">
            <v>XXXX</v>
          </cell>
          <cell r="CH77" t="str">
            <v>XXXX</v>
          </cell>
          <cell r="CI77" t="str">
            <v>XXXX</v>
          </cell>
          <cell r="CJ77" t="str">
            <v>XXXX</v>
          </cell>
          <cell r="CK77" t="str">
            <v>XXXX</v>
          </cell>
          <cell r="CL77" t="str">
            <v>XXXX</v>
          </cell>
          <cell r="CN77">
            <v>1</v>
          </cell>
          <cell r="CO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CE78" t="str">
            <v>XXXX</v>
          </cell>
          <cell r="CF78" t="str">
            <v>XXXX</v>
          </cell>
          <cell r="CG78" t="str">
            <v>XXXX</v>
          </cell>
          <cell r="CH78" t="str">
            <v>XXXX</v>
          </cell>
          <cell r="CI78" t="str">
            <v>XXXX</v>
          </cell>
          <cell r="CJ78" t="str">
            <v>XXXX</v>
          </cell>
          <cell r="CK78" t="str">
            <v>XXXX</v>
          </cell>
          <cell r="CL78" t="str">
            <v>XXXX</v>
          </cell>
          <cell r="CM78" t="str">
            <v>XXXX</v>
          </cell>
          <cell r="CN78" t="str">
            <v>XXXX</v>
          </cell>
          <cell r="CO78" t="str">
            <v>XXXX</v>
          </cell>
          <cell r="CP78" t="str">
            <v>XXXX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CE79" t="str">
            <v>XXXX</v>
          </cell>
          <cell r="CF79" t="str">
            <v>XXXX</v>
          </cell>
          <cell r="CG79" t="str">
            <v>XXXX</v>
          </cell>
          <cell r="CH79" t="str">
            <v>XXXX</v>
          </cell>
          <cell r="CI79" t="str">
            <v>XXXX</v>
          </cell>
          <cell r="CJ79" t="str">
            <v>XXXX</v>
          </cell>
          <cell r="CK79" t="str">
            <v>XXXX</v>
          </cell>
          <cell r="CL79" t="str">
            <v>XXXX</v>
          </cell>
          <cell r="CM79" t="str">
            <v>XXXX</v>
          </cell>
          <cell r="CN79" t="str">
            <v>XXXX</v>
          </cell>
          <cell r="CO79" t="str">
            <v>XXXX</v>
          </cell>
          <cell r="CP79" t="str">
            <v>XXXX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CE87" t="str">
            <v>XXXX</v>
          </cell>
          <cell r="CF87" t="str">
            <v>XXXX</v>
          </cell>
          <cell r="CG87" t="str">
            <v>XXXX</v>
          </cell>
          <cell r="CH87" t="str">
            <v>XXXX</v>
          </cell>
          <cell r="CI87" t="str">
            <v>XXXX</v>
          </cell>
          <cell r="CJ87" t="str">
            <v>XXXX</v>
          </cell>
          <cell r="CK87" t="str">
            <v>XXXX</v>
          </cell>
          <cell r="CL87" t="str">
            <v>XXXX</v>
          </cell>
          <cell r="CM87" t="str">
            <v>XXXX</v>
          </cell>
          <cell r="CN87" t="str">
            <v>XXXX</v>
          </cell>
          <cell r="CO87" t="str">
            <v>XXXX</v>
          </cell>
          <cell r="CP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  <cell r="CO90">
            <v>2</v>
          </cell>
        </row>
        <row r="93">
          <cell r="CE93">
            <v>6</v>
          </cell>
          <cell r="CF93">
            <v>2</v>
          </cell>
          <cell r="CG93">
            <v>7</v>
          </cell>
          <cell r="CH93">
            <v>3</v>
          </cell>
          <cell r="CI93">
            <v>6</v>
          </cell>
          <cell r="CJ93">
            <v>4</v>
          </cell>
          <cell r="CK93">
            <v>8</v>
          </cell>
          <cell r="CL93">
            <v>10</v>
          </cell>
          <cell r="CM93">
            <v>15</v>
          </cell>
          <cell r="CN93">
            <v>12</v>
          </cell>
          <cell r="CO93">
            <v>21</v>
          </cell>
          <cell r="CP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9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9.140625" style="16" customWidth="1"/>
    <col min="4" max="4" width="10.7109375" style="16" customWidth="1"/>
    <col min="5" max="5" width="9.57421875" style="16" customWidth="1"/>
    <col min="6" max="6" width="17.00390625" style="16" customWidth="1"/>
    <col min="7" max="7" width="19.8515625" style="16" customWidth="1"/>
    <col min="8" max="8" width="9.28125" style="16" customWidth="1"/>
    <col min="9" max="9" width="19.003906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108" customFormat="1" ht="26.25">
      <c r="B1" s="109"/>
      <c r="E1" s="13"/>
      <c r="K1" s="691"/>
    </row>
    <row r="2" spans="2:10" s="108" customFormat="1" ht="26.25">
      <c r="B2" s="109" t="s">
        <v>281</v>
      </c>
      <c r="C2" s="110"/>
      <c r="D2" s="111"/>
      <c r="E2" s="111"/>
      <c r="F2" s="111"/>
      <c r="G2" s="111"/>
      <c r="H2" s="111"/>
      <c r="I2" s="111"/>
      <c r="J2" s="111"/>
    </row>
    <row r="3" spans="3:19" ht="12.75">
      <c r="C3"/>
      <c r="D3" s="112"/>
      <c r="E3" s="112"/>
      <c r="F3" s="112"/>
      <c r="G3" s="112"/>
      <c r="H3" s="112"/>
      <c r="I3" s="112"/>
      <c r="J3" s="112"/>
      <c r="P3" s="14"/>
      <c r="Q3" s="14"/>
      <c r="R3" s="14"/>
      <c r="S3" s="14"/>
    </row>
    <row r="4" spans="1:19" s="115" customFormat="1" ht="11.25">
      <c r="A4" s="113" t="s">
        <v>53</v>
      </c>
      <c r="B4" s="114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15" customFormat="1" ht="11.25">
      <c r="A5" s="113" t="s">
        <v>54</v>
      </c>
      <c r="B5" s="114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2:19" s="108" customFormat="1" ht="11.25" customHeight="1">
      <c r="B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2:19" s="10" customFormat="1" ht="21">
      <c r="B7" s="280" t="s">
        <v>0</v>
      </c>
      <c r="C7" s="119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80" t="s">
        <v>1</v>
      </c>
      <c r="C9" s="119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121"/>
      <c r="E10" s="12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80" t="s">
        <v>204</v>
      </c>
      <c r="C11" s="4"/>
      <c r="D11" s="120"/>
      <c r="E11" s="120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122" customFormat="1" ht="16.5" thickBot="1">
      <c r="D12" s="123"/>
      <c r="E12" s="12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2:19" s="122" customFormat="1" ht="16.5" thickTop="1">
      <c r="B13" s="125"/>
      <c r="C13" s="126"/>
      <c r="D13" s="126"/>
      <c r="E13" s="576"/>
      <c r="F13" s="126"/>
      <c r="G13" s="126"/>
      <c r="H13" s="126"/>
      <c r="I13" s="126"/>
      <c r="J13" s="127"/>
      <c r="K13" s="124"/>
      <c r="L13" s="124"/>
      <c r="M13" s="124"/>
      <c r="N13" s="124"/>
      <c r="O13" s="124"/>
      <c r="P13" s="124"/>
      <c r="Q13" s="124"/>
      <c r="R13" s="124"/>
      <c r="S13" s="124"/>
    </row>
    <row r="14" spans="2:19" s="15" customFormat="1" ht="19.5">
      <c r="B14" s="128" t="s">
        <v>186</v>
      </c>
      <c r="C14" s="129"/>
      <c r="D14" s="130"/>
      <c r="E14" s="577"/>
      <c r="F14" s="131"/>
      <c r="G14" s="131"/>
      <c r="H14" s="131"/>
      <c r="I14" s="132"/>
      <c r="J14" s="133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2:19" s="15" customFormat="1" ht="13.5" customHeight="1">
      <c r="B15" s="135"/>
      <c r="C15" s="136"/>
      <c r="D15" s="575"/>
      <c r="E15" s="578"/>
      <c r="F15" s="77"/>
      <c r="G15" s="77"/>
      <c r="H15" s="77"/>
      <c r="I15" s="134"/>
      <c r="J15" s="137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2:19" s="15" customFormat="1" ht="19.5">
      <c r="B16" s="135"/>
      <c r="C16" s="138" t="s">
        <v>55</v>
      </c>
      <c r="D16" s="575" t="s">
        <v>56</v>
      </c>
      <c r="E16" s="578"/>
      <c r="F16" s="77"/>
      <c r="G16" s="77"/>
      <c r="H16" s="77"/>
      <c r="I16" s="139"/>
      <c r="J16" s="137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2:19" s="15" customFormat="1" ht="19.5">
      <c r="B17" s="135"/>
      <c r="C17" s="138"/>
      <c r="D17" s="575">
        <v>11</v>
      </c>
      <c r="E17" s="579" t="s">
        <v>57</v>
      </c>
      <c r="F17" s="77"/>
      <c r="G17" s="77"/>
      <c r="H17" s="77"/>
      <c r="I17" s="139">
        <f>'LI-0103 (2)'!AC43</f>
        <v>4183.39</v>
      </c>
      <c r="J17" s="137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2:19" s="15" customFormat="1" ht="19.5">
      <c r="B18" s="135"/>
      <c r="C18" s="138"/>
      <c r="D18" s="575"/>
      <c r="E18" s="581">
        <v>111</v>
      </c>
      <c r="F18" s="13" t="s">
        <v>209</v>
      </c>
      <c r="G18" s="77"/>
      <c r="H18" s="77"/>
      <c r="I18" s="139">
        <f>'Incendios Campo'!AC41</f>
        <v>6725.45</v>
      </c>
      <c r="J18" s="137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2:19" s="15" customFormat="1" ht="19.5">
      <c r="B19" s="135"/>
      <c r="C19" s="138"/>
      <c r="D19" s="575"/>
      <c r="E19" s="581">
        <v>112</v>
      </c>
      <c r="F19" s="13" t="s">
        <v>277</v>
      </c>
      <c r="G19" s="77"/>
      <c r="H19" s="77"/>
      <c r="I19" s="139">
        <f>'LI (C. climt. en ET)'!AL31</f>
        <v>455.19</v>
      </c>
      <c r="J19" s="137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2:19" ht="12.75" customHeight="1">
      <c r="B20" s="140"/>
      <c r="C20" s="141"/>
      <c r="D20" s="575"/>
      <c r="E20" s="580"/>
      <c r="F20" s="142"/>
      <c r="G20" s="142"/>
      <c r="H20" s="142"/>
      <c r="I20" s="143"/>
      <c r="J20" s="144"/>
      <c r="K20" s="14"/>
      <c r="L20" s="14"/>
      <c r="M20" s="14"/>
      <c r="N20" s="14"/>
      <c r="O20" s="14"/>
      <c r="P20" s="14"/>
      <c r="Q20" s="14"/>
      <c r="R20" s="14"/>
      <c r="S20" s="14"/>
    </row>
    <row r="21" spans="2:19" s="15" customFormat="1" ht="19.5">
      <c r="B21" s="135"/>
      <c r="C21" s="138" t="s">
        <v>58</v>
      </c>
      <c r="D21" s="582" t="s">
        <v>59</v>
      </c>
      <c r="E21" s="578"/>
      <c r="F21" s="77"/>
      <c r="G21" s="77"/>
      <c r="H21" s="77"/>
      <c r="I21" s="139"/>
      <c r="J21" s="137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2:19" s="15" customFormat="1" ht="19.5">
      <c r="B22" s="135"/>
      <c r="C22" s="138"/>
      <c r="D22" s="575">
        <v>21</v>
      </c>
      <c r="E22" s="579" t="s">
        <v>60</v>
      </c>
      <c r="F22" s="77"/>
      <c r="G22" s="77"/>
      <c r="H22" s="77"/>
      <c r="I22" s="139"/>
      <c r="J22" s="137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2:19" s="15" customFormat="1" ht="19.5">
      <c r="B23" s="135"/>
      <c r="C23" s="138"/>
      <c r="D23" s="575"/>
      <c r="E23" s="581">
        <v>211</v>
      </c>
      <c r="F23" s="13" t="s">
        <v>57</v>
      </c>
      <c r="G23" s="77"/>
      <c r="H23" s="77"/>
      <c r="I23" s="139">
        <f>ROUND('TR-0103'!AA43,2)</f>
        <v>4560.8</v>
      </c>
      <c r="J23" s="137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2:19" s="15" customFormat="1" ht="19.5">
      <c r="B24" s="135"/>
      <c r="C24" s="138"/>
      <c r="D24" s="575">
        <v>22</v>
      </c>
      <c r="E24" s="579" t="s">
        <v>62</v>
      </c>
      <c r="F24" s="77"/>
      <c r="G24" s="77"/>
      <c r="H24" s="77"/>
      <c r="I24" s="139"/>
      <c r="J24" s="137"/>
      <c r="K24" s="134"/>
      <c r="L24" s="134"/>
      <c r="M24" s="134"/>
      <c r="N24" s="134"/>
      <c r="O24" s="134"/>
      <c r="P24" s="134"/>
      <c r="Q24" s="134"/>
      <c r="R24" s="134"/>
      <c r="S24" s="134"/>
    </row>
    <row r="25" spans="2:19" s="15" customFormat="1" ht="19.5">
      <c r="B25" s="135"/>
      <c r="C25" s="138"/>
      <c r="D25" s="575"/>
      <c r="E25" s="581">
        <v>221</v>
      </c>
      <c r="F25" s="13" t="s">
        <v>57</v>
      </c>
      <c r="G25" s="77"/>
      <c r="H25" s="77"/>
      <c r="I25" s="139">
        <f>'SA-0103'!T45</f>
        <v>48171.98</v>
      </c>
      <c r="J25" s="137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2:19" s="15" customFormat="1" ht="19.5">
      <c r="B26" s="135"/>
      <c r="C26" s="138"/>
      <c r="D26" s="575"/>
      <c r="E26" s="581">
        <v>222</v>
      </c>
      <c r="F26" s="13" t="s">
        <v>61</v>
      </c>
      <c r="G26" s="77"/>
      <c r="H26" s="77"/>
      <c r="I26" s="139">
        <f>'SALIDA-TIBA'!T42</f>
        <v>4029.55</v>
      </c>
      <c r="J26" s="137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2:19" s="15" customFormat="1" ht="19.5">
      <c r="B27" s="135"/>
      <c r="C27" s="138"/>
      <c r="D27" s="575"/>
      <c r="E27" s="581">
        <v>223</v>
      </c>
      <c r="F27" s="13" t="s">
        <v>191</v>
      </c>
      <c r="G27" s="77"/>
      <c r="H27" s="77"/>
      <c r="I27" s="139">
        <f>'SA-CTM'!T43</f>
        <v>1429.96</v>
      </c>
      <c r="J27" s="137"/>
      <c r="K27" s="134"/>
      <c r="L27" s="134"/>
      <c r="M27" s="134"/>
      <c r="N27" s="134"/>
      <c r="O27" s="134"/>
      <c r="P27" s="134"/>
      <c r="Q27" s="134"/>
      <c r="R27" s="134"/>
      <c r="S27" s="134"/>
    </row>
    <row r="28" spans="2:19" ht="12.75" customHeight="1">
      <c r="B28" s="140"/>
      <c r="C28" s="141"/>
      <c r="D28" s="575"/>
      <c r="E28" s="580"/>
      <c r="F28" s="142"/>
      <c r="G28" s="142"/>
      <c r="H28" s="142"/>
      <c r="I28" s="143"/>
      <c r="J28" s="144"/>
      <c r="K28" s="14"/>
      <c r="L28" s="14"/>
      <c r="M28" s="14"/>
      <c r="N28" s="14"/>
      <c r="O28" s="14"/>
      <c r="P28" s="14"/>
      <c r="Q28" s="14"/>
      <c r="R28" s="14"/>
      <c r="S28" s="14"/>
    </row>
    <row r="29" spans="2:19" s="15" customFormat="1" ht="19.5">
      <c r="B29" s="135"/>
      <c r="C29" s="138" t="s">
        <v>63</v>
      </c>
      <c r="D29" s="582" t="s">
        <v>64</v>
      </c>
      <c r="E29" s="578"/>
      <c r="F29" s="77"/>
      <c r="G29" s="77"/>
      <c r="H29" s="77"/>
      <c r="I29" s="139"/>
      <c r="J29" s="137"/>
      <c r="K29" s="134"/>
      <c r="L29" s="134"/>
      <c r="M29" s="134"/>
      <c r="N29" s="134"/>
      <c r="O29" s="134"/>
      <c r="P29" s="134"/>
      <c r="Q29" s="134"/>
      <c r="R29" s="134"/>
      <c r="S29" s="134"/>
    </row>
    <row r="30" spans="2:19" s="15" customFormat="1" ht="19.5">
      <c r="B30" s="135"/>
      <c r="C30" s="138"/>
      <c r="D30" s="575">
        <v>31</v>
      </c>
      <c r="E30" s="579" t="s">
        <v>57</v>
      </c>
      <c r="F30" s="77"/>
      <c r="G30" s="77"/>
      <c r="H30" s="77"/>
      <c r="I30" s="139">
        <f>'RE-0103 (2)'!U43</f>
        <v>10780.69</v>
      </c>
      <c r="J30" s="137"/>
      <c r="K30" s="134"/>
      <c r="L30" s="134"/>
      <c r="M30" s="134"/>
      <c r="N30" s="134"/>
      <c r="O30" s="134"/>
      <c r="P30" s="134"/>
      <c r="Q30" s="134"/>
      <c r="R30" s="134"/>
      <c r="S30" s="134"/>
    </row>
    <row r="31" spans="2:19" s="15" customFormat="1" ht="19.5">
      <c r="B31" s="135"/>
      <c r="C31" s="138"/>
      <c r="D31" s="575"/>
      <c r="E31" s="581">
        <v>311</v>
      </c>
      <c r="F31" s="13" t="s">
        <v>277</v>
      </c>
      <c r="G31" s="77"/>
      <c r="H31" s="77"/>
      <c r="I31" s="139">
        <f>'React (C. climat. en  ET)'!AL31</f>
        <v>18.78</v>
      </c>
      <c r="J31" s="137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2:19" s="15" customFormat="1" ht="12.75" customHeight="1">
      <c r="B32" s="135"/>
      <c r="C32" s="138"/>
      <c r="D32" s="575"/>
      <c r="E32" s="579"/>
      <c r="F32" s="77"/>
      <c r="G32" s="77"/>
      <c r="H32" s="77"/>
      <c r="I32" s="139"/>
      <c r="J32" s="137"/>
      <c r="K32" s="134"/>
      <c r="L32" s="134"/>
      <c r="M32" s="134"/>
      <c r="N32" s="134"/>
      <c r="O32" s="134"/>
      <c r="P32" s="134"/>
      <c r="Q32" s="134"/>
      <c r="R32" s="134"/>
      <c r="S32" s="134"/>
    </row>
    <row r="33" spans="2:19" s="15" customFormat="1" ht="19.5">
      <c r="B33" s="135"/>
      <c r="C33" s="138" t="s">
        <v>65</v>
      </c>
      <c r="D33" s="582" t="s">
        <v>66</v>
      </c>
      <c r="E33" s="578"/>
      <c r="F33" s="77"/>
      <c r="G33" s="77"/>
      <c r="H33" s="77"/>
      <c r="I33" s="139"/>
      <c r="J33" s="137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2:19" s="15" customFormat="1" ht="19.5">
      <c r="B34" s="135"/>
      <c r="C34" s="138"/>
      <c r="D34" s="575">
        <v>43</v>
      </c>
      <c r="E34" s="579" t="s">
        <v>67</v>
      </c>
      <c r="F34" s="77"/>
      <c r="G34" s="77"/>
      <c r="H34" s="77"/>
      <c r="I34" s="139">
        <f>'SU (TIBA)'!J63</f>
        <v>2632.158</v>
      </c>
      <c r="J34" s="137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2:19" s="15" customFormat="1" ht="19.5">
      <c r="B35" s="135"/>
      <c r="C35" s="138"/>
      <c r="D35" s="575">
        <v>44</v>
      </c>
      <c r="E35" s="13" t="s">
        <v>191</v>
      </c>
      <c r="F35" s="77"/>
      <c r="G35" s="77"/>
      <c r="H35" s="77"/>
      <c r="I35" s="139">
        <f>'SU (CTM)'!J57</f>
        <v>357.49080000000004</v>
      </c>
      <c r="J35" s="137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2:19" s="15" customFormat="1" ht="20.25" thickBot="1">
      <c r="B36" s="135"/>
      <c r="C36" s="136"/>
      <c r="D36" s="575"/>
      <c r="E36" s="578"/>
      <c r="F36" s="77"/>
      <c r="G36" s="77"/>
      <c r="H36" s="77"/>
      <c r="I36" s="134"/>
      <c r="J36" s="137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2:19" s="15" customFormat="1" ht="20.25" thickBot="1" thickTop="1">
      <c r="B37" s="135"/>
      <c r="C37" s="138"/>
      <c r="D37" s="138"/>
      <c r="F37" s="145" t="s">
        <v>68</v>
      </c>
      <c r="G37" s="146">
        <f>SUM(I17:I35)</f>
        <v>83345.4388</v>
      </c>
      <c r="H37" s="279"/>
      <c r="J37" s="137"/>
      <c r="K37" s="134"/>
      <c r="L37" s="134"/>
      <c r="M37" s="134"/>
      <c r="N37" s="134"/>
      <c r="O37" s="134"/>
      <c r="P37" s="134"/>
      <c r="Q37" s="134"/>
      <c r="R37" s="134"/>
      <c r="S37" s="134"/>
    </row>
    <row r="38" spans="2:19" s="122" customFormat="1" ht="17.25" thickBot="1" thickTop="1">
      <c r="B38" s="147"/>
      <c r="C38" s="148"/>
      <c r="D38" s="148"/>
      <c r="E38" s="149"/>
      <c r="F38" s="149"/>
      <c r="G38" s="149"/>
      <c r="H38" s="149"/>
      <c r="I38" s="149"/>
      <c r="J38" s="150"/>
      <c r="K38" s="124"/>
      <c r="L38" s="124"/>
      <c r="M38" s="151"/>
      <c r="N38" s="152"/>
      <c r="O38" s="152"/>
      <c r="P38" s="153"/>
      <c r="Q38" s="154"/>
      <c r="R38" s="124"/>
      <c r="S38" s="124"/>
    </row>
    <row r="39" spans="4:19" ht="13.5" thickTop="1">
      <c r="D39" s="14"/>
      <c r="F39" s="14"/>
      <c r="G39" s="14"/>
      <c r="H39" s="14"/>
      <c r="I39" s="14"/>
      <c r="J39" s="14"/>
      <c r="K39" s="14"/>
      <c r="L39" s="14"/>
      <c r="M39" s="74"/>
      <c r="N39" s="155"/>
      <c r="O39" s="155"/>
      <c r="P39" s="14"/>
      <c r="Q39" s="2"/>
      <c r="R39" s="14"/>
      <c r="S39" s="14"/>
    </row>
    <row r="40" spans="4:19" ht="12.75">
      <c r="D40" s="14"/>
      <c r="F40" s="14"/>
      <c r="G40" s="14"/>
      <c r="H40" s="14"/>
      <c r="I40" s="14"/>
      <c r="J40" s="14"/>
      <c r="K40" s="14"/>
      <c r="L40" s="14"/>
      <c r="M40" s="14"/>
      <c r="N40" s="156"/>
      <c r="O40" s="156"/>
      <c r="P40" s="157"/>
      <c r="Q40" s="2"/>
      <c r="R40" s="14"/>
      <c r="S40" s="14"/>
    </row>
    <row r="41" spans="4:19" ht="12.7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6"/>
      <c r="O41" s="156"/>
      <c r="P41" s="157"/>
      <c r="Q41" s="2"/>
      <c r="R41" s="14"/>
      <c r="S41" s="14"/>
    </row>
    <row r="42" spans="4:19" ht="12.75">
      <c r="D42" s="14"/>
      <c r="E42" s="14"/>
      <c r="L42" s="14"/>
      <c r="M42" s="14"/>
      <c r="N42" s="14"/>
      <c r="O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4:19" ht="12.75">
      <c r="D46" s="14"/>
      <c r="E46" s="14"/>
      <c r="P46" s="14"/>
      <c r="Q46" s="14"/>
      <c r="R46" s="14"/>
      <c r="S46" s="14"/>
    </row>
    <row r="47" spans="4:19" ht="12.75">
      <c r="D47" s="14"/>
      <c r="E47" s="14"/>
      <c r="P47" s="14"/>
      <c r="Q47" s="14"/>
      <c r="R47" s="14"/>
      <c r="S47" s="14"/>
    </row>
    <row r="48" spans="16:19" ht="12.75">
      <c r="P48" s="14"/>
      <c r="Q48" s="14"/>
      <c r="R48" s="14"/>
      <c r="S48" s="14"/>
    </row>
    <row r="49" spans="16:19" ht="12.75">
      <c r="P49" s="14"/>
      <c r="Q49" s="14"/>
      <c r="R49" s="14"/>
      <c r="S49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W158"/>
  <sheetViews>
    <sheetView zoomScale="75" zoomScaleNormal="75" workbookViewId="0" topLeftCell="F27">
      <selection activeCell="U48" sqref="U48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108" customFormat="1" ht="26.25">
      <c r="A1" s="158"/>
      <c r="U1" s="691"/>
    </row>
    <row r="2" spans="1:21" s="108" customFormat="1" ht="26.25">
      <c r="A2" s="158"/>
      <c r="B2" s="109" t="str">
        <f>'tot-0103'!B2</f>
        <v>ANEXO a la Resolución E.N.R.E. N°  113  /2002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21" s="16" customFormat="1" ht="13.5" thickTop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227"/>
    </row>
    <row r="8" spans="2:21" s="10" customFormat="1" ht="20.25">
      <c r="B8" s="173"/>
      <c r="C8" s="11"/>
      <c r="D8" s="76" t="s">
        <v>69</v>
      </c>
      <c r="L8" s="203"/>
      <c r="M8" s="203"/>
      <c r="N8" s="46"/>
      <c r="O8" s="11"/>
      <c r="P8" s="11"/>
      <c r="Q8" s="11"/>
      <c r="R8" s="11"/>
      <c r="S8" s="11"/>
      <c r="T8" s="11"/>
      <c r="U8" s="236"/>
    </row>
    <row r="9" spans="2:21" s="16" customFormat="1" ht="12.75">
      <c r="B9" s="140"/>
      <c r="C9" s="1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14"/>
      <c r="P9" s="14"/>
      <c r="Q9" s="14"/>
      <c r="R9" s="14"/>
      <c r="S9" s="14"/>
      <c r="T9" s="14"/>
      <c r="U9" s="144"/>
    </row>
    <row r="10" spans="2:21" s="10" customFormat="1" ht="20.25">
      <c r="B10" s="173"/>
      <c r="C10" s="11"/>
      <c r="D10" s="207" t="s">
        <v>188</v>
      </c>
      <c r="E10" s="47"/>
      <c r="F10" s="203"/>
      <c r="G10" s="237"/>
      <c r="I10" s="237"/>
      <c r="J10" s="237"/>
      <c r="K10" s="237"/>
      <c r="L10" s="237"/>
      <c r="M10" s="237"/>
      <c r="N10" s="237"/>
      <c r="O10" s="11"/>
      <c r="P10" s="11"/>
      <c r="Q10" s="11"/>
      <c r="R10" s="11"/>
      <c r="S10" s="11"/>
      <c r="T10" s="11"/>
      <c r="U10" s="236"/>
    </row>
    <row r="11" spans="2:21" s="16" customFormat="1" ht="13.5">
      <c r="B11" s="140"/>
      <c r="C11" s="14"/>
      <c r="D11" s="235"/>
      <c r="E11" s="235"/>
      <c r="F11" s="73"/>
      <c r="G11" s="228"/>
      <c r="H11" s="142"/>
      <c r="I11" s="228"/>
      <c r="J11" s="228"/>
      <c r="K11" s="228"/>
      <c r="L11" s="228"/>
      <c r="M11" s="228"/>
      <c r="N11" s="228"/>
      <c r="O11" s="14"/>
      <c r="P11" s="14"/>
      <c r="Q11" s="14"/>
      <c r="R11" s="14"/>
      <c r="S11" s="14"/>
      <c r="T11" s="14"/>
      <c r="U11" s="144"/>
    </row>
    <row r="12" spans="2:21" s="16" customFormat="1" ht="19.5">
      <c r="B12" s="128" t="str">
        <f>'tot-0103'!B14</f>
        <v>Desde el 01 al 31 de marzo de 2001</v>
      </c>
      <c r="C12" s="131"/>
      <c r="D12" s="131"/>
      <c r="E12" s="131"/>
      <c r="F12" s="131"/>
      <c r="G12" s="238"/>
      <c r="H12" s="238"/>
      <c r="I12" s="238"/>
      <c r="J12" s="238"/>
      <c r="K12" s="238"/>
      <c r="L12" s="238"/>
      <c r="M12" s="238"/>
      <c r="N12" s="238"/>
      <c r="O12" s="131"/>
      <c r="P12" s="131"/>
      <c r="Q12" s="131"/>
      <c r="R12" s="131"/>
      <c r="S12" s="131"/>
      <c r="T12" s="131"/>
      <c r="U12" s="239"/>
    </row>
    <row r="13" spans="2:21" s="16" customFormat="1" ht="14.25" thickBot="1">
      <c r="B13" s="240"/>
      <c r="C13" s="241"/>
      <c r="D13" s="241"/>
      <c r="E13" s="241"/>
      <c r="F13" s="241"/>
      <c r="G13" s="242"/>
      <c r="H13" s="242"/>
      <c r="I13" s="242"/>
      <c r="J13" s="242"/>
      <c r="K13" s="242"/>
      <c r="L13" s="242"/>
      <c r="M13" s="242"/>
      <c r="N13" s="242"/>
      <c r="O13" s="241"/>
      <c r="P13" s="241"/>
      <c r="Q13" s="241"/>
      <c r="R13" s="241"/>
      <c r="S13" s="241"/>
      <c r="T13" s="241"/>
      <c r="U13" s="243"/>
    </row>
    <row r="14" spans="2:21" s="16" customFormat="1" ht="15" thickBot="1" thickTop="1">
      <c r="B14" s="140"/>
      <c r="C14" s="14"/>
      <c r="D14" s="244"/>
      <c r="E14" s="244"/>
      <c r="F14" s="245" t="s">
        <v>113</v>
      </c>
      <c r="G14" s="14"/>
      <c r="H14" s="14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4"/>
    </row>
    <row r="15" spans="2:21" s="16" customFormat="1" ht="16.5" customHeight="1" thickBot="1" thickTop="1">
      <c r="B15" s="140"/>
      <c r="C15" s="14"/>
      <c r="D15" s="696" t="s">
        <v>114</v>
      </c>
      <c r="E15" s="697">
        <v>30.168</v>
      </c>
      <c r="F15" s="698">
        <v>200</v>
      </c>
      <c r="T15" s="165"/>
      <c r="U15" s="144"/>
    </row>
    <row r="16" spans="2:21" s="16" customFormat="1" ht="16.5" customHeight="1" thickBot="1" thickTop="1">
      <c r="B16" s="140"/>
      <c r="C16" s="14"/>
      <c r="D16" s="699" t="s">
        <v>115</v>
      </c>
      <c r="E16" s="700">
        <v>27.15</v>
      </c>
      <c r="F16" s="698">
        <v>100</v>
      </c>
      <c r="M16" s="14"/>
      <c r="N16" s="14"/>
      <c r="O16" s="14"/>
      <c r="P16" s="14"/>
      <c r="Q16" s="14"/>
      <c r="R16" s="14"/>
      <c r="S16" s="14"/>
      <c r="T16" s="14"/>
      <c r="U16" s="144"/>
    </row>
    <row r="17" spans="2:21" s="16" customFormat="1" ht="16.5" customHeight="1" thickBot="1" thickTop="1">
      <c r="B17" s="140"/>
      <c r="C17" s="14"/>
      <c r="D17" s="701" t="s">
        <v>116</v>
      </c>
      <c r="E17" s="700">
        <v>24.135</v>
      </c>
      <c r="F17" s="698">
        <v>40</v>
      </c>
      <c r="M17" s="14"/>
      <c r="O17" s="14"/>
      <c r="P17" s="14"/>
      <c r="Q17" s="14"/>
      <c r="R17" s="14"/>
      <c r="S17" s="14"/>
      <c r="T17" s="14"/>
      <c r="U17" s="144"/>
    </row>
    <row r="18" spans="2:21" s="16" customFormat="1" ht="16.5" customHeight="1" thickBot="1" thickTop="1">
      <c r="B18" s="140"/>
      <c r="C18" s="21"/>
      <c r="D18" s="93"/>
      <c r="E18" s="93"/>
      <c r="F18" s="229"/>
      <c r="G18" s="230"/>
      <c r="H18" s="230"/>
      <c r="I18" s="230"/>
      <c r="J18" s="230"/>
      <c r="K18" s="230"/>
      <c r="L18" s="230"/>
      <c r="M18" s="230"/>
      <c r="N18" s="84"/>
      <c r="O18" s="231"/>
      <c r="P18" s="232"/>
      <c r="Q18" s="232"/>
      <c r="R18" s="232"/>
      <c r="S18" s="233"/>
      <c r="T18" s="234"/>
      <c r="U18" s="144"/>
    </row>
    <row r="19" spans="2:21" s="16" customFormat="1" ht="33.75" customHeight="1" thickBot="1" thickTop="1">
      <c r="B19" s="140"/>
      <c r="C19" s="180" t="s">
        <v>74</v>
      </c>
      <c r="D19" s="186" t="s">
        <v>105</v>
      </c>
      <c r="E19" s="184" t="s">
        <v>43</v>
      </c>
      <c r="F19" s="247" t="s">
        <v>75</v>
      </c>
      <c r="G19" s="348" t="s">
        <v>79</v>
      </c>
      <c r="H19" s="182" t="s">
        <v>80</v>
      </c>
      <c r="I19" s="184" t="s">
        <v>81</v>
      </c>
      <c r="J19" s="248" t="s">
        <v>82</v>
      </c>
      <c r="K19" s="248" t="s">
        <v>83</v>
      </c>
      <c r="L19" s="185" t="s">
        <v>84</v>
      </c>
      <c r="M19" s="183" t="s">
        <v>87</v>
      </c>
      <c r="N19" s="517" t="s">
        <v>78</v>
      </c>
      <c r="O19" s="505" t="s">
        <v>99</v>
      </c>
      <c r="P19" s="526" t="s">
        <v>117</v>
      </c>
      <c r="Q19" s="527"/>
      <c r="R19" s="539" t="s">
        <v>92</v>
      </c>
      <c r="S19" s="187" t="s">
        <v>94</v>
      </c>
      <c r="T19" s="221" t="s">
        <v>95</v>
      </c>
      <c r="U19" s="144"/>
    </row>
    <row r="20" spans="2:21" s="16" customFormat="1" ht="16.5" customHeight="1" thickTop="1">
      <c r="B20" s="140"/>
      <c r="C20" s="20"/>
      <c r="D20" s="79"/>
      <c r="E20" s="79"/>
      <c r="F20" s="79"/>
      <c r="G20" s="357"/>
      <c r="H20" s="79"/>
      <c r="I20" s="79"/>
      <c r="J20" s="79"/>
      <c r="K20" s="79"/>
      <c r="L20" s="79"/>
      <c r="M20" s="79"/>
      <c r="N20" s="516"/>
      <c r="O20" s="521"/>
      <c r="P20" s="530"/>
      <c r="Q20" s="531"/>
      <c r="R20" s="536"/>
      <c r="S20" s="79"/>
      <c r="T20" s="249"/>
      <c r="U20" s="144"/>
    </row>
    <row r="21" spans="2:21" s="16" customFormat="1" ht="16.5" customHeight="1">
      <c r="B21" s="140"/>
      <c r="C21" s="20" t="s">
        <v>190</v>
      </c>
      <c r="D21" s="715" t="s">
        <v>29</v>
      </c>
      <c r="E21" s="715" t="s">
        <v>176</v>
      </c>
      <c r="F21" s="716">
        <v>500</v>
      </c>
      <c r="G21" s="349">
        <f aca="true" t="shared" si="0" ref="G21:G41">IF(F21=500,$E$15,IF(F21=220,$E$16,$E$17))</f>
        <v>30.168</v>
      </c>
      <c r="H21" s="81">
        <v>36978.188888888886</v>
      </c>
      <c r="I21" s="82">
        <v>36978.2875</v>
      </c>
      <c r="J21" s="83">
        <f>IF(D21="","",(I21-H21)*24)</f>
        <v>2.3666666666977108</v>
      </c>
      <c r="K21" s="30">
        <f>IF(D21="","",ROUND((I21-H21)*24*60,0))</f>
        <v>142</v>
      </c>
      <c r="L21" s="27" t="s">
        <v>177</v>
      </c>
      <c r="M21" s="23" t="str">
        <f>IF(D21="","",IF(L21="P","--","NO"))</f>
        <v>--</v>
      </c>
      <c r="N21" s="518">
        <f aca="true" t="shared" si="1" ref="N21:N41">IF(F21=500,$F$15,IF(F21=220,$F$16,$F$17))</f>
        <v>200</v>
      </c>
      <c r="O21" s="522">
        <f>IF(L21="P",G21*N21*ROUND(K21/60,2)*0.1,"--")</f>
        <v>1429.9632000000001</v>
      </c>
      <c r="P21" s="530" t="str">
        <f>IF(AND(L21="F",M21="NO"),G21*N21,"--")</f>
        <v>--</v>
      </c>
      <c r="Q21" s="531" t="str">
        <f>IF(L21="F",G21*N21*ROUND(K21/60,2),"--")</f>
        <v>--</v>
      </c>
      <c r="R21" s="536" t="str">
        <f>IF(L21="RF",G21*N21*ROUND(K21/60,2),"--")</f>
        <v>--</v>
      </c>
      <c r="S21" s="85" t="str">
        <f>IF(D21="","","SI")</f>
        <v>SI</v>
      </c>
      <c r="T21" s="86">
        <f>IF(D21="","",SUM(O21:R21)*IF(S21="SI",1,2))</f>
        <v>1429.9632000000001</v>
      </c>
      <c r="U21" s="144"/>
    </row>
    <row r="22" spans="2:21" s="16" customFormat="1" ht="16.5" customHeight="1">
      <c r="B22" s="140"/>
      <c r="C22" s="20"/>
      <c r="D22" s="79"/>
      <c r="E22" s="79"/>
      <c r="F22" s="80"/>
      <c r="G22" s="349">
        <f t="shared" si="0"/>
        <v>24.135</v>
      </c>
      <c r="H22" s="81"/>
      <c r="I22" s="82"/>
      <c r="J22" s="83">
        <f aca="true" t="shared" si="2" ref="J22:J41">IF(D22="","",(I22-H22)*24)</f>
      </c>
      <c r="K22" s="30">
        <f aca="true" t="shared" si="3" ref="K22:K41">IF(D22="","",ROUND((I22-H22)*24*60,0))</f>
      </c>
      <c r="L22" s="27"/>
      <c r="M22" s="23">
        <f aca="true" t="shared" si="4" ref="M22:M41">IF(D22="","",IF(L22="P","--","NO"))</f>
      </c>
      <c r="N22" s="518">
        <f t="shared" si="1"/>
        <v>40</v>
      </c>
      <c r="O22" s="522" t="str">
        <f aca="true" t="shared" si="5" ref="O22:O41">IF(L22="P",G22*N22*ROUND(K22/60,2)*0.1,"--")</f>
        <v>--</v>
      </c>
      <c r="P22" s="530" t="str">
        <f aca="true" t="shared" si="6" ref="P22:P41">IF(AND(L22="F",M22="NO"),G22*N22,"--")</f>
        <v>--</v>
      </c>
      <c r="Q22" s="531" t="str">
        <f aca="true" t="shared" si="7" ref="Q22:Q41">IF(L22="F",G22*N22*ROUND(K22/60,2),"--")</f>
        <v>--</v>
      </c>
      <c r="R22" s="536" t="str">
        <f aca="true" t="shared" si="8" ref="R22:R41">IF(L22="RF",G22*N22*ROUND(K22/60,2),"--")</f>
        <v>--</v>
      </c>
      <c r="S22" s="85">
        <f aca="true" t="shared" si="9" ref="S22:S41">IF(D22="","","SI")</f>
      </c>
      <c r="T22" s="86">
        <f aca="true" t="shared" si="10" ref="T22:T41">IF(D22="","",SUM(O22:R22)*IF(S22="SI",1,2))</f>
      </c>
      <c r="U22" s="144"/>
    </row>
    <row r="23" spans="2:21" s="16" customFormat="1" ht="16.5" customHeight="1">
      <c r="B23" s="140"/>
      <c r="C23" s="20"/>
      <c r="D23" s="79"/>
      <c r="E23" s="79"/>
      <c r="F23" s="80"/>
      <c r="G23" s="349">
        <f t="shared" si="0"/>
        <v>24.135</v>
      </c>
      <c r="H23" s="81"/>
      <c r="I23" s="82"/>
      <c r="J23" s="83">
        <f t="shared" si="2"/>
      </c>
      <c r="K23" s="30">
        <f t="shared" si="3"/>
      </c>
      <c r="L23" s="27"/>
      <c r="M23" s="23">
        <f t="shared" si="4"/>
      </c>
      <c r="N23" s="518">
        <f t="shared" si="1"/>
        <v>40</v>
      </c>
      <c r="O23" s="522" t="str">
        <f t="shared" si="5"/>
        <v>--</v>
      </c>
      <c r="P23" s="530" t="str">
        <f t="shared" si="6"/>
        <v>--</v>
      </c>
      <c r="Q23" s="531" t="str">
        <f t="shared" si="7"/>
        <v>--</v>
      </c>
      <c r="R23" s="536" t="str">
        <f t="shared" si="8"/>
        <v>--</v>
      </c>
      <c r="S23" s="85">
        <f t="shared" si="9"/>
      </c>
      <c r="T23" s="86">
        <f t="shared" si="10"/>
      </c>
      <c r="U23" s="144"/>
    </row>
    <row r="24" spans="2:21" s="16" customFormat="1" ht="16.5" customHeight="1">
      <c r="B24" s="140"/>
      <c r="C24" s="20"/>
      <c r="D24" s="79"/>
      <c r="E24" s="79"/>
      <c r="F24" s="80"/>
      <c r="G24" s="349">
        <f t="shared" si="0"/>
        <v>24.135</v>
      </c>
      <c r="H24" s="81"/>
      <c r="I24" s="82"/>
      <c r="J24" s="83">
        <f t="shared" si="2"/>
      </c>
      <c r="K24" s="30">
        <f t="shared" si="3"/>
      </c>
      <c r="L24" s="27"/>
      <c r="M24" s="23">
        <f t="shared" si="4"/>
      </c>
      <c r="N24" s="518">
        <f t="shared" si="1"/>
        <v>40</v>
      </c>
      <c r="O24" s="522" t="str">
        <f t="shared" si="5"/>
        <v>--</v>
      </c>
      <c r="P24" s="530" t="str">
        <f t="shared" si="6"/>
        <v>--</v>
      </c>
      <c r="Q24" s="531" t="str">
        <f t="shared" si="7"/>
        <v>--</v>
      </c>
      <c r="R24" s="536" t="str">
        <f t="shared" si="8"/>
        <v>--</v>
      </c>
      <c r="S24" s="85">
        <f t="shared" si="9"/>
      </c>
      <c r="T24" s="86">
        <f t="shared" si="10"/>
      </c>
      <c r="U24" s="144"/>
    </row>
    <row r="25" spans="2:21" s="16" customFormat="1" ht="16.5" customHeight="1">
      <c r="B25" s="140"/>
      <c r="C25" s="20"/>
      <c r="D25" s="79"/>
      <c r="E25" s="79"/>
      <c r="F25" s="80"/>
      <c r="G25" s="349">
        <f t="shared" si="0"/>
        <v>24.135</v>
      </c>
      <c r="H25" s="81"/>
      <c r="I25" s="82"/>
      <c r="J25" s="83">
        <f t="shared" si="2"/>
      </c>
      <c r="K25" s="30">
        <f t="shared" si="3"/>
      </c>
      <c r="L25" s="27"/>
      <c r="M25" s="23">
        <f t="shared" si="4"/>
      </c>
      <c r="N25" s="518">
        <f t="shared" si="1"/>
        <v>40</v>
      </c>
      <c r="O25" s="522" t="str">
        <f t="shared" si="5"/>
        <v>--</v>
      </c>
      <c r="P25" s="530" t="str">
        <f t="shared" si="6"/>
        <v>--</v>
      </c>
      <c r="Q25" s="531" t="str">
        <f t="shared" si="7"/>
        <v>--</v>
      </c>
      <c r="R25" s="536" t="str">
        <f t="shared" si="8"/>
        <v>--</v>
      </c>
      <c r="S25" s="85">
        <f t="shared" si="9"/>
      </c>
      <c r="T25" s="86">
        <f t="shared" si="10"/>
      </c>
      <c r="U25" s="144"/>
    </row>
    <row r="26" spans="2:21" s="16" customFormat="1" ht="16.5" customHeight="1">
      <c r="B26" s="140"/>
      <c r="C26" s="20"/>
      <c r="D26" s="79"/>
      <c r="E26" s="79"/>
      <c r="F26" s="80"/>
      <c r="G26" s="349">
        <f t="shared" si="0"/>
        <v>24.135</v>
      </c>
      <c r="H26" s="81"/>
      <c r="I26" s="82"/>
      <c r="J26" s="83">
        <f t="shared" si="2"/>
      </c>
      <c r="K26" s="30">
        <f t="shared" si="3"/>
      </c>
      <c r="L26" s="27"/>
      <c r="M26" s="23">
        <f t="shared" si="4"/>
      </c>
      <c r="N26" s="518">
        <f t="shared" si="1"/>
        <v>40</v>
      </c>
      <c r="O26" s="522" t="str">
        <f t="shared" si="5"/>
        <v>--</v>
      </c>
      <c r="P26" s="530" t="str">
        <f t="shared" si="6"/>
        <v>--</v>
      </c>
      <c r="Q26" s="531" t="str">
        <f t="shared" si="7"/>
        <v>--</v>
      </c>
      <c r="R26" s="536" t="str">
        <f t="shared" si="8"/>
        <v>--</v>
      </c>
      <c r="S26" s="85">
        <f t="shared" si="9"/>
      </c>
      <c r="T26" s="86">
        <f t="shared" si="10"/>
      </c>
      <c r="U26" s="144"/>
    </row>
    <row r="27" spans="2:21" s="16" customFormat="1" ht="16.5" customHeight="1">
      <c r="B27" s="140"/>
      <c r="C27" s="20"/>
      <c r="D27" s="79"/>
      <c r="E27" s="79"/>
      <c r="F27" s="80"/>
      <c r="G27" s="349">
        <f t="shared" si="0"/>
        <v>24.135</v>
      </c>
      <c r="H27" s="81"/>
      <c r="I27" s="82"/>
      <c r="J27" s="83">
        <f t="shared" si="2"/>
      </c>
      <c r="K27" s="30">
        <f t="shared" si="3"/>
      </c>
      <c r="L27" s="27"/>
      <c r="M27" s="23">
        <f t="shared" si="4"/>
      </c>
      <c r="N27" s="518">
        <f t="shared" si="1"/>
        <v>40</v>
      </c>
      <c r="O27" s="522" t="str">
        <f t="shared" si="5"/>
        <v>--</v>
      </c>
      <c r="P27" s="530" t="str">
        <f t="shared" si="6"/>
        <v>--</v>
      </c>
      <c r="Q27" s="531" t="str">
        <f t="shared" si="7"/>
        <v>--</v>
      </c>
      <c r="R27" s="536" t="str">
        <f t="shared" si="8"/>
        <v>--</v>
      </c>
      <c r="S27" s="85">
        <f t="shared" si="9"/>
      </c>
      <c r="T27" s="86">
        <f t="shared" si="10"/>
      </c>
      <c r="U27" s="144"/>
    </row>
    <row r="28" spans="2:21" s="16" customFormat="1" ht="16.5" customHeight="1">
      <c r="B28" s="140"/>
      <c r="C28" s="20"/>
      <c r="D28" s="79"/>
      <c r="E28" s="79"/>
      <c r="F28" s="80"/>
      <c r="G28" s="349">
        <f t="shared" si="0"/>
        <v>24.135</v>
      </c>
      <c r="H28" s="81"/>
      <c r="I28" s="82"/>
      <c r="J28" s="83">
        <f t="shared" si="2"/>
      </c>
      <c r="K28" s="30">
        <f t="shared" si="3"/>
      </c>
      <c r="L28" s="27"/>
      <c r="M28" s="23">
        <f t="shared" si="4"/>
      </c>
      <c r="N28" s="518">
        <f t="shared" si="1"/>
        <v>40</v>
      </c>
      <c r="O28" s="522" t="str">
        <f t="shared" si="5"/>
        <v>--</v>
      </c>
      <c r="P28" s="530" t="str">
        <f t="shared" si="6"/>
        <v>--</v>
      </c>
      <c r="Q28" s="531" t="str">
        <f t="shared" si="7"/>
        <v>--</v>
      </c>
      <c r="R28" s="536" t="str">
        <f t="shared" si="8"/>
        <v>--</v>
      </c>
      <c r="S28" s="85">
        <f t="shared" si="9"/>
      </c>
      <c r="T28" s="86">
        <f t="shared" si="10"/>
      </c>
      <c r="U28" s="144"/>
    </row>
    <row r="29" spans="2:21" s="16" customFormat="1" ht="16.5" customHeight="1">
      <c r="B29" s="140"/>
      <c r="C29" s="20"/>
      <c r="D29" s="79"/>
      <c r="E29" s="79"/>
      <c r="F29" s="80"/>
      <c r="G29" s="349">
        <f t="shared" si="0"/>
        <v>24.135</v>
      </c>
      <c r="H29" s="81"/>
      <c r="I29" s="82"/>
      <c r="J29" s="83">
        <f t="shared" si="2"/>
      </c>
      <c r="K29" s="30">
        <f t="shared" si="3"/>
      </c>
      <c r="L29" s="27"/>
      <c r="M29" s="23">
        <f t="shared" si="4"/>
      </c>
      <c r="N29" s="518">
        <f t="shared" si="1"/>
        <v>40</v>
      </c>
      <c r="O29" s="522" t="str">
        <f t="shared" si="5"/>
        <v>--</v>
      </c>
      <c r="P29" s="530" t="str">
        <f t="shared" si="6"/>
        <v>--</v>
      </c>
      <c r="Q29" s="531" t="str">
        <f t="shared" si="7"/>
        <v>--</v>
      </c>
      <c r="R29" s="536" t="str">
        <f t="shared" si="8"/>
        <v>--</v>
      </c>
      <c r="S29" s="85">
        <f t="shared" si="9"/>
      </c>
      <c r="T29" s="86">
        <f t="shared" si="10"/>
      </c>
      <c r="U29" s="144"/>
    </row>
    <row r="30" spans="2:21" s="16" customFormat="1" ht="16.5" customHeight="1">
      <c r="B30" s="140"/>
      <c r="C30" s="20"/>
      <c r="D30" s="79"/>
      <c r="E30" s="79"/>
      <c r="F30" s="80"/>
      <c r="G30" s="349">
        <f t="shared" si="0"/>
        <v>24.135</v>
      </c>
      <c r="H30" s="81"/>
      <c r="I30" s="82"/>
      <c r="J30" s="83">
        <f t="shared" si="2"/>
      </c>
      <c r="K30" s="30">
        <f t="shared" si="3"/>
      </c>
      <c r="L30" s="27"/>
      <c r="M30" s="23">
        <f t="shared" si="4"/>
      </c>
      <c r="N30" s="518">
        <f t="shared" si="1"/>
        <v>40</v>
      </c>
      <c r="O30" s="522" t="str">
        <f t="shared" si="5"/>
        <v>--</v>
      </c>
      <c r="P30" s="530" t="str">
        <f t="shared" si="6"/>
        <v>--</v>
      </c>
      <c r="Q30" s="531" t="str">
        <f t="shared" si="7"/>
        <v>--</v>
      </c>
      <c r="R30" s="536" t="str">
        <f t="shared" si="8"/>
        <v>--</v>
      </c>
      <c r="S30" s="85">
        <f t="shared" si="9"/>
      </c>
      <c r="T30" s="86">
        <f t="shared" si="10"/>
      </c>
      <c r="U30" s="144"/>
    </row>
    <row r="31" spans="2:21" s="16" customFormat="1" ht="16.5" customHeight="1">
      <c r="B31" s="140"/>
      <c r="C31" s="20"/>
      <c r="D31" s="79"/>
      <c r="E31" s="79"/>
      <c r="F31" s="80"/>
      <c r="G31" s="349">
        <f t="shared" si="0"/>
        <v>24.135</v>
      </c>
      <c r="H31" s="81"/>
      <c r="I31" s="82"/>
      <c r="J31" s="83">
        <f t="shared" si="2"/>
      </c>
      <c r="K31" s="30">
        <f t="shared" si="3"/>
      </c>
      <c r="L31" s="27"/>
      <c r="M31" s="23">
        <f t="shared" si="4"/>
      </c>
      <c r="N31" s="518">
        <f t="shared" si="1"/>
        <v>40</v>
      </c>
      <c r="O31" s="522" t="str">
        <f t="shared" si="5"/>
        <v>--</v>
      </c>
      <c r="P31" s="530" t="str">
        <f t="shared" si="6"/>
        <v>--</v>
      </c>
      <c r="Q31" s="531" t="str">
        <f t="shared" si="7"/>
        <v>--</v>
      </c>
      <c r="R31" s="536" t="str">
        <f t="shared" si="8"/>
        <v>--</v>
      </c>
      <c r="S31" s="85">
        <f t="shared" si="9"/>
      </c>
      <c r="T31" s="86">
        <f t="shared" si="10"/>
      </c>
      <c r="U31" s="144"/>
    </row>
    <row r="32" spans="2:21" s="16" customFormat="1" ht="16.5" customHeight="1">
      <c r="B32" s="140"/>
      <c r="C32" s="20"/>
      <c r="D32" s="79"/>
      <c r="E32" s="79"/>
      <c r="F32" s="80"/>
      <c r="G32" s="349">
        <f t="shared" si="0"/>
        <v>24.135</v>
      </c>
      <c r="H32" s="81"/>
      <c r="I32" s="82"/>
      <c r="J32" s="83">
        <f t="shared" si="2"/>
      </c>
      <c r="K32" s="30">
        <f t="shared" si="3"/>
      </c>
      <c r="L32" s="27"/>
      <c r="M32" s="23">
        <f t="shared" si="4"/>
      </c>
      <c r="N32" s="518">
        <f t="shared" si="1"/>
        <v>40</v>
      </c>
      <c r="O32" s="522" t="str">
        <f t="shared" si="5"/>
        <v>--</v>
      </c>
      <c r="P32" s="530" t="str">
        <f t="shared" si="6"/>
        <v>--</v>
      </c>
      <c r="Q32" s="531" t="str">
        <f t="shared" si="7"/>
        <v>--</v>
      </c>
      <c r="R32" s="536" t="str">
        <f t="shared" si="8"/>
        <v>--</v>
      </c>
      <c r="S32" s="85">
        <f t="shared" si="9"/>
      </c>
      <c r="T32" s="86">
        <f t="shared" si="10"/>
      </c>
      <c r="U32" s="144"/>
    </row>
    <row r="33" spans="2:21" s="16" customFormat="1" ht="16.5" customHeight="1">
      <c r="B33" s="140"/>
      <c r="C33" s="20"/>
      <c r="D33" s="79"/>
      <c r="E33" s="79"/>
      <c r="F33" s="80"/>
      <c r="G33" s="349">
        <f t="shared" si="0"/>
        <v>24.135</v>
      </c>
      <c r="H33" s="81"/>
      <c r="I33" s="82"/>
      <c r="J33" s="83">
        <f t="shared" si="2"/>
      </c>
      <c r="K33" s="30">
        <f t="shared" si="3"/>
      </c>
      <c r="L33" s="27"/>
      <c r="M33" s="23">
        <f t="shared" si="4"/>
      </c>
      <c r="N33" s="518">
        <f t="shared" si="1"/>
        <v>40</v>
      </c>
      <c r="O33" s="522" t="str">
        <f t="shared" si="5"/>
        <v>--</v>
      </c>
      <c r="P33" s="530" t="str">
        <f t="shared" si="6"/>
        <v>--</v>
      </c>
      <c r="Q33" s="531" t="str">
        <f t="shared" si="7"/>
        <v>--</v>
      </c>
      <c r="R33" s="536" t="str">
        <f t="shared" si="8"/>
        <v>--</v>
      </c>
      <c r="S33" s="85">
        <f t="shared" si="9"/>
      </c>
      <c r="T33" s="86">
        <f t="shared" si="10"/>
      </c>
      <c r="U33" s="144"/>
    </row>
    <row r="34" spans="2:21" s="16" customFormat="1" ht="16.5" customHeight="1">
      <c r="B34" s="140"/>
      <c r="C34" s="20"/>
      <c r="D34" s="79"/>
      <c r="E34" s="79"/>
      <c r="F34" s="80"/>
      <c r="G34" s="349">
        <f t="shared" si="0"/>
        <v>24.135</v>
      </c>
      <c r="H34" s="81"/>
      <c r="I34" s="82"/>
      <c r="J34" s="83">
        <f t="shared" si="2"/>
      </c>
      <c r="K34" s="30">
        <f t="shared" si="3"/>
      </c>
      <c r="L34" s="27"/>
      <c r="M34" s="23">
        <f t="shared" si="4"/>
      </c>
      <c r="N34" s="518">
        <f t="shared" si="1"/>
        <v>40</v>
      </c>
      <c r="O34" s="522" t="str">
        <f t="shared" si="5"/>
        <v>--</v>
      </c>
      <c r="P34" s="530" t="str">
        <f t="shared" si="6"/>
        <v>--</v>
      </c>
      <c r="Q34" s="531" t="str">
        <f t="shared" si="7"/>
        <v>--</v>
      </c>
      <c r="R34" s="536" t="str">
        <f t="shared" si="8"/>
        <v>--</v>
      </c>
      <c r="S34" s="85">
        <f t="shared" si="9"/>
      </c>
      <c r="T34" s="86">
        <f t="shared" si="10"/>
      </c>
      <c r="U34" s="144"/>
    </row>
    <row r="35" spans="2:21" s="16" customFormat="1" ht="16.5" customHeight="1">
      <c r="B35" s="140"/>
      <c r="C35" s="20"/>
      <c r="D35" s="79"/>
      <c r="E35" s="79"/>
      <c r="F35" s="80"/>
      <c r="G35" s="349">
        <f t="shared" si="0"/>
        <v>24.135</v>
      </c>
      <c r="H35" s="81"/>
      <c r="I35" s="82"/>
      <c r="J35" s="83">
        <f t="shared" si="2"/>
      </c>
      <c r="K35" s="30">
        <f t="shared" si="3"/>
      </c>
      <c r="L35" s="27"/>
      <c r="M35" s="23">
        <f t="shared" si="4"/>
      </c>
      <c r="N35" s="518">
        <f t="shared" si="1"/>
        <v>40</v>
      </c>
      <c r="O35" s="522" t="str">
        <f t="shared" si="5"/>
        <v>--</v>
      </c>
      <c r="P35" s="530" t="str">
        <f t="shared" si="6"/>
        <v>--</v>
      </c>
      <c r="Q35" s="531" t="str">
        <f t="shared" si="7"/>
        <v>--</v>
      </c>
      <c r="R35" s="536" t="str">
        <f t="shared" si="8"/>
        <v>--</v>
      </c>
      <c r="S35" s="85">
        <f t="shared" si="9"/>
      </c>
      <c r="T35" s="86">
        <f t="shared" si="10"/>
      </c>
      <c r="U35" s="144"/>
    </row>
    <row r="36" spans="2:21" s="16" customFormat="1" ht="16.5" customHeight="1">
      <c r="B36" s="140"/>
      <c r="C36" s="20"/>
      <c r="D36" s="79"/>
      <c r="E36" s="79"/>
      <c r="F36" s="80"/>
      <c r="G36" s="349">
        <f t="shared" si="0"/>
        <v>24.135</v>
      </c>
      <c r="H36" s="81"/>
      <c r="I36" s="82"/>
      <c r="J36" s="83">
        <f t="shared" si="2"/>
      </c>
      <c r="K36" s="30">
        <f t="shared" si="3"/>
      </c>
      <c r="L36" s="27"/>
      <c r="M36" s="23">
        <f t="shared" si="4"/>
      </c>
      <c r="N36" s="518">
        <f t="shared" si="1"/>
        <v>40</v>
      </c>
      <c r="O36" s="522" t="str">
        <f t="shared" si="5"/>
        <v>--</v>
      </c>
      <c r="P36" s="530" t="str">
        <f t="shared" si="6"/>
        <v>--</v>
      </c>
      <c r="Q36" s="531" t="str">
        <f t="shared" si="7"/>
        <v>--</v>
      </c>
      <c r="R36" s="536" t="str">
        <f t="shared" si="8"/>
        <v>--</v>
      </c>
      <c r="S36" s="85">
        <f t="shared" si="9"/>
      </c>
      <c r="T36" s="86">
        <f t="shared" si="10"/>
      </c>
      <c r="U36" s="144"/>
    </row>
    <row r="37" spans="2:21" s="16" customFormat="1" ht="16.5" customHeight="1">
      <c r="B37" s="140"/>
      <c r="C37" s="20"/>
      <c r="D37" s="79"/>
      <c r="E37" s="79"/>
      <c r="F37" s="80"/>
      <c r="G37" s="349">
        <f t="shared" si="0"/>
        <v>24.135</v>
      </c>
      <c r="H37" s="81"/>
      <c r="I37" s="82"/>
      <c r="J37" s="83">
        <f t="shared" si="2"/>
      </c>
      <c r="K37" s="30">
        <f t="shared" si="3"/>
      </c>
      <c r="L37" s="27"/>
      <c r="M37" s="23">
        <f t="shared" si="4"/>
      </c>
      <c r="N37" s="518">
        <f t="shared" si="1"/>
        <v>40</v>
      </c>
      <c r="O37" s="522" t="str">
        <f t="shared" si="5"/>
        <v>--</v>
      </c>
      <c r="P37" s="530" t="str">
        <f t="shared" si="6"/>
        <v>--</v>
      </c>
      <c r="Q37" s="531" t="str">
        <f t="shared" si="7"/>
        <v>--</v>
      </c>
      <c r="R37" s="536" t="str">
        <f t="shared" si="8"/>
        <v>--</v>
      </c>
      <c r="S37" s="85">
        <f t="shared" si="9"/>
      </c>
      <c r="T37" s="86">
        <f t="shared" si="10"/>
      </c>
      <c r="U37" s="144"/>
    </row>
    <row r="38" spans="2:21" s="16" customFormat="1" ht="16.5" customHeight="1">
      <c r="B38" s="140"/>
      <c r="C38" s="20"/>
      <c r="D38" s="79"/>
      <c r="E38" s="79"/>
      <c r="F38" s="80"/>
      <c r="G38" s="349">
        <f t="shared" si="0"/>
        <v>24.135</v>
      </c>
      <c r="H38" s="81"/>
      <c r="I38" s="82"/>
      <c r="J38" s="83">
        <f t="shared" si="2"/>
      </c>
      <c r="K38" s="30">
        <f t="shared" si="3"/>
      </c>
      <c r="L38" s="27"/>
      <c r="M38" s="23">
        <f t="shared" si="4"/>
      </c>
      <c r="N38" s="518">
        <f t="shared" si="1"/>
        <v>40</v>
      </c>
      <c r="O38" s="522" t="str">
        <f t="shared" si="5"/>
        <v>--</v>
      </c>
      <c r="P38" s="530" t="str">
        <f t="shared" si="6"/>
        <v>--</v>
      </c>
      <c r="Q38" s="531" t="str">
        <f t="shared" si="7"/>
        <v>--</v>
      </c>
      <c r="R38" s="536" t="str">
        <f t="shared" si="8"/>
        <v>--</v>
      </c>
      <c r="S38" s="85">
        <f t="shared" si="9"/>
      </c>
      <c r="T38" s="86">
        <f t="shared" si="10"/>
      </c>
      <c r="U38" s="144"/>
    </row>
    <row r="39" spans="2:21" s="16" customFormat="1" ht="16.5" customHeight="1">
      <c r="B39" s="140"/>
      <c r="C39" s="20"/>
      <c r="D39" s="79"/>
      <c r="E39" s="79"/>
      <c r="F39" s="80"/>
      <c r="G39" s="349">
        <f t="shared" si="0"/>
        <v>24.135</v>
      </c>
      <c r="H39" s="81"/>
      <c r="I39" s="82"/>
      <c r="J39" s="83">
        <f t="shared" si="2"/>
      </c>
      <c r="K39" s="30">
        <f t="shared" si="3"/>
      </c>
      <c r="L39" s="27"/>
      <c r="M39" s="23">
        <f t="shared" si="4"/>
      </c>
      <c r="N39" s="518">
        <f t="shared" si="1"/>
        <v>40</v>
      </c>
      <c r="O39" s="522" t="str">
        <f t="shared" si="5"/>
        <v>--</v>
      </c>
      <c r="P39" s="530" t="str">
        <f t="shared" si="6"/>
        <v>--</v>
      </c>
      <c r="Q39" s="531" t="str">
        <f t="shared" si="7"/>
        <v>--</v>
      </c>
      <c r="R39" s="536" t="str">
        <f t="shared" si="8"/>
        <v>--</v>
      </c>
      <c r="S39" s="85">
        <f t="shared" si="9"/>
      </c>
      <c r="T39" s="86">
        <f t="shared" si="10"/>
      </c>
      <c r="U39" s="144"/>
    </row>
    <row r="40" spans="2:21" s="16" customFormat="1" ht="16.5" customHeight="1">
      <c r="B40" s="140"/>
      <c r="C40" s="20"/>
      <c r="D40" s="79"/>
      <c r="E40" s="79"/>
      <c r="F40" s="80"/>
      <c r="G40" s="349">
        <f t="shared" si="0"/>
        <v>24.135</v>
      </c>
      <c r="H40" s="81"/>
      <c r="I40" s="82"/>
      <c r="J40" s="83">
        <f t="shared" si="2"/>
      </c>
      <c r="K40" s="30">
        <f t="shared" si="3"/>
      </c>
      <c r="L40" s="27"/>
      <c r="M40" s="23">
        <f t="shared" si="4"/>
      </c>
      <c r="N40" s="518">
        <f t="shared" si="1"/>
        <v>40</v>
      </c>
      <c r="O40" s="522" t="str">
        <f t="shared" si="5"/>
        <v>--</v>
      </c>
      <c r="P40" s="530" t="str">
        <f t="shared" si="6"/>
        <v>--</v>
      </c>
      <c r="Q40" s="531" t="str">
        <f t="shared" si="7"/>
        <v>--</v>
      </c>
      <c r="R40" s="536" t="str">
        <f t="shared" si="8"/>
        <v>--</v>
      </c>
      <c r="S40" s="85">
        <f t="shared" si="9"/>
      </c>
      <c r="T40" s="86">
        <f t="shared" si="10"/>
      </c>
      <c r="U40" s="144"/>
    </row>
    <row r="41" spans="2:21" s="16" customFormat="1" ht="16.5" customHeight="1">
      <c r="B41" s="140"/>
      <c r="C41" s="20"/>
      <c r="D41" s="79"/>
      <c r="E41" s="79"/>
      <c r="F41" s="80"/>
      <c r="G41" s="349">
        <f t="shared" si="0"/>
        <v>24.135</v>
      </c>
      <c r="H41" s="81"/>
      <c r="I41" s="82"/>
      <c r="J41" s="83">
        <f t="shared" si="2"/>
      </c>
      <c r="K41" s="30">
        <f t="shared" si="3"/>
      </c>
      <c r="L41" s="27"/>
      <c r="M41" s="23">
        <f t="shared" si="4"/>
      </c>
      <c r="N41" s="518">
        <f t="shared" si="1"/>
        <v>40</v>
      </c>
      <c r="O41" s="522" t="str">
        <f t="shared" si="5"/>
        <v>--</v>
      </c>
      <c r="P41" s="530" t="str">
        <f t="shared" si="6"/>
        <v>--</v>
      </c>
      <c r="Q41" s="531" t="str">
        <f t="shared" si="7"/>
        <v>--</v>
      </c>
      <c r="R41" s="536" t="str">
        <f t="shared" si="8"/>
        <v>--</v>
      </c>
      <c r="S41" s="85">
        <f t="shared" si="9"/>
      </c>
      <c r="T41" s="86">
        <f t="shared" si="10"/>
      </c>
      <c r="U41" s="144"/>
    </row>
    <row r="42" spans="2:21" s="16" customFormat="1" ht="16.5" customHeight="1" thickBot="1">
      <c r="B42" s="140"/>
      <c r="C42" s="33"/>
      <c r="D42" s="87"/>
      <c r="E42" s="87"/>
      <c r="F42" s="34"/>
      <c r="G42" s="350"/>
      <c r="H42" s="88"/>
      <c r="I42" s="88"/>
      <c r="J42" s="88"/>
      <c r="K42" s="88"/>
      <c r="L42" s="88"/>
      <c r="M42" s="37"/>
      <c r="N42" s="519"/>
      <c r="O42" s="523"/>
      <c r="P42" s="532"/>
      <c r="Q42" s="533"/>
      <c r="R42" s="537"/>
      <c r="S42" s="89"/>
      <c r="T42" s="717"/>
      <c r="U42" s="144"/>
    </row>
    <row r="43" spans="2:21" s="16" customFormat="1" ht="16.5" customHeight="1" thickBot="1" thickTop="1">
      <c r="B43" s="140"/>
      <c r="C43" s="282" t="s">
        <v>96</v>
      </c>
      <c r="D43" s="283" t="s">
        <v>97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525">
        <f>SUM(O20:O42)</f>
        <v>1429.9632000000001</v>
      </c>
      <c r="P43" s="534">
        <f>SUM(P20:P42)</f>
        <v>0</v>
      </c>
      <c r="Q43" s="535">
        <f>SUM(Q20:Q42)</f>
        <v>0</v>
      </c>
      <c r="R43" s="538">
        <f>SUM(R20:R42)</f>
        <v>0</v>
      </c>
      <c r="S43" s="90"/>
      <c r="T43" s="91">
        <f>ROUND(SUM(T20:T42),2)</f>
        <v>1429.96</v>
      </c>
      <c r="U43" s="144"/>
    </row>
    <row r="44" spans="2:21" s="286" customFormat="1" ht="13.5" thickTop="1">
      <c r="B44" s="287"/>
      <c r="C44" s="284"/>
      <c r="D44" s="285" t="s">
        <v>98</v>
      </c>
      <c r="E44"/>
      <c r="F44" s="303"/>
      <c r="G44" s="303"/>
      <c r="H44" s="303"/>
      <c r="I44" s="303"/>
      <c r="J44" s="303"/>
      <c r="K44" s="303"/>
      <c r="L44" s="303"/>
      <c r="M44" s="303"/>
      <c r="N44" s="303"/>
      <c r="O44" s="301"/>
      <c r="P44" s="301"/>
      <c r="Q44" s="301"/>
      <c r="R44" s="301"/>
      <c r="S44" s="301"/>
      <c r="T44" s="304"/>
      <c r="U44" s="305"/>
    </row>
    <row r="45" spans="2:21" s="16" customFormat="1" ht="16.5" customHeight="1" thickBot="1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1">
    <pageSetUpPr fitToPage="1"/>
  </sheetPr>
  <dimension ref="A1:X156"/>
  <sheetViews>
    <sheetView zoomScale="75" zoomScaleNormal="75" workbookViewId="0" topLeftCell="I21">
      <selection activeCell="W43" sqref="W4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108" customFormat="1" ht="26.25">
      <c r="A1" s="158"/>
      <c r="V1" s="691"/>
    </row>
    <row r="2" spans="1:22" s="108" customFormat="1" ht="26.25">
      <c r="A2" s="158"/>
      <c r="B2" s="269" t="str">
        <f>+'tot-0103'!B2</f>
        <v>ANEXO a la Resolución E.N.R.E. N°  113  /2002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22" s="16" customFormat="1" ht="13.5" thickTop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227"/>
    </row>
    <row r="8" spans="2:22" s="10" customFormat="1" ht="20.25">
      <c r="B8" s="173"/>
      <c r="D8" s="7" t="s">
        <v>119</v>
      </c>
      <c r="E8" s="92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64"/>
    </row>
    <row r="9" spans="2:22" s="16" customFormat="1" ht="12.75">
      <c r="B9" s="14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4"/>
    </row>
    <row r="10" spans="2:22" s="16" customFormat="1" ht="16.5" customHeight="1">
      <c r="B10" s="140"/>
      <c r="C10" s="14"/>
      <c r="D10" s="253"/>
      <c r="F10" s="121"/>
      <c r="G10" s="164"/>
      <c r="H10" s="164"/>
      <c r="I10" s="164"/>
      <c r="J10" s="164"/>
      <c r="K10" s="164"/>
      <c r="L10" s="164"/>
      <c r="M10" s="164"/>
      <c r="N10" s="164"/>
      <c r="O10" s="164"/>
      <c r="P10" s="14"/>
      <c r="Q10" s="14"/>
      <c r="R10" s="14"/>
      <c r="S10" s="14"/>
      <c r="T10" s="14"/>
      <c r="U10" s="14"/>
      <c r="V10" s="144"/>
    </row>
    <row r="11" spans="2:22" s="10" customFormat="1" ht="20.25">
      <c r="B11" s="173"/>
      <c r="D11" s="174" t="s">
        <v>121</v>
      </c>
      <c r="F11" s="265"/>
      <c r="G11" s="266"/>
      <c r="H11" s="266"/>
      <c r="I11" s="266"/>
      <c r="J11" s="266"/>
      <c r="K11" s="266"/>
      <c r="L11" s="266"/>
      <c r="M11" s="266"/>
      <c r="N11" s="266"/>
      <c r="O11" s="266"/>
      <c r="P11" s="11"/>
      <c r="Q11" s="11"/>
      <c r="R11" s="11"/>
      <c r="S11" s="11"/>
      <c r="T11" s="11"/>
      <c r="U11" s="11"/>
      <c r="V11" s="236"/>
    </row>
    <row r="12" spans="2:22" s="16" customFormat="1" ht="16.5" customHeight="1">
      <c r="B12" s="140"/>
      <c r="C12" s="14"/>
      <c r="D12" s="253"/>
      <c r="F12" s="121"/>
      <c r="G12" s="164"/>
      <c r="H12" s="164"/>
      <c r="I12" s="164"/>
      <c r="J12" s="164"/>
      <c r="K12" s="164"/>
      <c r="L12" s="164"/>
      <c r="M12" s="164"/>
      <c r="N12" s="164"/>
      <c r="O12" s="164"/>
      <c r="P12" s="14"/>
      <c r="Q12" s="14"/>
      <c r="R12" s="14"/>
      <c r="S12" s="14"/>
      <c r="T12" s="14"/>
      <c r="U12" s="14"/>
      <c r="V12" s="144"/>
    </row>
    <row r="13" spans="2:22" s="15" customFormat="1" ht="16.5" customHeight="1">
      <c r="B13" s="190" t="str">
        <f>+'tot-0103'!B14</f>
        <v>Desde el 01 al 31 de marzo de 2001</v>
      </c>
      <c r="C13" s="176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176"/>
      <c r="Q13" s="176"/>
      <c r="R13" s="176"/>
      <c r="S13" s="176"/>
      <c r="T13" s="176"/>
      <c r="U13" s="176"/>
      <c r="V13" s="268"/>
    </row>
    <row r="14" spans="2:22" s="16" customFormat="1" ht="16.5" customHeight="1" thickBot="1">
      <c r="B14" s="140"/>
      <c r="C14" s="14"/>
      <c r="D14" s="14"/>
      <c r="E14" s="14"/>
      <c r="F14" s="14"/>
      <c r="G14" s="14"/>
      <c r="H14" s="14"/>
      <c r="I14" s="14"/>
      <c r="J14" s="14"/>
      <c r="K14" s="14"/>
      <c r="P14" s="14"/>
      <c r="Q14" s="14"/>
      <c r="R14" s="14"/>
      <c r="S14" s="14"/>
      <c r="T14" s="14"/>
      <c r="U14" s="14"/>
      <c r="V14" s="144"/>
    </row>
    <row r="15" spans="2:22" s="16" customFormat="1" ht="16.5" customHeight="1" thickBot="1" thickTop="1">
      <c r="B15" s="140"/>
      <c r="C15" s="14"/>
      <c r="D15" s="246" t="s">
        <v>103</v>
      </c>
      <c r="E15" s="270"/>
      <c r="F15" s="278">
        <v>0.151</v>
      </c>
      <c r="G15" s="244"/>
      <c r="H15"/>
      <c r="I15" s="14"/>
      <c r="J15" s="14"/>
      <c r="K15" s="14"/>
      <c r="L15" s="14"/>
      <c r="M15" s="14"/>
      <c r="O15" s="14"/>
      <c r="P15" s="14"/>
      <c r="Q15" s="14"/>
      <c r="R15" s="14"/>
      <c r="S15" s="14"/>
      <c r="T15" s="14"/>
      <c r="U15" s="14"/>
      <c r="V15" s="144"/>
    </row>
    <row r="16" spans="2:22" s="16" customFormat="1" ht="16.5" customHeight="1" thickBot="1" thickTop="1">
      <c r="B16" s="140"/>
      <c r="C16" s="14"/>
      <c r="D16" s="271" t="s">
        <v>104</v>
      </c>
      <c r="E16" s="272"/>
      <c r="F16" s="273">
        <v>20</v>
      </c>
      <c r="G16" s="244"/>
      <c r="H16"/>
      <c r="I16" s="693"/>
      <c r="J16" s="694"/>
      <c r="K16" s="14"/>
      <c r="L16" s="14"/>
      <c r="M16" s="14"/>
      <c r="O16" s="14"/>
      <c r="P16" s="14"/>
      <c r="Q16" s="14"/>
      <c r="R16" s="165"/>
      <c r="S16" s="165"/>
      <c r="T16" s="165"/>
      <c r="U16" s="165"/>
      <c r="V16" s="144"/>
    </row>
    <row r="17" spans="2:22" s="16" customFormat="1" ht="16.5" customHeight="1" thickBot="1" thickTop="1">
      <c r="B17" s="140"/>
      <c r="C17" s="2"/>
      <c r="D17" s="254"/>
      <c r="E17" s="255"/>
      <c r="F17" s="255"/>
      <c r="G17" s="43"/>
      <c r="H17" s="43"/>
      <c r="I17" s="43" t="s">
        <v>187</v>
      </c>
      <c r="J17" s="43"/>
      <c r="K17" s="43"/>
      <c r="L17" s="43"/>
      <c r="M17" s="43"/>
      <c r="N17" s="43"/>
      <c r="O17" s="256"/>
      <c r="P17" s="257"/>
      <c r="Q17" s="258"/>
      <c r="R17" s="258"/>
      <c r="S17" s="258"/>
      <c r="T17" s="259"/>
      <c r="U17" s="260"/>
      <c r="V17" s="144"/>
    </row>
    <row r="18" spans="2:22" s="16" customFormat="1" ht="33.75" customHeight="1" thickBot="1" thickTop="1">
      <c r="B18" s="140"/>
      <c r="C18" s="180" t="s">
        <v>74</v>
      </c>
      <c r="D18" s="186" t="s">
        <v>105</v>
      </c>
      <c r="E18" s="182" t="s">
        <v>43</v>
      </c>
      <c r="F18" s="274" t="s">
        <v>106</v>
      </c>
      <c r="G18" s="348" t="s">
        <v>79</v>
      </c>
      <c r="H18" s="182" t="s">
        <v>80</v>
      </c>
      <c r="I18" s="182" t="s">
        <v>81</v>
      </c>
      <c r="J18" s="186" t="s">
        <v>82</v>
      </c>
      <c r="K18" s="186" t="s">
        <v>83</v>
      </c>
      <c r="L18" s="185" t="s">
        <v>84</v>
      </c>
      <c r="M18" s="185" t="s">
        <v>85</v>
      </c>
      <c r="N18" s="182" t="s">
        <v>87</v>
      </c>
      <c r="O18" s="348" t="s">
        <v>78</v>
      </c>
      <c r="P18" s="541" t="s">
        <v>99</v>
      </c>
      <c r="Q18" s="547" t="s">
        <v>122</v>
      </c>
      <c r="R18" s="548"/>
      <c r="S18" s="557" t="s">
        <v>92</v>
      </c>
      <c r="T18" s="187" t="s">
        <v>94</v>
      </c>
      <c r="U18" s="275" t="s">
        <v>95</v>
      </c>
      <c r="V18" s="144"/>
    </row>
    <row r="19" spans="2:22" s="16" customFormat="1" ht="16.5" customHeight="1" thickTop="1">
      <c r="B19" s="140"/>
      <c r="C19" s="261"/>
      <c r="D19" s="262"/>
      <c r="E19" s="262"/>
      <c r="F19" s="262"/>
      <c r="G19" s="354"/>
      <c r="H19" s="263"/>
      <c r="I19" s="263"/>
      <c r="J19" s="261"/>
      <c r="K19" s="261"/>
      <c r="L19" s="262"/>
      <c r="M19"/>
      <c r="N19" s="261"/>
      <c r="O19" s="361"/>
      <c r="P19" s="542"/>
      <c r="Q19" s="549"/>
      <c r="R19" s="550"/>
      <c r="S19" s="558"/>
      <c r="T19" s="562"/>
      <c r="U19" s="574"/>
      <c r="V19" s="144"/>
    </row>
    <row r="20" spans="2:22" s="16" customFormat="1" ht="16.5" customHeight="1" hidden="1">
      <c r="B20" s="140"/>
      <c r="C20" s="32"/>
      <c r="D20" s="98"/>
      <c r="E20" s="99"/>
      <c r="F20" s="100"/>
      <c r="G20" s="360"/>
      <c r="H20" s="102"/>
      <c r="I20" s="103"/>
      <c r="J20" s="104"/>
      <c r="K20" s="105"/>
      <c r="L20" s="106"/>
      <c r="M20" s="18"/>
      <c r="N20" s="101"/>
      <c r="O20" s="362"/>
      <c r="P20" s="543"/>
      <c r="Q20" s="551"/>
      <c r="R20" s="552"/>
      <c r="S20" s="559"/>
      <c r="T20" s="101"/>
      <c r="U20" s="276"/>
      <c r="V20" s="144"/>
    </row>
    <row r="21" spans="2:22" s="16" customFormat="1" ht="16.5" customHeight="1">
      <c r="B21" s="140"/>
      <c r="C21" s="32">
        <v>49</v>
      </c>
      <c r="D21" s="98" t="s">
        <v>45</v>
      </c>
      <c r="E21" s="99" t="s">
        <v>50</v>
      </c>
      <c r="F21" s="100">
        <v>245</v>
      </c>
      <c r="G21" s="1335">
        <f aca="true" t="shared" si="0" ref="G21:G39">F21*$F$15</f>
        <v>36.995</v>
      </c>
      <c r="H21" s="102">
        <v>36951</v>
      </c>
      <c r="I21" s="103">
        <v>36951.183333333334</v>
      </c>
      <c r="J21" s="104">
        <f aca="true" t="shared" si="1" ref="J21:J39">IF(D21="","",(I21-H21)*24)</f>
        <v>4.400000000023283</v>
      </c>
      <c r="K21" s="105">
        <f aca="true" t="shared" si="2" ref="K21:K39">IF(D21="","",ROUND((I21-H21)*24*60,0))</f>
        <v>264</v>
      </c>
      <c r="L21" s="106" t="s">
        <v>177</v>
      </c>
      <c r="M21" s="1336" t="str">
        <f aca="true" t="shared" si="3" ref="M21:M39">IF(D21="","","--")</f>
        <v>--</v>
      </c>
      <c r="N21" s="101" t="str">
        <f aca="true" t="shared" si="4" ref="N21:N39">IF(D21="","",IF(OR(L21="P",L21="RP"),"--","NO"))</f>
        <v>--</v>
      </c>
      <c r="O21" s="362">
        <f aca="true" t="shared" si="5" ref="O21:O39">IF(L21="P",$F$16/10,$F$16)</f>
        <v>2</v>
      </c>
      <c r="P21" s="543">
        <f aca="true" t="shared" si="6" ref="P21:P39">IF(L21="P",G21*O21*ROUND(K21/60,2),"--")</f>
        <v>325.556</v>
      </c>
      <c r="Q21" s="551" t="str">
        <f aca="true" t="shared" si="7" ref="Q21:Q39">IF(AND(L21="F",N21="NO"),G21*O21,"--")</f>
        <v>--</v>
      </c>
      <c r="R21" s="552" t="str">
        <f aca="true" t="shared" si="8" ref="R21:R39">IF(L21="F",G21*O21*ROUND(K21/60,2),"--")</f>
        <v>--</v>
      </c>
      <c r="S21" s="559" t="str">
        <f aca="true" t="shared" si="9" ref="S21:S39">IF(L21="RF",G21*O21*ROUND(K21/60,2),"--")</f>
        <v>--</v>
      </c>
      <c r="T21" s="101" t="str">
        <f aca="true" t="shared" si="10" ref="T21:T39">IF(D21="","","SI")</f>
        <v>SI</v>
      </c>
      <c r="U21" s="1337">
        <f aca="true" t="shared" si="11" ref="U21:U39">IF(D21="","",SUM(P21:S21)*IF(T21="SI",1,2))</f>
        <v>325.556</v>
      </c>
      <c r="V21" s="144"/>
    </row>
    <row r="22" spans="2:22" s="16" customFormat="1" ht="16.5" customHeight="1">
      <c r="B22" s="140"/>
      <c r="C22" s="20">
        <v>50</v>
      </c>
      <c r="D22" s="93" t="s">
        <v>45</v>
      </c>
      <c r="E22" s="79" t="s">
        <v>51</v>
      </c>
      <c r="F22" s="78">
        <v>245</v>
      </c>
      <c r="G22" s="629">
        <f t="shared" si="0"/>
        <v>36.995</v>
      </c>
      <c r="H22" s="81">
        <v>36951.20277777778</v>
      </c>
      <c r="I22" s="31">
        <v>36951.26944444444</v>
      </c>
      <c r="J22" s="83">
        <f t="shared" si="1"/>
        <v>1.599999999976717</v>
      </c>
      <c r="K22" s="30">
        <f t="shared" si="2"/>
        <v>96</v>
      </c>
      <c r="L22" s="27" t="s">
        <v>177</v>
      </c>
      <c r="M22" s="28" t="str">
        <f t="shared" si="3"/>
        <v>--</v>
      </c>
      <c r="N22" s="23" t="str">
        <f t="shared" si="4"/>
        <v>--</v>
      </c>
      <c r="O22" s="358">
        <f t="shared" si="5"/>
        <v>2</v>
      </c>
      <c r="P22" s="544">
        <f t="shared" si="6"/>
        <v>118.384</v>
      </c>
      <c r="Q22" s="551" t="str">
        <f t="shared" si="7"/>
        <v>--</v>
      </c>
      <c r="R22" s="552" t="str">
        <f t="shared" si="8"/>
        <v>--</v>
      </c>
      <c r="S22" s="559" t="str">
        <f t="shared" si="9"/>
        <v>--</v>
      </c>
      <c r="T22" s="23" t="str">
        <f t="shared" si="10"/>
        <v>SI</v>
      </c>
      <c r="U22" s="86">
        <f t="shared" si="11"/>
        <v>118.384</v>
      </c>
      <c r="V22" s="144"/>
    </row>
    <row r="23" spans="2:22" s="16" customFormat="1" ht="16.5" customHeight="1">
      <c r="B23" s="140"/>
      <c r="C23" s="20">
        <v>51</v>
      </c>
      <c r="D23" s="93" t="s">
        <v>45</v>
      </c>
      <c r="E23" s="79" t="s">
        <v>51</v>
      </c>
      <c r="F23" s="78">
        <v>245</v>
      </c>
      <c r="G23" s="629">
        <f t="shared" si="0"/>
        <v>36.995</v>
      </c>
      <c r="H23" s="81">
        <v>36951.961805555555</v>
      </c>
      <c r="I23" s="31">
        <v>36952.29652777778</v>
      </c>
      <c r="J23" s="83">
        <f t="shared" si="1"/>
        <v>8.033333333325572</v>
      </c>
      <c r="K23" s="30">
        <f t="shared" si="2"/>
        <v>482</v>
      </c>
      <c r="L23" s="27" t="s">
        <v>177</v>
      </c>
      <c r="M23" s="28" t="str">
        <f t="shared" si="3"/>
        <v>--</v>
      </c>
      <c r="N23" s="23" t="str">
        <f t="shared" si="4"/>
        <v>--</v>
      </c>
      <c r="O23" s="358">
        <f t="shared" si="5"/>
        <v>2</v>
      </c>
      <c r="P23" s="544">
        <f t="shared" si="6"/>
        <v>594.1397</v>
      </c>
      <c r="Q23" s="551" t="str">
        <f t="shared" si="7"/>
        <v>--</v>
      </c>
      <c r="R23" s="552" t="str">
        <f t="shared" si="8"/>
        <v>--</v>
      </c>
      <c r="S23" s="559" t="str">
        <f t="shared" si="9"/>
        <v>--</v>
      </c>
      <c r="T23" s="23" t="str">
        <f t="shared" si="10"/>
        <v>SI</v>
      </c>
      <c r="U23" s="86">
        <f t="shared" si="11"/>
        <v>594.1397</v>
      </c>
      <c r="V23" s="144"/>
    </row>
    <row r="24" spans="2:22" s="16" customFormat="1" ht="16.5" customHeight="1">
      <c r="B24" s="140"/>
      <c r="C24" s="20">
        <v>52</v>
      </c>
      <c r="D24" s="93" t="s">
        <v>45</v>
      </c>
      <c r="E24" s="79" t="s">
        <v>49</v>
      </c>
      <c r="F24" s="78">
        <v>245</v>
      </c>
      <c r="G24" s="629">
        <f t="shared" si="0"/>
        <v>36.995</v>
      </c>
      <c r="H24" s="81">
        <v>36952.916666666664</v>
      </c>
      <c r="I24" s="31">
        <v>36955.34861111111</v>
      </c>
      <c r="J24" s="83">
        <f t="shared" si="1"/>
        <v>58.36666666675592</v>
      </c>
      <c r="K24" s="30">
        <f t="shared" si="2"/>
        <v>3502</v>
      </c>
      <c r="L24" s="27" t="s">
        <v>177</v>
      </c>
      <c r="M24" s="28" t="str">
        <f t="shared" si="3"/>
        <v>--</v>
      </c>
      <c r="N24" s="23" t="str">
        <f t="shared" si="4"/>
        <v>--</v>
      </c>
      <c r="O24" s="358">
        <f t="shared" si="5"/>
        <v>2</v>
      </c>
      <c r="P24" s="544">
        <f t="shared" si="6"/>
        <v>4318.796299999999</v>
      </c>
      <c r="Q24" s="551" t="str">
        <f t="shared" si="7"/>
        <v>--</v>
      </c>
      <c r="R24" s="552" t="str">
        <f t="shared" si="8"/>
        <v>--</v>
      </c>
      <c r="S24" s="559" t="str">
        <f t="shared" si="9"/>
        <v>--</v>
      </c>
      <c r="T24" s="23" t="str">
        <f t="shared" si="10"/>
        <v>SI</v>
      </c>
      <c r="U24" s="86">
        <f t="shared" si="11"/>
        <v>4318.796299999999</v>
      </c>
      <c r="V24" s="251"/>
    </row>
    <row r="25" spans="2:22" s="16" customFormat="1" ht="16.5" customHeight="1">
      <c r="B25" s="140"/>
      <c r="C25" s="20">
        <v>53</v>
      </c>
      <c r="D25" s="93" t="s">
        <v>41</v>
      </c>
      <c r="E25" s="79" t="s">
        <v>167</v>
      </c>
      <c r="F25" s="78">
        <v>150</v>
      </c>
      <c r="G25" s="629">
        <f t="shared" si="0"/>
        <v>22.65</v>
      </c>
      <c r="H25" s="81">
        <v>36954.61666666667</v>
      </c>
      <c r="I25" s="31">
        <v>36954.68819444445</v>
      </c>
      <c r="J25" s="83">
        <f t="shared" si="1"/>
        <v>1.7166666666744277</v>
      </c>
      <c r="K25" s="30">
        <f t="shared" si="2"/>
        <v>103</v>
      </c>
      <c r="L25" s="27" t="s">
        <v>177</v>
      </c>
      <c r="M25" s="28" t="str">
        <f t="shared" si="3"/>
        <v>--</v>
      </c>
      <c r="N25" s="23" t="str">
        <f t="shared" si="4"/>
        <v>--</v>
      </c>
      <c r="O25" s="358">
        <f t="shared" si="5"/>
        <v>2</v>
      </c>
      <c r="P25" s="544">
        <f t="shared" si="6"/>
        <v>77.916</v>
      </c>
      <c r="Q25" s="551" t="str">
        <f t="shared" si="7"/>
        <v>--</v>
      </c>
      <c r="R25" s="552" t="str">
        <f t="shared" si="8"/>
        <v>--</v>
      </c>
      <c r="S25" s="559" t="str">
        <f t="shared" si="9"/>
        <v>--</v>
      </c>
      <c r="T25" s="23" t="str">
        <f t="shared" si="10"/>
        <v>SI</v>
      </c>
      <c r="U25" s="86">
        <f t="shared" si="11"/>
        <v>77.916</v>
      </c>
      <c r="V25" s="251"/>
    </row>
    <row r="26" spans="2:22" s="16" customFormat="1" ht="16.5" customHeight="1">
      <c r="B26" s="140"/>
      <c r="C26" s="20">
        <v>54</v>
      </c>
      <c r="D26" s="93" t="s">
        <v>27</v>
      </c>
      <c r="E26" s="79" t="s">
        <v>169</v>
      </c>
      <c r="F26" s="78">
        <v>80</v>
      </c>
      <c r="G26" s="629">
        <f t="shared" si="0"/>
        <v>12.08</v>
      </c>
      <c r="H26" s="81">
        <v>36956.43958333333</v>
      </c>
      <c r="I26" s="31">
        <v>36956.58819444444</v>
      </c>
      <c r="J26" s="83">
        <f t="shared" si="1"/>
        <v>3.566666666592937</v>
      </c>
      <c r="K26" s="30">
        <f t="shared" si="2"/>
        <v>214</v>
      </c>
      <c r="L26" s="27" t="s">
        <v>177</v>
      </c>
      <c r="M26" s="28" t="str">
        <f t="shared" si="3"/>
        <v>--</v>
      </c>
      <c r="N26" s="23" t="str">
        <f t="shared" si="4"/>
        <v>--</v>
      </c>
      <c r="O26" s="358">
        <f t="shared" si="5"/>
        <v>2</v>
      </c>
      <c r="P26" s="544">
        <f t="shared" si="6"/>
        <v>86.2512</v>
      </c>
      <c r="Q26" s="551" t="str">
        <f t="shared" si="7"/>
        <v>--</v>
      </c>
      <c r="R26" s="552" t="str">
        <f t="shared" si="8"/>
        <v>--</v>
      </c>
      <c r="S26" s="559" t="str">
        <f t="shared" si="9"/>
        <v>--</v>
      </c>
      <c r="T26" s="23" t="str">
        <f t="shared" si="10"/>
        <v>SI</v>
      </c>
      <c r="U26" s="86">
        <f t="shared" si="11"/>
        <v>86.2512</v>
      </c>
      <c r="V26" s="251"/>
    </row>
    <row r="27" spans="2:22" s="16" customFormat="1" ht="16.5" customHeight="1">
      <c r="B27" s="140"/>
      <c r="C27" s="20">
        <v>55</v>
      </c>
      <c r="D27" s="93" t="s">
        <v>45</v>
      </c>
      <c r="E27" s="79" t="s">
        <v>46</v>
      </c>
      <c r="F27" s="78">
        <v>245</v>
      </c>
      <c r="G27" s="629">
        <f t="shared" si="0"/>
        <v>36.995</v>
      </c>
      <c r="H27" s="81">
        <v>36956.91805555556</v>
      </c>
      <c r="I27" s="31">
        <v>36957.05416666667</v>
      </c>
      <c r="J27" s="83">
        <f t="shared" si="1"/>
        <v>3.266666666662786</v>
      </c>
      <c r="K27" s="30">
        <f t="shared" si="2"/>
        <v>196</v>
      </c>
      <c r="L27" s="27" t="s">
        <v>177</v>
      </c>
      <c r="M27" s="28" t="str">
        <f t="shared" si="3"/>
        <v>--</v>
      </c>
      <c r="N27" s="23" t="str">
        <f t="shared" si="4"/>
        <v>--</v>
      </c>
      <c r="O27" s="358">
        <f t="shared" si="5"/>
        <v>2</v>
      </c>
      <c r="P27" s="544">
        <f t="shared" si="6"/>
        <v>241.94729999999998</v>
      </c>
      <c r="Q27" s="551" t="str">
        <f t="shared" si="7"/>
        <v>--</v>
      </c>
      <c r="R27" s="552" t="str">
        <f t="shared" si="8"/>
        <v>--</v>
      </c>
      <c r="S27" s="559" t="str">
        <f t="shared" si="9"/>
        <v>--</v>
      </c>
      <c r="T27" s="23" t="str">
        <f t="shared" si="10"/>
        <v>SI</v>
      </c>
      <c r="U27" s="86">
        <f t="shared" si="11"/>
        <v>241.94729999999998</v>
      </c>
      <c r="V27" s="251"/>
    </row>
    <row r="28" spans="2:22" s="16" customFormat="1" ht="16.5" customHeight="1">
      <c r="B28" s="140"/>
      <c r="C28" s="20">
        <v>56</v>
      </c>
      <c r="D28" s="93" t="s">
        <v>45</v>
      </c>
      <c r="E28" s="79" t="s">
        <v>47</v>
      </c>
      <c r="F28" s="78">
        <v>245</v>
      </c>
      <c r="G28" s="629">
        <f t="shared" si="0"/>
        <v>36.995</v>
      </c>
      <c r="H28" s="81">
        <v>36957.05625</v>
      </c>
      <c r="I28" s="31">
        <v>36957.18680555555</v>
      </c>
      <c r="J28" s="83">
        <f t="shared" si="1"/>
        <v>3.1333333332440816</v>
      </c>
      <c r="K28" s="30">
        <f t="shared" si="2"/>
        <v>188</v>
      </c>
      <c r="L28" s="27" t="s">
        <v>177</v>
      </c>
      <c r="M28" s="28" t="str">
        <f t="shared" si="3"/>
        <v>--</v>
      </c>
      <c r="N28" s="23" t="str">
        <f t="shared" si="4"/>
        <v>--</v>
      </c>
      <c r="O28" s="358">
        <f t="shared" si="5"/>
        <v>2</v>
      </c>
      <c r="P28" s="544">
        <f t="shared" si="6"/>
        <v>231.5887</v>
      </c>
      <c r="Q28" s="551" t="str">
        <f t="shared" si="7"/>
        <v>--</v>
      </c>
      <c r="R28" s="552" t="str">
        <f t="shared" si="8"/>
        <v>--</v>
      </c>
      <c r="S28" s="559" t="str">
        <f t="shared" si="9"/>
        <v>--</v>
      </c>
      <c r="T28" s="23" t="str">
        <f t="shared" si="10"/>
        <v>SI</v>
      </c>
      <c r="U28" s="86">
        <f t="shared" si="11"/>
        <v>231.5887</v>
      </c>
      <c r="V28" s="251"/>
    </row>
    <row r="29" spans="2:22" s="16" customFormat="1" ht="16.5" customHeight="1">
      <c r="B29" s="140"/>
      <c r="C29" s="20">
        <v>57</v>
      </c>
      <c r="D29" s="93" t="s">
        <v>45</v>
      </c>
      <c r="E29" s="79" t="s">
        <v>51</v>
      </c>
      <c r="F29" s="78">
        <v>245</v>
      </c>
      <c r="G29" s="629">
        <f t="shared" si="0"/>
        <v>36.995</v>
      </c>
      <c r="H29" s="81">
        <v>36957.19027777778</v>
      </c>
      <c r="I29" s="31">
        <v>36957.19513888889</v>
      </c>
      <c r="J29" s="83">
        <f t="shared" si="1"/>
        <v>0.11666666669771075</v>
      </c>
      <c r="K29" s="30">
        <f t="shared" si="2"/>
        <v>7</v>
      </c>
      <c r="L29" s="27" t="s">
        <v>177</v>
      </c>
      <c r="M29" s="28" t="str">
        <f t="shared" si="3"/>
        <v>--</v>
      </c>
      <c r="N29" s="23" t="str">
        <f t="shared" si="4"/>
        <v>--</v>
      </c>
      <c r="O29" s="358">
        <f t="shared" si="5"/>
        <v>2</v>
      </c>
      <c r="P29" s="544">
        <f t="shared" si="6"/>
        <v>8.878799999999998</v>
      </c>
      <c r="Q29" s="551" t="str">
        <f t="shared" si="7"/>
        <v>--</v>
      </c>
      <c r="R29" s="552" t="str">
        <f t="shared" si="8"/>
        <v>--</v>
      </c>
      <c r="S29" s="559" t="str">
        <f t="shared" si="9"/>
        <v>--</v>
      </c>
      <c r="T29" s="23" t="str">
        <f t="shared" si="10"/>
        <v>SI</v>
      </c>
      <c r="U29" s="86">
        <f t="shared" si="11"/>
        <v>8.878799999999998</v>
      </c>
      <c r="V29" s="251"/>
    </row>
    <row r="30" spans="2:22" s="16" customFormat="1" ht="16.5" customHeight="1">
      <c r="B30" s="140"/>
      <c r="C30" s="20">
        <v>59</v>
      </c>
      <c r="D30" s="93" t="s">
        <v>28</v>
      </c>
      <c r="E30" s="79" t="s">
        <v>170</v>
      </c>
      <c r="F30" s="78">
        <v>50</v>
      </c>
      <c r="G30" s="629">
        <f t="shared" si="0"/>
        <v>7.55</v>
      </c>
      <c r="H30" s="81">
        <v>36966.353472222225</v>
      </c>
      <c r="I30" s="31">
        <v>36966.74375</v>
      </c>
      <c r="J30" s="83">
        <f t="shared" si="1"/>
        <v>9.366666666639503</v>
      </c>
      <c r="K30" s="30">
        <f t="shared" si="2"/>
        <v>562</v>
      </c>
      <c r="L30" s="27" t="s">
        <v>177</v>
      </c>
      <c r="M30" s="28" t="str">
        <f t="shared" si="3"/>
        <v>--</v>
      </c>
      <c r="N30" s="23" t="str">
        <f t="shared" si="4"/>
        <v>--</v>
      </c>
      <c r="O30" s="358">
        <f t="shared" si="5"/>
        <v>2</v>
      </c>
      <c r="P30" s="544">
        <f t="shared" si="6"/>
        <v>141.487</v>
      </c>
      <c r="Q30" s="551" t="str">
        <f t="shared" si="7"/>
        <v>--</v>
      </c>
      <c r="R30" s="552" t="str">
        <f t="shared" si="8"/>
        <v>--</v>
      </c>
      <c r="S30" s="559" t="str">
        <f t="shared" si="9"/>
        <v>--</v>
      </c>
      <c r="T30" s="23" t="str">
        <f t="shared" si="10"/>
        <v>SI</v>
      </c>
      <c r="U30" s="86">
        <f t="shared" si="11"/>
        <v>141.487</v>
      </c>
      <c r="V30" s="144"/>
    </row>
    <row r="31" spans="2:22" s="16" customFormat="1" ht="16.5" customHeight="1">
      <c r="B31" s="140"/>
      <c r="C31" s="20">
        <v>60</v>
      </c>
      <c r="D31" s="93" t="s">
        <v>52</v>
      </c>
      <c r="E31" s="79" t="s">
        <v>172</v>
      </c>
      <c r="F31" s="78">
        <v>85</v>
      </c>
      <c r="G31" s="629">
        <f t="shared" si="0"/>
        <v>12.834999999999999</v>
      </c>
      <c r="H31" s="81">
        <v>36966.42222222222</v>
      </c>
      <c r="I31" s="31">
        <v>36966.61319444444</v>
      </c>
      <c r="J31" s="83">
        <f t="shared" si="1"/>
        <v>4.583333333255723</v>
      </c>
      <c r="K31" s="30">
        <f t="shared" si="2"/>
        <v>275</v>
      </c>
      <c r="L31" s="27" t="s">
        <v>177</v>
      </c>
      <c r="M31" s="28" t="str">
        <f t="shared" si="3"/>
        <v>--</v>
      </c>
      <c r="N31" s="23" t="str">
        <f t="shared" si="4"/>
        <v>--</v>
      </c>
      <c r="O31" s="358">
        <f t="shared" si="5"/>
        <v>2</v>
      </c>
      <c r="P31" s="544">
        <f t="shared" si="6"/>
        <v>117.56859999999999</v>
      </c>
      <c r="Q31" s="551" t="str">
        <f t="shared" si="7"/>
        <v>--</v>
      </c>
      <c r="R31" s="552" t="str">
        <f t="shared" si="8"/>
        <v>--</v>
      </c>
      <c r="S31" s="559" t="str">
        <f t="shared" si="9"/>
        <v>--</v>
      </c>
      <c r="T31" s="23" t="str">
        <f t="shared" si="10"/>
        <v>SI</v>
      </c>
      <c r="U31" s="86">
        <f t="shared" si="11"/>
        <v>117.56859999999999</v>
      </c>
      <c r="V31" s="144"/>
    </row>
    <row r="32" spans="2:22" s="16" customFormat="1" ht="16.5" customHeight="1">
      <c r="B32" s="140"/>
      <c r="C32" s="20">
        <v>61</v>
      </c>
      <c r="D32" s="93" t="s">
        <v>45</v>
      </c>
      <c r="E32" s="79" t="s">
        <v>50</v>
      </c>
      <c r="F32" s="78">
        <v>245</v>
      </c>
      <c r="G32" s="629">
        <f t="shared" si="0"/>
        <v>36.995</v>
      </c>
      <c r="H32" s="81">
        <v>36970.25</v>
      </c>
      <c r="I32" s="31">
        <v>36970.586805555555</v>
      </c>
      <c r="J32" s="83">
        <f t="shared" si="1"/>
        <v>8.08333333331393</v>
      </c>
      <c r="K32" s="30">
        <f t="shared" si="2"/>
        <v>485</v>
      </c>
      <c r="L32" s="27" t="s">
        <v>177</v>
      </c>
      <c r="M32" s="28" t="str">
        <f t="shared" si="3"/>
        <v>--</v>
      </c>
      <c r="N32" s="23" t="str">
        <f t="shared" si="4"/>
        <v>--</v>
      </c>
      <c r="O32" s="358">
        <f t="shared" si="5"/>
        <v>2</v>
      </c>
      <c r="P32" s="544">
        <f t="shared" si="6"/>
        <v>597.8392</v>
      </c>
      <c r="Q32" s="551" t="str">
        <f t="shared" si="7"/>
        <v>--</v>
      </c>
      <c r="R32" s="552" t="str">
        <f t="shared" si="8"/>
        <v>--</v>
      </c>
      <c r="S32" s="559" t="str">
        <f t="shared" si="9"/>
        <v>--</v>
      </c>
      <c r="T32" s="23" t="str">
        <f t="shared" si="10"/>
        <v>SI</v>
      </c>
      <c r="U32" s="86">
        <f t="shared" si="11"/>
        <v>597.8392</v>
      </c>
      <c r="V32" s="144"/>
    </row>
    <row r="33" spans="2:22" s="16" customFormat="1" ht="16.5" customHeight="1">
      <c r="B33" s="140"/>
      <c r="C33" s="20">
        <v>62</v>
      </c>
      <c r="D33" s="93" t="s">
        <v>22</v>
      </c>
      <c r="E33" s="79" t="s">
        <v>166</v>
      </c>
      <c r="F33" s="78">
        <v>150</v>
      </c>
      <c r="G33" s="629">
        <f t="shared" si="0"/>
        <v>22.65</v>
      </c>
      <c r="H33" s="81">
        <v>36970.35555555556</v>
      </c>
      <c r="I33" s="31">
        <v>36970.694444444445</v>
      </c>
      <c r="J33" s="83">
        <f t="shared" si="1"/>
        <v>8.13333333330229</v>
      </c>
      <c r="K33" s="30">
        <f t="shared" si="2"/>
        <v>488</v>
      </c>
      <c r="L33" s="27" t="s">
        <v>177</v>
      </c>
      <c r="M33" s="28" t="str">
        <f t="shared" si="3"/>
        <v>--</v>
      </c>
      <c r="N33" s="23" t="str">
        <f t="shared" si="4"/>
        <v>--</v>
      </c>
      <c r="O33" s="358">
        <f t="shared" si="5"/>
        <v>2</v>
      </c>
      <c r="P33" s="544">
        <f t="shared" si="6"/>
        <v>368.289</v>
      </c>
      <c r="Q33" s="551" t="str">
        <f t="shared" si="7"/>
        <v>--</v>
      </c>
      <c r="R33" s="552" t="str">
        <f t="shared" si="8"/>
        <v>--</v>
      </c>
      <c r="S33" s="559" t="str">
        <f t="shared" si="9"/>
        <v>--</v>
      </c>
      <c r="T33" s="23" t="str">
        <f t="shared" si="10"/>
        <v>SI</v>
      </c>
      <c r="U33" s="86">
        <f t="shared" si="11"/>
        <v>368.289</v>
      </c>
      <c r="V33" s="144"/>
    </row>
    <row r="34" spans="2:22" s="16" customFormat="1" ht="16.5" customHeight="1">
      <c r="B34" s="140"/>
      <c r="C34" s="20">
        <v>63</v>
      </c>
      <c r="D34" s="93" t="s">
        <v>37</v>
      </c>
      <c r="E34" s="79" t="s">
        <v>171</v>
      </c>
      <c r="F34" s="78">
        <v>50</v>
      </c>
      <c r="G34" s="629">
        <f t="shared" si="0"/>
        <v>7.55</v>
      </c>
      <c r="H34" s="81">
        <v>36970.430555555555</v>
      </c>
      <c r="I34" s="31">
        <v>36970.61875</v>
      </c>
      <c r="J34" s="83">
        <f t="shared" si="1"/>
        <v>4.516666666720994</v>
      </c>
      <c r="K34" s="30">
        <f t="shared" si="2"/>
        <v>271</v>
      </c>
      <c r="L34" s="27" t="s">
        <v>177</v>
      </c>
      <c r="M34" s="28" t="str">
        <f t="shared" si="3"/>
        <v>--</v>
      </c>
      <c r="N34" s="23" t="str">
        <f t="shared" si="4"/>
        <v>--</v>
      </c>
      <c r="O34" s="358">
        <f t="shared" si="5"/>
        <v>2</v>
      </c>
      <c r="P34" s="544">
        <f t="shared" si="6"/>
        <v>68.252</v>
      </c>
      <c r="Q34" s="551" t="str">
        <f t="shared" si="7"/>
        <v>--</v>
      </c>
      <c r="R34" s="552" t="str">
        <f t="shared" si="8"/>
        <v>--</v>
      </c>
      <c r="S34" s="559" t="str">
        <f t="shared" si="9"/>
        <v>--</v>
      </c>
      <c r="T34" s="23" t="str">
        <f t="shared" si="10"/>
        <v>SI</v>
      </c>
      <c r="U34" s="86">
        <f t="shared" si="11"/>
        <v>68.252</v>
      </c>
      <c r="V34" s="144"/>
    </row>
    <row r="35" spans="2:22" s="16" customFormat="1" ht="16.5" customHeight="1">
      <c r="B35" s="140"/>
      <c r="C35" s="20">
        <v>64</v>
      </c>
      <c r="D35" s="93" t="s">
        <v>45</v>
      </c>
      <c r="E35" s="79" t="s">
        <v>50</v>
      </c>
      <c r="F35" s="78">
        <v>245</v>
      </c>
      <c r="G35" s="629">
        <f t="shared" si="0"/>
        <v>36.995</v>
      </c>
      <c r="H35" s="81">
        <v>36970.63333333333</v>
      </c>
      <c r="I35" s="31">
        <v>36970.7625</v>
      </c>
      <c r="J35" s="83">
        <f t="shared" si="1"/>
        <v>3.099999999976717</v>
      </c>
      <c r="K35" s="30">
        <f t="shared" si="2"/>
        <v>186</v>
      </c>
      <c r="L35" s="27" t="s">
        <v>177</v>
      </c>
      <c r="M35" s="28" t="str">
        <f t="shared" si="3"/>
        <v>--</v>
      </c>
      <c r="N35" s="23" t="str">
        <f t="shared" si="4"/>
        <v>--</v>
      </c>
      <c r="O35" s="358">
        <f t="shared" si="5"/>
        <v>2</v>
      </c>
      <c r="P35" s="544">
        <f t="shared" si="6"/>
        <v>229.369</v>
      </c>
      <c r="Q35" s="551" t="str">
        <f t="shared" si="7"/>
        <v>--</v>
      </c>
      <c r="R35" s="552" t="str">
        <f t="shared" si="8"/>
        <v>--</v>
      </c>
      <c r="S35" s="559" t="str">
        <f t="shared" si="9"/>
        <v>--</v>
      </c>
      <c r="T35" s="23" t="str">
        <f t="shared" si="10"/>
        <v>SI</v>
      </c>
      <c r="U35" s="86">
        <f t="shared" si="11"/>
        <v>229.369</v>
      </c>
      <c r="V35" s="144"/>
    </row>
    <row r="36" spans="2:22" s="16" customFormat="1" ht="16.5" customHeight="1">
      <c r="B36" s="140"/>
      <c r="C36" s="20">
        <v>65</v>
      </c>
      <c r="D36" s="93" t="s">
        <v>22</v>
      </c>
      <c r="E36" s="79" t="s">
        <v>166</v>
      </c>
      <c r="F36" s="78">
        <v>150</v>
      </c>
      <c r="G36" s="629">
        <f t="shared" si="0"/>
        <v>22.65</v>
      </c>
      <c r="H36" s="81">
        <v>36971.34375</v>
      </c>
      <c r="I36" s="31">
        <v>36971.691666666666</v>
      </c>
      <c r="J36" s="83">
        <f t="shared" si="1"/>
        <v>8.349999999976717</v>
      </c>
      <c r="K36" s="30">
        <f t="shared" si="2"/>
        <v>501</v>
      </c>
      <c r="L36" s="27" t="s">
        <v>177</v>
      </c>
      <c r="M36" s="28" t="str">
        <f t="shared" si="3"/>
        <v>--</v>
      </c>
      <c r="N36" s="23" t="str">
        <f t="shared" si="4"/>
        <v>--</v>
      </c>
      <c r="O36" s="358">
        <f t="shared" si="5"/>
        <v>2</v>
      </c>
      <c r="P36" s="544">
        <f t="shared" si="6"/>
        <v>378.25499999999994</v>
      </c>
      <c r="Q36" s="551" t="str">
        <f t="shared" si="7"/>
        <v>--</v>
      </c>
      <c r="R36" s="552" t="str">
        <f t="shared" si="8"/>
        <v>--</v>
      </c>
      <c r="S36" s="559" t="str">
        <f t="shared" si="9"/>
        <v>--</v>
      </c>
      <c r="T36" s="23" t="str">
        <f t="shared" si="10"/>
        <v>SI</v>
      </c>
      <c r="U36" s="86">
        <f t="shared" si="11"/>
        <v>378.25499999999994</v>
      </c>
      <c r="V36" s="144"/>
    </row>
    <row r="37" spans="2:22" s="16" customFormat="1" ht="16.5" customHeight="1">
      <c r="B37" s="140"/>
      <c r="C37" s="20">
        <v>66</v>
      </c>
      <c r="D37" s="93" t="s">
        <v>22</v>
      </c>
      <c r="E37" s="79" t="s">
        <v>166</v>
      </c>
      <c r="F37" s="78">
        <v>150</v>
      </c>
      <c r="G37" s="629">
        <f t="shared" si="0"/>
        <v>22.65</v>
      </c>
      <c r="H37" s="81">
        <v>36972.34722222222</v>
      </c>
      <c r="I37" s="31">
        <v>36972.70277777778</v>
      </c>
      <c r="J37" s="83">
        <f t="shared" si="1"/>
        <v>8.53333333338378</v>
      </c>
      <c r="K37" s="30">
        <f t="shared" si="2"/>
        <v>512</v>
      </c>
      <c r="L37" s="27" t="s">
        <v>177</v>
      </c>
      <c r="M37" s="28" t="str">
        <f t="shared" si="3"/>
        <v>--</v>
      </c>
      <c r="N37" s="23" t="str">
        <f t="shared" si="4"/>
        <v>--</v>
      </c>
      <c r="O37" s="358">
        <f t="shared" si="5"/>
        <v>2</v>
      </c>
      <c r="P37" s="544">
        <f t="shared" si="6"/>
        <v>386.40899999999993</v>
      </c>
      <c r="Q37" s="551" t="str">
        <f t="shared" si="7"/>
        <v>--</v>
      </c>
      <c r="R37" s="552" t="str">
        <f t="shared" si="8"/>
        <v>--</v>
      </c>
      <c r="S37" s="559" t="str">
        <f t="shared" si="9"/>
        <v>--</v>
      </c>
      <c r="T37" s="23" t="str">
        <f t="shared" si="10"/>
        <v>SI</v>
      </c>
      <c r="U37" s="86">
        <f t="shared" si="11"/>
        <v>386.40899999999993</v>
      </c>
      <c r="V37" s="144"/>
    </row>
    <row r="38" spans="2:22" s="16" customFormat="1" ht="16.5" customHeight="1">
      <c r="B38" s="140"/>
      <c r="C38" s="20">
        <v>67</v>
      </c>
      <c r="D38" s="93" t="s">
        <v>45</v>
      </c>
      <c r="E38" s="79" t="s">
        <v>51</v>
      </c>
      <c r="F38" s="78">
        <v>245</v>
      </c>
      <c r="G38" s="629">
        <f t="shared" si="0"/>
        <v>36.995</v>
      </c>
      <c r="H38" s="81">
        <v>36973.248611111114</v>
      </c>
      <c r="I38" s="31">
        <v>36973.35</v>
      </c>
      <c r="J38" s="83">
        <f t="shared" si="1"/>
        <v>2.43333333323244</v>
      </c>
      <c r="K38" s="30">
        <f t="shared" si="2"/>
        <v>146</v>
      </c>
      <c r="L38" s="27" t="s">
        <v>177</v>
      </c>
      <c r="M38" s="28" t="str">
        <f t="shared" si="3"/>
        <v>--</v>
      </c>
      <c r="N38" s="23" t="str">
        <f t="shared" si="4"/>
        <v>--</v>
      </c>
      <c r="O38" s="358">
        <f t="shared" si="5"/>
        <v>2</v>
      </c>
      <c r="P38" s="544">
        <f t="shared" si="6"/>
        <v>179.7957</v>
      </c>
      <c r="Q38" s="551" t="str">
        <f t="shared" si="7"/>
        <v>--</v>
      </c>
      <c r="R38" s="552" t="str">
        <f t="shared" si="8"/>
        <v>--</v>
      </c>
      <c r="S38" s="559" t="str">
        <f t="shared" si="9"/>
        <v>--</v>
      </c>
      <c r="T38" s="23" t="str">
        <f t="shared" si="10"/>
        <v>SI</v>
      </c>
      <c r="U38" s="86">
        <f t="shared" si="11"/>
        <v>179.7957</v>
      </c>
      <c r="V38" s="144"/>
    </row>
    <row r="39" spans="2:22" s="16" customFormat="1" ht="16.5" customHeight="1">
      <c r="B39" s="140"/>
      <c r="C39" s="20">
        <v>68</v>
      </c>
      <c r="D39" s="93" t="s">
        <v>45</v>
      </c>
      <c r="E39" s="79" t="s">
        <v>51</v>
      </c>
      <c r="F39" s="78">
        <v>245</v>
      </c>
      <c r="G39" s="629">
        <f t="shared" si="0"/>
        <v>36.995</v>
      </c>
      <c r="H39" s="81">
        <v>36976.26666666667</v>
      </c>
      <c r="I39" s="31">
        <v>36976.583333333336</v>
      </c>
      <c r="J39" s="83">
        <f t="shared" si="1"/>
        <v>7.599999999976717</v>
      </c>
      <c r="K39" s="30">
        <f t="shared" si="2"/>
        <v>456</v>
      </c>
      <c r="L39" s="27" t="s">
        <v>177</v>
      </c>
      <c r="M39" s="28" t="str">
        <f t="shared" si="3"/>
        <v>--</v>
      </c>
      <c r="N39" s="23" t="str">
        <f t="shared" si="4"/>
        <v>--</v>
      </c>
      <c r="O39" s="358">
        <f t="shared" si="5"/>
        <v>2</v>
      </c>
      <c r="P39" s="544">
        <f t="shared" si="6"/>
        <v>562.324</v>
      </c>
      <c r="Q39" s="551" t="str">
        <f t="shared" si="7"/>
        <v>--</v>
      </c>
      <c r="R39" s="552" t="str">
        <f t="shared" si="8"/>
        <v>--</v>
      </c>
      <c r="S39" s="559" t="str">
        <f t="shared" si="9"/>
        <v>--</v>
      </c>
      <c r="T39" s="23" t="str">
        <f t="shared" si="10"/>
        <v>SI</v>
      </c>
      <c r="U39" s="86">
        <f t="shared" si="11"/>
        <v>562.324</v>
      </c>
      <c r="V39" s="144"/>
    </row>
    <row r="40" spans="2:22" s="16" customFormat="1" ht="16.5" customHeight="1" thickBot="1">
      <c r="B40" s="140"/>
      <c r="C40" s="33"/>
      <c r="D40" s="94"/>
      <c r="E40" s="87"/>
      <c r="F40" s="95"/>
      <c r="G40" s="350"/>
      <c r="H40" s="88"/>
      <c r="I40" s="88"/>
      <c r="J40" s="88"/>
      <c r="K40" s="88"/>
      <c r="L40" s="88"/>
      <c r="M40" s="38"/>
      <c r="N40" s="37"/>
      <c r="O40" s="359"/>
      <c r="P40" s="545"/>
      <c r="Q40" s="553"/>
      <c r="R40" s="554"/>
      <c r="S40" s="560"/>
      <c r="T40" s="37"/>
      <c r="U40" s="277"/>
      <c r="V40" s="144"/>
    </row>
    <row r="41" spans="2:22" s="16" customFormat="1" ht="16.5" customHeight="1" thickBot="1" thickTop="1">
      <c r="B41" s="140"/>
      <c r="C41" s="282" t="s">
        <v>96</v>
      </c>
      <c r="D41" s="283" t="s">
        <v>97</v>
      </c>
      <c r="G41" s="14"/>
      <c r="H41" s="14"/>
      <c r="I41" s="14"/>
      <c r="J41" s="14"/>
      <c r="K41" s="14"/>
      <c r="L41" s="14"/>
      <c r="M41" s="14"/>
      <c r="N41" s="14"/>
      <c r="O41" s="14"/>
      <c r="P41" s="546">
        <f>SUM(P19:P40)</f>
        <v>9033.0465</v>
      </c>
      <c r="Q41" s="555">
        <f>SUM(Q19:Q40)</f>
        <v>0</v>
      </c>
      <c r="R41" s="556">
        <f>SUM(R19:R40)</f>
        <v>0</v>
      </c>
      <c r="S41" s="561">
        <f>SUM(S19:S40)</f>
        <v>0</v>
      </c>
      <c r="U41" s="107">
        <f>ROUND(SUM(U19:U40),2)</f>
        <v>9033.05</v>
      </c>
      <c r="V41" s="252"/>
    </row>
    <row r="42" spans="2:22" s="286" customFormat="1" ht="9.75" thickTop="1">
      <c r="B42" s="287"/>
      <c r="C42" s="284"/>
      <c r="D42" s="285" t="s">
        <v>98</v>
      </c>
      <c r="G42" s="303"/>
      <c r="H42" s="303"/>
      <c r="I42" s="303"/>
      <c r="J42" s="303"/>
      <c r="K42" s="303"/>
      <c r="L42" s="303"/>
      <c r="M42" s="303"/>
      <c r="N42" s="303"/>
      <c r="O42" s="303"/>
      <c r="P42" s="301"/>
      <c r="Q42" s="301"/>
      <c r="R42" s="301"/>
      <c r="S42" s="301"/>
      <c r="U42" s="304"/>
      <c r="V42" s="305"/>
    </row>
    <row r="43" spans="2:22" s="16" customFormat="1" ht="16.5" customHeight="1" thickBot="1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1"/>
    </row>
    <row r="44" spans="4:24" ht="16.5" customHeight="1" thickTop="1"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4:24" ht="16.5" customHeight="1"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4:24" ht="16.5" customHeight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W151" s="5"/>
      <c r="X151" s="5"/>
    </row>
    <row r="152" spans="4:6" ht="16.5" customHeight="1">
      <c r="D152" s="5"/>
      <c r="E152" s="5"/>
      <c r="F152" s="5"/>
    </row>
    <row r="153" spans="4:6" ht="16.5" customHeight="1">
      <c r="D153" s="5"/>
      <c r="E153" s="5"/>
      <c r="F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2">
    <pageSetUpPr fitToPage="1"/>
  </sheetPr>
  <dimension ref="A1:X158"/>
  <sheetViews>
    <sheetView zoomScale="75" zoomScaleNormal="75" workbookViewId="0" topLeftCell="H26">
      <selection activeCell="V47" sqref="V4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108" customFormat="1" ht="26.25">
      <c r="A1" s="158"/>
      <c r="V1" s="691"/>
    </row>
    <row r="2" spans="1:22" s="108" customFormat="1" ht="26.25">
      <c r="A2" s="158"/>
      <c r="B2" s="269" t="str">
        <f>+'tot-0103'!B2</f>
        <v>ANEXO a la Resolución E.N.R.E. N°  113  /2002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22" s="16" customFormat="1" ht="13.5" thickTop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227"/>
    </row>
    <row r="8" spans="2:22" s="10" customFormat="1" ht="20.25">
      <c r="B8" s="173"/>
      <c r="D8" s="7" t="s">
        <v>119</v>
      </c>
      <c r="E8" s="92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64"/>
    </row>
    <row r="9" spans="2:22" s="16" customFormat="1" ht="12.75">
      <c r="B9" s="14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4"/>
    </row>
    <row r="10" spans="2:22" s="10" customFormat="1" ht="20.25">
      <c r="B10" s="173"/>
      <c r="D10" s="174" t="s">
        <v>120</v>
      </c>
      <c r="F10" s="265"/>
      <c r="G10" s="266"/>
      <c r="H10" s="266"/>
      <c r="I10" s="266"/>
      <c r="J10" s="266"/>
      <c r="K10" s="266"/>
      <c r="L10" s="266"/>
      <c r="M10" s="266"/>
      <c r="N10" s="266"/>
      <c r="O10" s="266"/>
      <c r="P10" s="11"/>
      <c r="Q10" s="11"/>
      <c r="R10" s="11"/>
      <c r="S10" s="11"/>
      <c r="T10" s="11"/>
      <c r="U10" s="11"/>
      <c r="V10" s="236"/>
    </row>
    <row r="11" spans="2:22" s="16" customFormat="1" ht="16.5" customHeight="1">
      <c r="B11" s="140"/>
      <c r="C11" s="14"/>
      <c r="D11" s="253"/>
      <c r="F11" s="121"/>
      <c r="G11" s="164"/>
      <c r="H11" s="164"/>
      <c r="I11" s="164"/>
      <c r="J11" s="164"/>
      <c r="K11" s="164"/>
      <c r="L11" s="164"/>
      <c r="M11" s="164"/>
      <c r="N11" s="164"/>
      <c r="O11" s="164"/>
      <c r="P11" s="14"/>
      <c r="Q11" s="14"/>
      <c r="R11" s="14"/>
      <c r="S11" s="14"/>
      <c r="T11" s="14"/>
      <c r="U11" s="14"/>
      <c r="V11" s="144"/>
    </row>
    <row r="12" spans="2:22" s="10" customFormat="1" ht="20.25">
      <c r="B12" s="173"/>
      <c r="D12" s="174" t="s">
        <v>121</v>
      </c>
      <c r="F12" s="265"/>
      <c r="G12" s="266"/>
      <c r="H12" s="266"/>
      <c r="I12" s="266"/>
      <c r="J12" s="266"/>
      <c r="K12" s="266"/>
      <c r="L12" s="266"/>
      <c r="M12" s="266"/>
      <c r="N12" s="266"/>
      <c r="O12" s="266"/>
      <c r="P12" s="11"/>
      <c r="Q12" s="11"/>
      <c r="R12" s="11"/>
      <c r="S12" s="11"/>
      <c r="T12" s="11"/>
      <c r="U12" s="11"/>
      <c r="V12" s="236"/>
    </row>
    <row r="13" spans="2:22" s="16" customFormat="1" ht="16.5" customHeight="1">
      <c r="B13" s="140"/>
      <c r="C13" s="14"/>
      <c r="D13" s="253"/>
      <c r="F13" s="121"/>
      <c r="G13" s="164"/>
      <c r="H13" s="164"/>
      <c r="I13" s="164"/>
      <c r="J13" s="164"/>
      <c r="K13" s="164"/>
      <c r="L13" s="164"/>
      <c r="M13" s="164"/>
      <c r="N13" s="164"/>
      <c r="O13" s="164"/>
      <c r="P13" s="14"/>
      <c r="Q13" s="14"/>
      <c r="R13" s="14"/>
      <c r="S13" s="14"/>
      <c r="T13" s="14"/>
      <c r="U13" s="14"/>
      <c r="V13" s="144"/>
    </row>
    <row r="14" spans="2:22" s="15" customFormat="1" ht="16.5" customHeight="1">
      <c r="B14" s="190" t="str">
        <f>+'tot-0103'!B14</f>
        <v>Desde el 01 al 31 de marzo de 2001</v>
      </c>
      <c r="C14" s="17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176"/>
      <c r="Q14" s="176"/>
      <c r="R14" s="176"/>
      <c r="S14" s="176"/>
      <c r="T14" s="176"/>
      <c r="U14" s="176"/>
      <c r="V14" s="268"/>
    </row>
    <row r="15" spans="2:22" s="16" customFormat="1" ht="16.5" customHeight="1" thickBot="1">
      <c r="B15" s="140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44"/>
    </row>
    <row r="16" spans="2:22" s="16" customFormat="1" ht="16.5" customHeight="1" thickBot="1" thickTop="1">
      <c r="B16" s="140"/>
      <c r="C16" s="14"/>
      <c r="D16" s="246" t="s">
        <v>103</v>
      </c>
      <c r="E16" s="270"/>
      <c r="F16" s="278">
        <v>0.151</v>
      </c>
      <c r="G16" s="244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44"/>
    </row>
    <row r="17" spans="2:22" s="16" customFormat="1" ht="16.5" customHeight="1" thickBot="1" thickTop="1">
      <c r="B17" s="140"/>
      <c r="C17" s="14"/>
      <c r="D17" s="271" t="s">
        <v>104</v>
      </c>
      <c r="E17" s="272"/>
      <c r="F17" s="273">
        <v>20</v>
      </c>
      <c r="G17" s="244"/>
      <c r="H17"/>
      <c r="I17" s="693" t="s">
        <v>187</v>
      </c>
      <c r="J17" s="694"/>
      <c r="K17" s="14"/>
      <c r="L17" s="14"/>
      <c r="M17" s="14"/>
      <c r="O17" s="14"/>
      <c r="P17" s="14"/>
      <c r="Q17" s="14"/>
      <c r="R17" s="165"/>
      <c r="S17" s="165"/>
      <c r="T17" s="165"/>
      <c r="U17" s="165"/>
      <c r="V17" s="144"/>
    </row>
    <row r="18" spans="2:22" s="16" customFormat="1" ht="16.5" customHeight="1" thickBot="1" thickTop="1">
      <c r="B18" s="140"/>
      <c r="C18" s="2"/>
      <c r="D18" s="254"/>
      <c r="E18" s="255"/>
      <c r="F18" s="255"/>
      <c r="G18" s="43"/>
      <c r="H18" s="43"/>
      <c r="I18" s="43"/>
      <c r="J18" s="43"/>
      <c r="K18" s="43"/>
      <c r="L18" s="43"/>
      <c r="M18" s="43"/>
      <c r="N18" s="43"/>
      <c r="O18" s="256"/>
      <c r="P18" s="257"/>
      <c r="Q18" s="258"/>
      <c r="R18" s="258"/>
      <c r="S18" s="258"/>
      <c r="T18" s="259"/>
      <c r="U18" s="260"/>
      <c r="V18" s="144"/>
    </row>
    <row r="19" spans="2:22" s="16" customFormat="1" ht="33.75" customHeight="1" thickBot="1" thickTop="1">
      <c r="B19" s="140"/>
      <c r="C19" s="180" t="s">
        <v>74</v>
      </c>
      <c r="D19" s="186" t="s">
        <v>105</v>
      </c>
      <c r="E19" s="182" t="s">
        <v>43</v>
      </c>
      <c r="F19" s="274" t="s">
        <v>106</v>
      </c>
      <c r="G19" s="348" t="s">
        <v>79</v>
      </c>
      <c r="H19" s="182" t="s">
        <v>80</v>
      </c>
      <c r="I19" s="182" t="s">
        <v>81</v>
      </c>
      <c r="J19" s="186" t="s">
        <v>82</v>
      </c>
      <c r="K19" s="186" t="s">
        <v>83</v>
      </c>
      <c r="L19" s="185" t="s">
        <v>84</v>
      </c>
      <c r="M19" s="185" t="s">
        <v>85</v>
      </c>
      <c r="N19" s="182" t="s">
        <v>87</v>
      </c>
      <c r="O19" s="348" t="s">
        <v>78</v>
      </c>
      <c r="P19" s="541" t="s">
        <v>99</v>
      </c>
      <c r="Q19" s="547" t="s">
        <v>122</v>
      </c>
      <c r="R19" s="548"/>
      <c r="S19" s="557" t="s">
        <v>92</v>
      </c>
      <c r="T19" s="187" t="s">
        <v>94</v>
      </c>
      <c r="U19" s="275" t="s">
        <v>95</v>
      </c>
      <c r="V19" s="144"/>
    </row>
    <row r="20" spans="2:22" s="16" customFormat="1" ht="16.5" customHeight="1" thickTop="1">
      <c r="B20" s="140"/>
      <c r="C20" s="261"/>
      <c r="D20" s="262" t="s">
        <v>180</v>
      </c>
      <c r="E20" s="262"/>
      <c r="F20" s="262"/>
      <c r="G20" s="354"/>
      <c r="H20" s="263"/>
      <c r="I20" s="263"/>
      <c r="J20" s="261"/>
      <c r="K20" s="261"/>
      <c r="L20" s="262"/>
      <c r="M20" s="17"/>
      <c r="N20" s="261"/>
      <c r="O20" s="361"/>
      <c r="P20" s="542"/>
      <c r="Q20" s="549"/>
      <c r="R20" s="550"/>
      <c r="S20" s="558"/>
      <c r="T20" s="562"/>
      <c r="U20" s="574">
        <f>'RE-0103'!U41</f>
        <v>9033.05</v>
      </c>
      <c r="V20" s="144"/>
    </row>
    <row r="21" spans="2:22" s="16" customFormat="1" ht="16.5" customHeight="1">
      <c r="B21" s="140"/>
      <c r="C21" s="32"/>
      <c r="D21" s="98"/>
      <c r="E21" s="99"/>
      <c r="F21" s="100"/>
      <c r="G21" s="360"/>
      <c r="H21" s="102"/>
      <c r="I21" s="103"/>
      <c r="J21" s="104"/>
      <c r="K21" s="105"/>
      <c r="L21" s="106"/>
      <c r="M21" s="18"/>
      <c r="N21" s="101"/>
      <c r="O21" s="362"/>
      <c r="P21" s="543"/>
      <c r="Q21" s="551"/>
      <c r="R21" s="552"/>
      <c r="S21" s="559"/>
      <c r="T21" s="101"/>
      <c r="U21" s="276"/>
      <c r="V21" s="144"/>
    </row>
    <row r="22" spans="2:22" s="16" customFormat="1" ht="16.5" customHeight="1">
      <c r="B22" s="140"/>
      <c r="C22" s="20">
        <v>69</v>
      </c>
      <c r="D22" s="93" t="s">
        <v>45</v>
      </c>
      <c r="E22" s="79" t="s">
        <v>48</v>
      </c>
      <c r="F22" s="78">
        <v>245</v>
      </c>
      <c r="G22" s="629">
        <f aca="true" t="shared" si="0" ref="G22:G41">F22*$F$16</f>
        <v>36.995</v>
      </c>
      <c r="H22" s="81">
        <v>36977.248611111114</v>
      </c>
      <c r="I22" s="31">
        <v>36977.57986111111</v>
      </c>
      <c r="J22" s="83">
        <f aca="true" t="shared" si="1" ref="J22:J41">IF(D22="","",(I22-H22)*24)</f>
        <v>7.949999999895226</v>
      </c>
      <c r="K22" s="30">
        <f aca="true" t="shared" si="2" ref="K22:K41">IF(D22="","",ROUND((I22-H22)*24*60,0))</f>
        <v>477</v>
      </c>
      <c r="L22" s="27" t="s">
        <v>177</v>
      </c>
      <c r="M22" s="28" t="str">
        <f aca="true" t="shared" si="3" ref="M22:M41">IF(D22="","","--")</f>
        <v>--</v>
      </c>
      <c r="N22" s="23" t="str">
        <f aca="true" t="shared" si="4" ref="N22:N41">IF(D22="","",IF(OR(L22="P",L22="RP"),"--","NO"))</f>
        <v>--</v>
      </c>
      <c r="O22" s="358">
        <f aca="true" t="shared" si="5" ref="O22:O41">IF(L22="P",$F$17/10,$F$17)</f>
        <v>2</v>
      </c>
      <c r="P22" s="544">
        <f aca="true" t="shared" si="6" ref="P22:P41">IF(L22="P",G22*O22*ROUND(K22/60,2),"--")</f>
        <v>588.2205</v>
      </c>
      <c r="Q22" s="551" t="str">
        <f aca="true" t="shared" si="7" ref="Q22:Q41">IF(AND(L22="F",N22="NO"),G22*O22,"--")</f>
        <v>--</v>
      </c>
      <c r="R22" s="552" t="str">
        <f aca="true" t="shared" si="8" ref="R22:R41">IF(L22="F",G22*O22*ROUND(K22/60,2),"--")</f>
        <v>--</v>
      </c>
      <c r="S22" s="559" t="str">
        <f aca="true" t="shared" si="9" ref="S22:S41">IF(L22="RF",G22*O22*ROUND(K22/60,2),"--")</f>
        <v>--</v>
      </c>
      <c r="T22" s="23" t="str">
        <f aca="true" t="shared" si="10" ref="T22:T41">IF(D22="","","SI")</f>
        <v>SI</v>
      </c>
      <c r="U22" s="86">
        <f aca="true" t="shared" si="11" ref="U22:U41">IF(D22="","",SUM(P22:S22)*IF(T22="SI",1,2))</f>
        <v>588.2205</v>
      </c>
      <c r="V22" s="144"/>
    </row>
    <row r="23" spans="2:22" s="16" customFormat="1" ht="16.5" customHeight="1">
      <c r="B23" s="140"/>
      <c r="C23" s="20">
        <v>70</v>
      </c>
      <c r="D23" s="93" t="s">
        <v>45</v>
      </c>
      <c r="E23" s="79" t="s">
        <v>49</v>
      </c>
      <c r="F23" s="78">
        <v>245</v>
      </c>
      <c r="G23" s="629">
        <f t="shared" si="0"/>
        <v>36.995</v>
      </c>
      <c r="H23" s="81">
        <v>36978.25069444445</v>
      </c>
      <c r="I23" s="31">
        <v>36978.57638888889</v>
      </c>
      <c r="J23" s="83">
        <f t="shared" si="1"/>
        <v>7.816666666651145</v>
      </c>
      <c r="K23" s="30">
        <f t="shared" si="2"/>
        <v>469</v>
      </c>
      <c r="L23" s="27" t="s">
        <v>177</v>
      </c>
      <c r="M23" s="28" t="str">
        <f t="shared" si="3"/>
        <v>--</v>
      </c>
      <c r="N23" s="23" t="str">
        <f t="shared" si="4"/>
        <v>--</v>
      </c>
      <c r="O23" s="358">
        <f t="shared" si="5"/>
        <v>2</v>
      </c>
      <c r="P23" s="544">
        <f t="shared" si="6"/>
        <v>578.6018</v>
      </c>
      <c r="Q23" s="551" t="str">
        <f t="shared" si="7"/>
        <v>--</v>
      </c>
      <c r="R23" s="552" t="str">
        <f t="shared" si="8"/>
        <v>--</v>
      </c>
      <c r="S23" s="559" t="str">
        <f t="shared" si="9"/>
        <v>--</v>
      </c>
      <c r="T23" s="23" t="str">
        <f t="shared" si="10"/>
        <v>SI</v>
      </c>
      <c r="U23" s="86">
        <f t="shared" si="11"/>
        <v>578.6018</v>
      </c>
      <c r="V23" s="144"/>
    </row>
    <row r="24" spans="2:22" s="16" customFormat="1" ht="16.5" customHeight="1">
      <c r="B24" s="140"/>
      <c r="C24" s="20">
        <v>71</v>
      </c>
      <c r="D24" s="93" t="s">
        <v>45</v>
      </c>
      <c r="E24" s="79" t="s">
        <v>47</v>
      </c>
      <c r="F24" s="78">
        <v>245</v>
      </c>
      <c r="G24" s="629">
        <f t="shared" si="0"/>
        <v>36.995</v>
      </c>
      <c r="H24" s="81">
        <v>36979.25069444445</v>
      </c>
      <c r="I24" s="31">
        <v>36979.57777777778</v>
      </c>
      <c r="J24" s="83">
        <f t="shared" si="1"/>
        <v>7.849999999918509</v>
      </c>
      <c r="K24" s="30">
        <f t="shared" si="2"/>
        <v>471</v>
      </c>
      <c r="L24" s="27" t="s">
        <v>177</v>
      </c>
      <c r="M24" s="28" t="str">
        <f t="shared" si="3"/>
        <v>--</v>
      </c>
      <c r="N24" s="23" t="str">
        <f t="shared" si="4"/>
        <v>--</v>
      </c>
      <c r="O24" s="358">
        <f t="shared" si="5"/>
        <v>2</v>
      </c>
      <c r="P24" s="544">
        <f t="shared" si="6"/>
        <v>580.8214999999999</v>
      </c>
      <c r="Q24" s="551" t="str">
        <f t="shared" si="7"/>
        <v>--</v>
      </c>
      <c r="R24" s="552" t="str">
        <f t="shared" si="8"/>
        <v>--</v>
      </c>
      <c r="S24" s="559" t="str">
        <f t="shared" si="9"/>
        <v>--</v>
      </c>
      <c r="T24" s="23" t="str">
        <f t="shared" si="10"/>
        <v>SI</v>
      </c>
      <c r="U24" s="86">
        <f t="shared" si="11"/>
        <v>580.8214999999999</v>
      </c>
      <c r="V24" s="144"/>
    </row>
    <row r="25" spans="2:22" s="16" customFormat="1" ht="16.5" customHeight="1">
      <c r="B25" s="140"/>
      <c r="C25" s="20"/>
      <c r="D25" s="93"/>
      <c r="E25" s="79"/>
      <c r="F25" s="78"/>
      <c r="G25" s="629">
        <f t="shared" si="0"/>
        <v>0</v>
      </c>
      <c r="H25" s="81"/>
      <c r="I25" s="31"/>
      <c r="J25" s="83">
        <f t="shared" si="1"/>
      </c>
      <c r="K25" s="30">
        <f t="shared" si="2"/>
      </c>
      <c r="L25" s="27"/>
      <c r="M25" s="28">
        <f t="shared" si="3"/>
      </c>
      <c r="N25" s="23">
        <f t="shared" si="4"/>
      </c>
      <c r="O25" s="358">
        <f t="shared" si="5"/>
        <v>20</v>
      </c>
      <c r="P25" s="544" t="str">
        <f t="shared" si="6"/>
        <v>--</v>
      </c>
      <c r="Q25" s="551" t="str">
        <f t="shared" si="7"/>
        <v>--</v>
      </c>
      <c r="R25" s="552" t="str">
        <f t="shared" si="8"/>
        <v>--</v>
      </c>
      <c r="S25" s="559" t="str">
        <f t="shared" si="9"/>
        <v>--</v>
      </c>
      <c r="T25" s="23">
        <f t="shared" si="10"/>
      </c>
      <c r="U25" s="86">
        <f t="shared" si="11"/>
      </c>
      <c r="V25" s="251"/>
    </row>
    <row r="26" spans="2:22" s="16" customFormat="1" ht="16.5" customHeight="1">
      <c r="B26" s="140"/>
      <c r="C26" s="20"/>
      <c r="D26" s="93"/>
      <c r="E26" s="79"/>
      <c r="F26" s="78"/>
      <c r="G26" s="629">
        <f t="shared" si="0"/>
        <v>0</v>
      </c>
      <c r="H26" s="81"/>
      <c r="I26" s="31"/>
      <c r="J26" s="83">
        <f t="shared" si="1"/>
      </c>
      <c r="K26" s="30">
        <f t="shared" si="2"/>
      </c>
      <c r="L26" s="27"/>
      <c r="M26" s="28">
        <f t="shared" si="3"/>
      </c>
      <c r="N26" s="23">
        <f t="shared" si="4"/>
      </c>
      <c r="O26" s="358">
        <f t="shared" si="5"/>
        <v>20</v>
      </c>
      <c r="P26" s="544" t="str">
        <f t="shared" si="6"/>
        <v>--</v>
      </c>
      <c r="Q26" s="551" t="str">
        <f t="shared" si="7"/>
        <v>--</v>
      </c>
      <c r="R26" s="552" t="str">
        <f t="shared" si="8"/>
        <v>--</v>
      </c>
      <c r="S26" s="559" t="str">
        <f t="shared" si="9"/>
        <v>--</v>
      </c>
      <c r="T26" s="23">
        <f t="shared" si="10"/>
      </c>
      <c r="U26" s="86">
        <f t="shared" si="11"/>
      </c>
      <c r="V26" s="251"/>
    </row>
    <row r="27" spans="2:22" s="16" customFormat="1" ht="16.5" customHeight="1">
      <c r="B27" s="140"/>
      <c r="C27" s="20"/>
      <c r="D27" s="93"/>
      <c r="E27" s="79"/>
      <c r="F27" s="78"/>
      <c r="G27" s="629">
        <f t="shared" si="0"/>
        <v>0</v>
      </c>
      <c r="H27" s="81"/>
      <c r="I27" s="31"/>
      <c r="J27" s="83">
        <f t="shared" si="1"/>
      </c>
      <c r="K27" s="30">
        <f t="shared" si="2"/>
      </c>
      <c r="L27" s="27"/>
      <c r="M27" s="28">
        <f t="shared" si="3"/>
      </c>
      <c r="N27" s="23">
        <f t="shared" si="4"/>
      </c>
      <c r="O27" s="358">
        <f t="shared" si="5"/>
        <v>20</v>
      </c>
      <c r="P27" s="544" t="str">
        <f t="shared" si="6"/>
        <v>--</v>
      </c>
      <c r="Q27" s="551" t="str">
        <f t="shared" si="7"/>
        <v>--</v>
      </c>
      <c r="R27" s="552" t="str">
        <f t="shared" si="8"/>
        <v>--</v>
      </c>
      <c r="S27" s="559" t="str">
        <f t="shared" si="9"/>
        <v>--</v>
      </c>
      <c r="T27" s="23">
        <f t="shared" si="10"/>
      </c>
      <c r="U27" s="86">
        <f t="shared" si="11"/>
      </c>
      <c r="V27" s="251"/>
    </row>
    <row r="28" spans="2:22" s="16" customFormat="1" ht="16.5" customHeight="1">
      <c r="B28" s="140"/>
      <c r="C28" s="20"/>
      <c r="D28" s="93"/>
      <c r="E28" s="79"/>
      <c r="F28" s="78"/>
      <c r="G28" s="629">
        <f t="shared" si="0"/>
        <v>0</v>
      </c>
      <c r="H28" s="81"/>
      <c r="I28" s="31"/>
      <c r="J28" s="83">
        <f t="shared" si="1"/>
      </c>
      <c r="K28" s="30">
        <f t="shared" si="2"/>
      </c>
      <c r="L28" s="27"/>
      <c r="M28" s="28">
        <f t="shared" si="3"/>
      </c>
      <c r="N28" s="23">
        <f t="shared" si="4"/>
      </c>
      <c r="O28" s="358">
        <f t="shared" si="5"/>
        <v>20</v>
      </c>
      <c r="P28" s="544" t="str">
        <f t="shared" si="6"/>
        <v>--</v>
      </c>
      <c r="Q28" s="551" t="str">
        <f t="shared" si="7"/>
        <v>--</v>
      </c>
      <c r="R28" s="552" t="str">
        <f t="shared" si="8"/>
        <v>--</v>
      </c>
      <c r="S28" s="559" t="str">
        <f t="shared" si="9"/>
        <v>--</v>
      </c>
      <c r="T28" s="23">
        <f t="shared" si="10"/>
      </c>
      <c r="U28" s="86">
        <f t="shared" si="11"/>
      </c>
      <c r="V28" s="251"/>
    </row>
    <row r="29" spans="2:22" s="16" customFormat="1" ht="16.5" customHeight="1">
      <c r="B29" s="140"/>
      <c r="C29" s="20"/>
      <c r="D29" s="93"/>
      <c r="E29" s="79"/>
      <c r="F29" s="78"/>
      <c r="G29" s="629">
        <f t="shared" si="0"/>
        <v>0</v>
      </c>
      <c r="H29" s="81"/>
      <c r="I29" s="31"/>
      <c r="J29" s="83">
        <f t="shared" si="1"/>
      </c>
      <c r="K29" s="30">
        <f t="shared" si="2"/>
      </c>
      <c r="L29" s="27"/>
      <c r="M29" s="28">
        <f t="shared" si="3"/>
      </c>
      <c r="N29" s="23">
        <f t="shared" si="4"/>
      </c>
      <c r="O29" s="358">
        <f t="shared" si="5"/>
        <v>20</v>
      </c>
      <c r="P29" s="544" t="str">
        <f t="shared" si="6"/>
        <v>--</v>
      </c>
      <c r="Q29" s="551" t="str">
        <f t="shared" si="7"/>
        <v>--</v>
      </c>
      <c r="R29" s="552" t="str">
        <f t="shared" si="8"/>
        <v>--</v>
      </c>
      <c r="S29" s="559" t="str">
        <f t="shared" si="9"/>
        <v>--</v>
      </c>
      <c r="T29" s="23">
        <f t="shared" si="10"/>
      </c>
      <c r="U29" s="86">
        <f t="shared" si="11"/>
      </c>
      <c r="V29" s="251"/>
    </row>
    <row r="30" spans="2:22" s="16" customFormat="1" ht="16.5" customHeight="1">
      <c r="B30" s="140"/>
      <c r="C30" s="20"/>
      <c r="D30" s="93"/>
      <c r="E30" s="79"/>
      <c r="F30" s="78"/>
      <c r="G30" s="629">
        <f t="shared" si="0"/>
        <v>0</v>
      </c>
      <c r="H30" s="81"/>
      <c r="I30" s="31"/>
      <c r="J30" s="83">
        <f t="shared" si="1"/>
      </c>
      <c r="K30" s="30">
        <f t="shared" si="2"/>
      </c>
      <c r="L30" s="27"/>
      <c r="M30" s="28">
        <f t="shared" si="3"/>
      </c>
      <c r="N30" s="23">
        <f t="shared" si="4"/>
      </c>
      <c r="O30" s="358">
        <f t="shared" si="5"/>
        <v>20</v>
      </c>
      <c r="P30" s="544" t="str">
        <f t="shared" si="6"/>
        <v>--</v>
      </c>
      <c r="Q30" s="551" t="str">
        <f t="shared" si="7"/>
        <v>--</v>
      </c>
      <c r="R30" s="552" t="str">
        <f t="shared" si="8"/>
        <v>--</v>
      </c>
      <c r="S30" s="559" t="str">
        <f t="shared" si="9"/>
        <v>--</v>
      </c>
      <c r="T30" s="23">
        <f t="shared" si="10"/>
      </c>
      <c r="U30" s="86">
        <f t="shared" si="11"/>
      </c>
      <c r="V30" s="251"/>
    </row>
    <row r="31" spans="2:22" s="16" customFormat="1" ht="16.5" customHeight="1">
      <c r="B31" s="140"/>
      <c r="C31" s="20"/>
      <c r="D31" s="93"/>
      <c r="E31" s="79"/>
      <c r="F31" s="78"/>
      <c r="G31" s="629">
        <f t="shared" si="0"/>
        <v>0</v>
      </c>
      <c r="H31" s="81"/>
      <c r="I31" s="31"/>
      <c r="J31" s="83">
        <f t="shared" si="1"/>
      </c>
      <c r="K31" s="30">
        <f t="shared" si="2"/>
      </c>
      <c r="L31" s="27"/>
      <c r="M31" s="28">
        <f t="shared" si="3"/>
      </c>
      <c r="N31" s="23">
        <f t="shared" si="4"/>
      </c>
      <c r="O31" s="358">
        <f t="shared" si="5"/>
        <v>20</v>
      </c>
      <c r="P31" s="544" t="str">
        <f t="shared" si="6"/>
        <v>--</v>
      </c>
      <c r="Q31" s="551" t="str">
        <f t="shared" si="7"/>
        <v>--</v>
      </c>
      <c r="R31" s="552" t="str">
        <f t="shared" si="8"/>
        <v>--</v>
      </c>
      <c r="S31" s="559" t="str">
        <f t="shared" si="9"/>
        <v>--</v>
      </c>
      <c r="T31" s="23">
        <f t="shared" si="10"/>
      </c>
      <c r="U31" s="86">
        <f t="shared" si="11"/>
      </c>
      <c r="V31" s="144"/>
    </row>
    <row r="32" spans="2:22" s="16" customFormat="1" ht="16.5" customHeight="1">
      <c r="B32" s="140"/>
      <c r="C32" s="20"/>
      <c r="D32" s="93"/>
      <c r="E32" s="79"/>
      <c r="F32" s="78"/>
      <c r="G32" s="629">
        <f t="shared" si="0"/>
        <v>0</v>
      </c>
      <c r="H32" s="81"/>
      <c r="I32" s="31"/>
      <c r="J32" s="83">
        <f t="shared" si="1"/>
      </c>
      <c r="K32" s="30">
        <f t="shared" si="2"/>
      </c>
      <c r="L32" s="27"/>
      <c r="M32" s="28">
        <f t="shared" si="3"/>
      </c>
      <c r="N32" s="23">
        <f t="shared" si="4"/>
      </c>
      <c r="O32" s="358">
        <f t="shared" si="5"/>
        <v>20</v>
      </c>
      <c r="P32" s="544" t="str">
        <f t="shared" si="6"/>
        <v>--</v>
      </c>
      <c r="Q32" s="551" t="str">
        <f t="shared" si="7"/>
        <v>--</v>
      </c>
      <c r="R32" s="552" t="str">
        <f t="shared" si="8"/>
        <v>--</v>
      </c>
      <c r="S32" s="559" t="str">
        <f t="shared" si="9"/>
        <v>--</v>
      </c>
      <c r="T32" s="23">
        <f t="shared" si="10"/>
      </c>
      <c r="U32" s="86">
        <f t="shared" si="11"/>
      </c>
      <c r="V32" s="144"/>
    </row>
    <row r="33" spans="2:22" s="16" customFormat="1" ht="16.5" customHeight="1">
      <c r="B33" s="140"/>
      <c r="C33" s="20"/>
      <c r="D33" s="93"/>
      <c r="E33" s="79"/>
      <c r="F33" s="78"/>
      <c r="G33" s="629">
        <f t="shared" si="0"/>
        <v>0</v>
      </c>
      <c r="H33" s="81"/>
      <c r="I33" s="31"/>
      <c r="J33" s="83">
        <f t="shared" si="1"/>
      </c>
      <c r="K33" s="30">
        <f t="shared" si="2"/>
      </c>
      <c r="L33" s="27"/>
      <c r="M33" s="28">
        <f t="shared" si="3"/>
      </c>
      <c r="N33" s="23">
        <f t="shared" si="4"/>
      </c>
      <c r="O33" s="358">
        <f t="shared" si="5"/>
        <v>20</v>
      </c>
      <c r="P33" s="544" t="str">
        <f t="shared" si="6"/>
        <v>--</v>
      </c>
      <c r="Q33" s="551" t="str">
        <f t="shared" si="7"/>
        <v>--</v>
      </c>
      <c r="R33" s="552" t="str">
        <f t="shared" si="8"/>
        <v>--</v>
      </c>
      <c r="S33" s="559" t="str">
        <f t="shared" si="9"/>
        <v>--</v>
      </c>
      <c r="T33" s="23">
        <f t="shared" si="10"/>
      </c>
      <c r="U33" s="86">
        <f t="shared" si="11"/>
      </c>
      <c r="V33" s="144"/>
    </row>
    <row r="34" spans="2:22" s="16" customFormat="1" ht="16.5" customHeight="1">
      <c r="B34" s="140"/>
      <c r="C34" s="20"/>
      <c r="D34" s="93"/>
      <c r="E34" s="79"/>
      <c r="F34" s="78"/>
      <c r="G34" s="629">
        <f t="shared" si="0"/>
        <v>0</v>
      </c>
      <c r="H34" s="81"/>
      <c r="I34" s="31"/>
      <c r="J34" s="83">
        <f t="shared" si="1"/>
      </c>
      <c r="K34" s="30">
        <f t="shared" si="2"/>
      </c>
      <c r="L34" s="27"/>
      <c r="M34" s="28">
        <f t="shared" si="3"/>
      </c>
      <c r="N34" s="23">
        <f t="shared" si="4"/>
      </c>
      <c r="O34" s="358">
        <f t="shared" si="5"/>
        <v>20</v>
      </c>
      <c r="P34" s="544" t="str">
        <f t="shared" si="6"/>
        <v>--</v>
      </c>
      <c r="Q34" s="551" t="str">
        <f t="shared" si="7"/>
        <v>--</v>
      </c>
      <c r="R34" s="552" t="str">
        <f t="shared" si="8"/>
        <v>--</v>
      </c>
      <c r="S34" s="559" t="str">
        <f t="shared" si="9"/>
        <v>--</v>
      </c>
      <c r="T34" s="23">
        <f t="shared" si="10"/>
      </c>
      <c r="U34" s="86">
        <f t="shared" si="11"/>
      </c>
      <c r="V34" s="144"/>
    </row>
    <row r="35" spans="2:22" s="16" customFormat="1" ht="16.5" customHeight="1">
      <c r="B35" s="140"/>
      <c r="C35" s="20"/>
      <c r="D35" s="93"/>
      <c r="E35" s="79"/>
      <c r="F35" s="78"/>
      <c r="G35" s="629">
        <f t="shared" si="0"/>
        <v>0</v>
      </c>
      <c r="H35" s="81"/>
      <c r="I35" s="31"/>
      <c r="J35" s="83">
        <f t="shared" si="1"/>
      </c>
      <c r="K35" s="30">
        <f t="shared" si="2"/>
      </c>
      <c r="L35" s="27"/>
      <c r="M35" s="28">
        <f t="shared" si="3"/>
      </c>
      <c r="N35" s="23">
        <f t="shared" si="4"/>
      </c>
      <c r="O35" s="358">
        <f t="shared" si="5"/>
        <v>20</v>
      </c>
      <c r="P35" s="544" t="str">
        <f t="shared" si="6"/>
        <v>--</v>
      </c>
      <c r="Q35" s="551" t="str">
        <f t="shared" si="7"/>
        <v>--</v>
      </c>
      <c r="R35" s="552" t="str">
        <f t="shared" si="8"/>
        <v>--</v>
      </c>
      <c r="S35" s="559" t="str">
        <f t="shared" si="9"/>
        <v>--</v>
      </c>
      <c r="T35" s="23">
        <f t="shared" si="10"/>
      </c>
      <c r="U35" s="86">
        <f t="shared" si="11"/>
      </c>
      <c r="V35" s="144"/>
    </row>
    <row r="36" spans="2:22" s="16" customFormat="1" ht="16.5" customHeight="1">
      <c r="B36" s="140"/>
      <c r="C36" s="20"/>
      <c r="D36" s="93"/>
      <c r="E36" s="79"/>
      <c r="F36" s="78"/>
      <c r="G36" s="629">
        <f t="shared" si="0"/>
        <v>0</v>
      </c>
      <c r="H36" s="81"/>
      <c r="I36" s="31"/>
      <c r="J36" s="83">
        <f t="shared" si="1"/>
      </c>
      <c r="K36" s="30">
        <f t="shared" si="2"/>
      </c>
      <c r="L36" s="27"/>
      <c r="M36" s="28">
        <f t="shared" si="3"/>
      </c>
      <c r="N36" s="23">
        <f t="shared" si="4"/>
      </c>
      <c r="O36" s="358">
        <f t="shared" si="5"/>
        <v>20</v>
      </c>
      <c r="P36" s="544" t="str">
        <f t="shared" si="6"/>
        <v>--</v>
      </c>
      <c r="Q36" s="551" t="str">
        <f t="shared" si="7"/>
        <v>--</v>
      </c>
      <c r="R36" s="552" t="str">
        <f t="shared" si="8"/>
        <v>--</v>
      </c>
      <c r="S36" s="559" t="str">
        <f t="shared" si="9"/>
        <v>--</v>
      </c>
      <c r="T36" s="23">
        <f t="shared" si="10"/>
      </c>
      <c r="U36" s="86">
        <f t="shared" si="11"/>
      </c>
      <c r="V36" s="144"/>
    </row>
    <row r="37" spans="2:22" s="16" customFormat="1" ht="16.5" customHeight="1">
      <c r="B37" s="140"/>
      <c r="C37" s="20"/>
      <c r="D37" s="93"/>
      <c r="E37" s="79"/>
      <c r="F37" s="78"/>
      <c r="G37" s="629">
        <f t="shared" si="0"/>
        <v>0</v>
      </c>
      <c r="H37" s="81"/>
      <c r="I37" s="31"/>
      <c r="J37" s="83">
        <f t="shared" si="1"/>
      </c>
      <c r="K37" s="30">
        <f t="shared" si="2"/>
      </c>
      <c r="L37" s="27"/>
      <c r="M37" s="28">
        <f t="shared" si="3"/>
      </c>
      <c r="N37" s="23">
        <f t="shared" si="4"/>
      </c>
      <c r="O37" s="358">
        <f t="shared" si="5"/>
        <v>20</v>
      </c>
      <c r="P37" s="544" t="str">
        <f t="shared" si="6"/>
        <v>--</v>
      </c>
      <c r="Q37" s="551" t="str">
        <f t="shared" si="7"/>
        <v>--</v>
      </c>
      <c r="R37" s="552" t="str">
        <f t="shared" si="8"/>
        <v>--</v>
      </c>
      <c r="S37" s="559" t="str">
        <f t="shared" si="9"/>
        <v>--</v>
      </c>
      <c r="T37" s="23">
        <f t="shared" si="10"/>
      </c>
      <c r="U37" s="86">
        <f t="shared" si="11"/>
      </c>
      <c r="V37" s="144"/>
    </row>
    <row r="38" spans="2:22" s="16" customFormat="1" ht="16.5" customHeight="1">
      <c r="B38" s="140"/>
      <c r="C38" s="20"/>
      <c r="D38" s="93"/>
      <c r="E38" s="79"/>
      <c r="F38" s="78"/>
      <c r="G38" s="629">
        <f t="shared" si="0"/>
        <v>0</v>
      </c>
      <c r="H38" s="81"/>
      <c r="I38" s="31"/>
      <c r="J38" s="83">
        <f t="shared" si="1"/>
      </c>
      <c r="K38" s="30">
        <f t="shared" si="2"/>
      </c>
      <c r="L38" s="27"/>
      <c r="M38" s="28">
        <f t="shared" si="3"/>
      </c>
      <c r="N38" s="23">
        <f t="shared" si="4"/>
      </c>
      <c r="O38" s="358">
        <f t="shared" si="5"/>
        <v>20</v>
      </c>
      <c r="P38" s="544" t="str">
        <f t="shared" si="6"/>
        <v>--</v>
      </c>
      <c r="Q38" s="551" t="str">
        <f t="shared" si="7"/>
        <v>--</v>
      </c>
      <c r="R38" s="552" t="str">
        <f t="shared" si="8"/>
        <v>--</v>
      </c>
      <c r="S38" s="559" t="str">
        <f t="shared" si="9"/>
        <v>--</v>
      </c>
      <c r="T38" s="23">
        <f t="shared" si="10"/>
      </c>
      <c r="U38" s="86">
        <f t="shared" si="11"/>
      </c>
      <c r="V38" s="144"/>
    </row>
    <row r="39" spans="2:22" s="16" customFormat="1" ht="16.5" customHeight="1">
      <c r="B39" s="140"/>
      <c r="C39" s="20"/>
      <c r="D39" s="93"/>
      <c r="E39" s="79"/>
      <c r="F39" s="78"/>
      <c r="G39" s="629">
        <f t="shared" si="0"/>
        <v>0</v>
      </c>
      <c r="H39" s="81"/>
      <c r="I39" s="31"/>
      <c r="J39" s="83">
        <f t="shared" si="1"/>
      </c>
      <c r="K39" s="30">
        <f t="shared" si="2"/>
      </c>
      <c r="L39" s="27"/>
      <c r="M39" s="28">
        <f t="shared" si="3"/>
      </c>
      <c r="N39" s="23">
        <f t="shared" si="4"/>
      </c>
      <c r="O39" s="358">
        <f t="shared" si="5"/>
        <v>20</v>
      </c>
      <c r="P39" s="544" t="str">
        <f t="shared" si="6"/>
        <v>--</v>
      </c>
      <c r="Q39" s="551" t="str">
        <f t="shared" si="7"/>
        <v>--</v>
      </c>
      <c r="R39" s="552" t="str">
        <f t="shared" si="8"/>
        <v>--</v>
      </c>
      <c r="S39" s="559" t="str">
        <f t="shared" si="9"/>
        <v>--</v>
      </c>
      <c r="T39" s="23">
        <f t="shared" si="10"/>
      </c>
      <c r="U39" s="86">
        <f t="shared" si="11"/>
      </c>
      <c r="V39" s="144"/>
    </row>
    <row r="40" spans="2:22" s="16" customFormat="1" ht="16.5" customHeight="1">
      <c r="B40" s="140"/>
      <c r="C40" s="20"/>
      <c r="D40" s="93"/>
      <c r="E40" s="79"/>
      <c r="F40" s="78"/>
      <c r="G40" s="629">
        <f t="shared" si="0"/>
        <v>0</v>
      </c>
      <c r="H40" s="81"/>
      <c r="I40" s="31"/>
      <c r="J40" s="83">
        <f t="shared" si="1"/>
      </c>
      <c r="K40" s="30">
        <f t="shared" si="2"/>
      </c>
      <c r="L40" s="27"/>
      <c r="M40" s="28">
        <f t="shared" si="3"/>
      </c>
      <c r="N40" s="23">
        <f t="shared" si="4"/>
      </c>
      <c r="O40" s="358">
        <f t="shared" si="5"/>
        <v>20</v>
      </c>
      <c r="P40" s="544" t="str">
        <f t="shared" si="6"/>
        <v>--</v>
      </c>
      <c r="Q40" s="551" t="str">
        <f t="shared" si="7"/>
        <v>--</v>
      </c>
      <c r="R40" s="552" t="str">
        <f t="shared" si="8"/>
        <v>--</v>
      </c>
      <c r="S40" s="559" t="str">
        <f t="shared" si="9"/>
        <v>--</v>
      </c>
      <c r="T40" s="23">
        <f t="shared" si="10"/>
      </c>
      <c r="U40" s="86">
        <f t="shared" si="11"/>
      </c>
      <c r="V40" s="144"/>
    </row>
    <row r="41" spans="2:22" s="16" customFormat="1" ht="16.5" customHeight="1">
      <c r="B41" s="140"/>
      <c r="C41" s="20"/>
      <c r="D41" s="93"/>
      <c r="E41" s="79"/>
      <c r="F41" s="78"/>
      <c r="G41" s="629">
        <f t="shared" si="0"/>
        <v>0</v>
      </c>
      <c r="H41" s="81"/>
      <c r="I41" s="31"/>
      <c r="J41" s="83">
        <f t="shared" si="1"/>
      </c>
      <c r="K41" s="30">
        <f t="shared" si="2"/>
      </c>
      <c r="L41" s="27"/>
      <c r="M41" s="28">
        <f t="shared" si="3"/>
      </c>
      <c r="N41" s="23">
        <f t="shared" si="4"/>
      </c>
      <c r="O41" s="358">
        <f t="shared" si="5"/>
        <v>20</v>
      </c>
      <c r="P41" s="544" t="str">
        <f t="shared" si="6"/>
        <v>--</v>
      </c>
      <c r="Q41" s="551" t="str">
        <f t="shared" si="7"/>
        <v>--</v>
      </c>
      <c r="R41" s="552" t="str">
        <f t="shared" si="8"/>
        <v>--</v>
      </c>
      <c r="S41" s="559" t="str">
        <f t="shared" si="9"/>
        <v>--</v>
      </c>
      <c r="T41" s="23">
        <f t="shared" si="10"/>
      </c>
      <c r="U41" s="86">
        <f t="shared" si="11"/>
      </c>
      <c r="V41" s="144"/>
    </row>
    <row r="42" spans="2:22" s="16" customFormat="1" ht="16.5" customHeight="1" thickBot="1">
      <c r="B42" s="140"/>
      <c r="C42" s="33"/>
      <c r="D42" s="94"/>
      <c r="E42" s="87"/>
      <c r="F42" s="95"/>
      <c r="G42" s="350"/>
      <c r="H42" s="88"/>
      <c r="I42" s="88"/>
      <c r="J42" s="88"/>
      <c r="K42" s="88"/>
      <c r="L42" s="88"/>
      <c r="M42" s="38"/>
      <c r="N42" s="37"/>
      <c r="O42" s="359"/>
      <c r="P42" s="545"/>
      <c r="Q42" s="553"/>
      <c r="R42" s="554"/>
      <c r="S42" s="560"/>
      <c r="T42" s="37"/>
      <c r="U42" s="277"/>
      <c r="V42" s="144"/>
    </row>
    <row r="43" spans="2:22" s="16" customFormat="1" ht="16.5" customHeight="1" thickBot="1" thickTop="1">
      <c r="B43" s="140"/>
      <c r="C43" s="282" t="s">
        <v>96</v>
      </c>
      <c r="D43" s="283" t="s">
        <v>97</v>
      </c>
      <c r="G43" s="14"/>
      <c r="H43" s="14"/>
      <c r="I43" s="14"/>
      <c r="J43" s="14"/>
      <c r="K43" s="14"/>
      <c r="L43" s="14"/>
      <c r="M43" s="14"/>
      <c r="N43" s="14"/>
      <c r="O43" s="14"/>
      <c r="P43" s="546">
        <f>SUM(P20:P42)</f>
        <v>1747.6437999999998</v>
      </c>
      <c r="Q43" s="555">
        <f>SUM(Q20:Q42)</f>
        <v>0</v>
      </c>
      <c r="R43" s="556">
        <f>SUM(R20:R42)</f>
        <v>0</v>
      </c>
      <c r="S43" s="561">
        <f>SUM(S20:S42)</f>
        <v>0</v>
      </c>
      <c r="U43" s="91">
        <f>ROUND(SUM(U20:U42),2)</f>
        <v>10780.69</v>
      </c>
      <c r="V43" s="252"/>
    </row>
    <row r="44" spans="2:22" s="286" customFormat="1" ht="9.75" thickTop="1">
      <c r="B44" s="287"/>
      <c r="C44" s="284"/>
      <c r="D44" s="285" t="s">
        <v>98</v>
      </c>
      <c r="G44" s="303"/>
      <c r="H44" s="303"/>
      <c r="I44" s="303"/>
      <c r="J44" s="303"/>
      <c r="K44" s="303"/>
      <c r="L44" s="303"/>
      <c r="M44" s="303"/>
      <c r="N44" s="303"/>
      <c r="O44" s="303"/>
      <c r="P44" s="301"/>
      <c r="Q44" s="301"/>
      <c r="R44" s="301"/>
      <c r="S44" s="301"/>
      <c r="U44" s="304"/>
      <c r="V44" s="305"/>
    </row>
    <row r="45" spans="2:22" s="16" customFormat="1" ht="16.5" customHeight="1" thickBot="1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O147"/>
  <sheetViews>
    <sheetView zoomScale="75" zoomScaleNormal="75" workbookViewId="0" topLeftCell="L14">
      <selection activeCell="AM30" sqref="AM30"/>
    </sheetView>
  </sheetViews>
  <sheetFormatPr defaultColWidth="11.421875" defaultRowHeight="12.75" outlineLevelCol="1"/>
  <cols>
    <col min="1" max="1" width="20.7109375" style="1121" customWidth="1"/>
    <col min="2" max="2" width="15.7109375" style="1121" customWidth="1"/>
    <col min="3" max="4" width="5.28125" style="1121" customWidth="1"/>
    <col min="5" max="5" width="4.7109375" style="1121" customWidth="1"/>
    <col min="6" max="6" width="30.7109375" style="1121" customWidth="1"/>
    <col min="7" max="7" width="25.7109375" style="1121" customWidth="1"/>
    <col min="8" max="8" width="8.7109375" style="1121" customWidth="1"/>
    <col min="9" max="9" width="13.421875" style="1121" hidden="1" customWidth="1" outlineLevel="1"/>
    <col min="10" max="10" width="15.7109375" style="1121" customWidth="1" collapsed="1"/>
    <col min="11" max="11" width="15.7109375" style="1121" customWidth="1"/>
    <col min="12" max="13" width="7.140625" style="1121" bestFit="1" customWidth="1"/>
    <col min="14" max="14" width="7.57421875" style="1121" bestFit="1" customWidth="1"/>
    <col min="15" max="15" width="6.00390625" style="1121" bestFit="1" customWidth="1"/>
    <col min="16" max="16" width="6.00390625" style="1121" customWidth="1"/>
    <col min="17" max="17" width="12.421875" style="1121" hidden="1" customWidth="1" outlineLevel="1"/>
    <col min="18" max="18" width="14.57421875" style="1121" hidden="1" customWidth="1" outlineLevel="1"/>
    <col min="19" max="19" width="16.57421875" style="1121" hidden="1" customWidth="1" outlineLevel="1"/>
    <col min="20" max="21" width="15.140625" style="1121" hidden="1" customWidth="1" outlineLevel="1"/>
    <col min="22" max="22" width="13.28125" style="1125" hidden="1" customWidth="1" outlineLevel="1"/>
    <col min="23" max="23" width="12.28125" style="1121" customWidth="1" collapsed="1"/>
    <col min="24" max="24" width="8.57421875" style="1125" customWidth="1"/>
    <col min="25" max="25" width="4.140625" style="1125" customWidth="1"/>
    <col min="26" max="26" width="8.00390625" style="1125" customWidth="1"/>
    <col min="27" max="27" width="7.57421875" style="1125" customWidth="1"/>
    <col min="28" max="28" width="8.00390625" style="1125" customWidth="1"/>
    <col min="29" max="29" width="16.57421875" style="1125" hidden="1" customWidth="1" outlineLevel="1"/>
    <col min="30" max="30" width="15.7109375" style="1121" hidden="1" customWidth="1" outlineLevel="1"/>
    <col min="31" max="31" width="15.8515625" style="1121" hidden="1" customWidth="1" outlineLevel="1"/>
    <col min="32" max="32" width="14.57421875" style="1121" hidden="1" customWidth="1" outlineLevel="1"/>
    <col min="33" max="33" width="16.57421875" style="1121" hidden="1" customWidth="1" outlineLevel="1"/>
    <col min="34" max="35" width="15.140625" style="1121" hidden="1" customWidth="1" outlineLevel="1"/>
    <col min="36" max="36" width="20.140625" style="1125" customWidth="1" collapsed="1"/>
    <col min="37" max="37" width="8.7109375" style="1121" bestFit="1" customWidth="1"/>
    <col min="38" max="39" width="15.7109375" style="1121" customWidth="1"/>
    <col min="40" max="16384" width="11.421875" style="1121" customWidth="1"/>
  </cols>
  <sheetData>
    <row r="1" spans="1:39" s="872" customFormat="1" ht="26.25">
      <c r="A1" s="871"/>
      <c r="V1" s="871"/>
      <c r="X1" s="871"/>
      <c r="Y1" s="871"/>
      <c r="Z1" s="871"/>
      <c r="AA1" s="871"/>
      <c r="AB1" s="871"/>
      <c r="AC1" s="871"/>
      <c r="AJ1" s="871"/>
      <c r="AM1" s="873"/>
    </row>
    <row r="2" spans="1:39" s="872" customFormat="1" ht="26.25">
      <c r="A2" s="871"/>
      <c r="B2" s="1137"/>
      <c r="C2" s="874"/>
      <c r="D2" s="874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875"/>
      <c r="W2" s="874"/>
      <c r="X2" s="875"/>
      <c r="Y2" s="875"/>
      <c r="Z2" s="875"/>
      <c r="AA2" s="875"/>
      <c r="AB2" s="875"/>
      <c r="AC2" s="875"/>
      <c r="AD2" s="874"/>
      <c r="AE2" s="874"/>
      <c r="AF2" s="1137"/>
      <c r="AG2" s="1137"/>
      <c r="AH2" s="1137"/>
      <c r="AI2" s="1137"/>
      <c r="AJ2" s="1138"/>
      <c r="AK2" s="1137"/>
      <c r="AL2" s="1137"/>
      <c r="AM2" s="1137"/>
    </row>
    <row r="3" spans="1:36" s="877" customFormat="1" ht="12.75">
      <c r="A3" s="876"/>
      <c r="V3" s="876"/>
      <c r="X3" s="876"/>
      <c r="Y3" s="876"/>
      <c r="Z3" s="876"/>
      <c r="AA3" s="876"/>
      <c r="AB3" s="876"/>
      <c r="AC3" s="876"/>
      <c r="AJ3" s="876"/>
    </row>
    <row r="4" spans="1:36" s="880" customFormat="1" ht="11.25">
      <c r="A4" s="878" t="s">
        <v>53</v>
      </c>
      <c r="B4" s="879"/>
      <c r="C4" s="879"/>
      <c r="D4" s="879"/>
      <c r="V4" s="881"/>
      <c r="X4" s="881"/>
      <c r="Y4" s="881"/>
      <c r="Z4" s="881"/>
      <c r="AA4" s="881"/>
      <c r="AB4" s="881"/>
      <c r="AC4" s="881"/>
      <c r="AJ4" s="881"/>
    </row>
    <row r="5" spans="1:36" s="880" customFormat="1" ht="11.25">
      <c r="A5" s="878" t="s">
        <v>54</v>
      </c>
      <c r="B5" s="879"/>
      <c r="C5" s="879"/>
      <c r="D5" s="879"/>
      <c r="V5" s="881"/>
      <c r="X5" s="881"/>
      <c r="Y5" s="881"/>
      <c r="Z5" s="881"/>
      <c r="AA5" s="881"/>
      <c r="AB5" s="881"/>
      <c r="AC5" s="881"/>
      <c r="AJ5" s="881"/>
    </row>
    <row r="6" spans="22:36" s="877" customFormat="1" ht="13.5" thickBot="1">
      <c r="V6" s="876"/>
      <c r="X6" s="876"/>
      <c r="Y6" s="876"/>
      <c r="Z6" s="876"/>
      <c r="AA6" s="876"/>
      <c r="AB6" s="876"/>
      <c r="AC6" s="876"/>
      <c r="AJ6" s="876"/>
    </row>
    <row r="7" spans="2:39" s="877" customFormat="1" ht="13.5" thickTop="1">
      <c r="B7" s="882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5"/>
      <c r="W7" s="883"/>
      <c r="X7" s="885"/>
      <c r="Y7" s="885"/>
      <c r="Z7" s="885"/>
      <c r="AA7" s="885"/>
      <c r="AB7" s="885"/>
      <c r="AC7" s="885"/>
      <c r="AD7" s="883"/>
      <c r="AE7" s="883"/>
      <c r="AF7" s="883"/>
      <c r="AG7" s="883"/>
      <c r="AH7" s="883"/>
      <c r="AI7" s="883"/>
      <c r="AJ7" s="885"/>
      <c r="AK7" s="883"/>
      <c r="AL7" s="883"/>
      <c r="AM7" s="1139"/>
    </row>
    <row r="8" spans="2:39" s="794" customFormat="1" ht="20.25">
      <c r="B8" s="887"/>
      <c r="C8" s="797"/>
      <c r="D8" s="797"/>
      <c r="F8" s="795" t="s">
        <v>119</v>
      </c>
      <c r="G8" s="1140"/>
      <c r="H8" s="1141"/>
      <c r="I8" s="1142"/>
      <c r="J8" s="1142"/>
      <c r="K8" s="1142"/>
      <c r="L8" s="1142"/>
      <c r="M8" s="1142"/>
      <c r="N8" s="1142"/>
      <c r="O8" s="1142"/>
      <c r="P8" s="1141"/>
      <c r="Q8" s="1141"/>
      <c r="R8" s="1141"/>
      <c r="S8" s="1141"/>
      <c r="T8" s="1141"/>
      <c r="U8" s="1141"/>
      <c r="V8" s="800"/>
      <c r="W8" s="797"/>
      <c r="X8" s="800"/>
      <c r="Y8" s="800"/>
      <c r="Z8" s="800"/>
      <c r="AA8" s="800"/>
      <c r="AB8" s="800"/>
      <c r="AC8" s="800"/>
      <c r="AD8" s="797"/>
      <c r="AE8" s="797"/>
      <c r="AF8" s="1141"/>
      <c r="AG8" s="1141"/>
      <c r="AH8" s="1141"/>
      <c r="AI8" s="1141"/>
      <c r="AJ8" s="1143"/>
      <c r="AK8" s="1141"/>
      <c r="AL8" s="1141"/>
      <c r="AM8" s="1144"/>
    </row>
    <row r="9" spans="2:39" s="877" customFormat="1" ht="12.75">
      <c r="B9" s="889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1"/>
      <c r="W9" s="890"/>
      <c r="X9" s="891"/>
      <c r="Y9" s="891"/>
      <c r="Z9" s="891"/>
      <c r="AA9" s="891"/>
      <c r="AB9" s="891"/>
      <c r="AC9" s="891"/>
      <c r="AD9" s="890"/>
      <c r="AE9" s="890"/>
      <c r="AF9" s="890"/>
      <c r="AG9" s="890"/>
      <c r="AH9" s="890"/>
      <c r="AI9" s="890"/>
      <c r="AJ9" s="891"/>
      <c r="AK9" s="890"/>
      <c r="AL9" s="890"/>
      <c r="AM9" s="1145"/>
    </row>
    <row r="10" spans="2:39" s="794" customFormat="1" ht="20.25">
      <c r="B10" s="887"/>
      <c r="C10" s="797"/>
      <c r="D10" s="797"/>
      <c r="F10" s="799" t="s">
        <v>120</v>
      </c>
      <c r="H10" s="1146"/>
      <c r="I10" s="1147"/>
      <c r="J10" s="1147"/>
      <c r="K10" s="1147"/>
      <c r="L10" s="1147"/>
      <c r="M10" s="1147"/>
      <c r="N10" s="1147"/>
      <c r="O10" s="1147"/>
      <c r="P10" s="1147"/>
      <c r="Q10" s="1147"/>
      <c r="R10" s="797"/>
      <c r="S10" s="797"/>
      <c r="T10" s="797"/>
      <c r="U10" s="797"/>
      <c r="V10" s="800"/>
      <c r="W10" s="797"/>
      <c r="X10" s="800"/>
      <c r="Y10" s="800"/>
      <c r="Z10" s="800"/>
      <c r="AA10" s="800"/>
      <c r="AB10" s="800"/>
      <c r="AC10" s="800"/>
      <c r="AD10" s="797"/>
      <c r="AE10" s="797"/>
      <c r="AF10" s="797"/>
      <c r="AG10" s="797"/>
      <c r="AH10" s="797"/>
      <c r="AI10" s="797"/>
      <c r="AJ10" s="800"/>
      <c r="AK10" s="797"/>
      <c r="AL10" s="797"/>
      <c r="AM10" s="1148"/>
    </row>
    <row r="11" spans="2:39" s="877" customFormat="1" ht="28.5" customHeight="1">
      <c r="B11" s="889"/>
      <c r="C11" s="890"/>
      <c r="D11" s="890"/>
      <c r="E11" s="890"/>
      <c r="F11" s="799" t="s">
        <v>279</v>
      </c>
      <c r="H11" s="1149"/>
      <c r="I11" s="1150"/>
      <c r="J11" s="1150"/>
      <c r="K11" s="1150"/>
      <c r="L11" s="1150"/>
      <c r="M11" s="1150"/>
      <c r="N11" s="1150"/>
      <c r="O11" s="1150"/>
      <c r="P11" s="1150"/>
      <c r="Q11" s="1150"/>
      <c r="R11" s="890"/>
      <c r="S11" s="890"/>
      <c r="T11" s="890"/>
      <c r="U11" s="890"/>
      <c r="V11" s="891"/>
      <c r="W11" s="890"/>
      <c r="X11" s="891"/>
      <c r="Y11" s="891"/>
      <c r="Z11" s="891"/>
      <c r="AA11" s="891"/>
      <c r="AB11" s="891"/>
      <c r="AC11" s="891"/>
      <c r="AD11" s="890"/>
      <c r="AE11" s="890"/>
      <c r="AF11" s="890"/>
      <c r="AG11" s="890"/>
      <c r="AH11" s="890"/>
      <c r="AI11" s="890"/>
      <c r="AJ11" s="891"/>
      <c r="AK11" s="890"/>
      <c r="AL11" s="890"/>
      <c r="AM11" s="1145"/>
    </row>
    <row r="12" spans="2:39" s="794" customFormat="1" ht="20.25">
      <c r="B12" s="887"/>
      <c r="C12" s="890"/>
      <c r="D12" s="890"/>
      <c r="H12" s="1146"/>
      <c r="I12" s="1147"/>
      <c r="J12" s="1147"/>
      <c r="K12" s="1147"/>
      <c r="L12" s="1147"/>
      <c r="M12" s="1147"/>
      <c r="N12" s="1147"/>
      <c r="O12" s="1147"/>
      <c r="P12" s="1147"/>
      <c r="Q12" s="1147"/>
      <c r="R12" s="797"/>
      <c r="S12" s="797"/>
      <c r="T12" s="797"/>
      <c r="U12" s="797"/>
      <c r="V12" s="891"/>
      <c r="W12" s="890"/>
      <c r="X12" s="891"/>
      <c r="Y12" s="891"/>
      <c r="Z12" s="891"/>
      <c r="AA12" s="891"/>
      <c r="AB12" s="891"/>
      <c r="AC12" s="891"/>
      <c r="AD12" s="890"/>
      <c r="AE12" s="890"/>
      <c r="AF12" s="797"/>
      <c r="AG12" s="797"/>
      <c r="AH12" s="797"/>
      <c r="AI12" s="797"/>
      <c r="AJ12" s="800"/>
      <c r="AK12" s="797"/>
      <c r="AL12" s="797"/>
      <c r="AM12" s="1148"/>
    </row>
    <row r="13" spans="2:39" s="877" customFormat="1" ht="16.5" customHeight="1">
      <c r="B13" s="889"/>
      <c r="C13" s="895"/>
      <c r="D13" s="895"/>
      <c r="E13" s="890"/>
      <c r="F13" s="1151"/>
      <c r="H13" s="1149"/>
      <c r="I13" s="1150"/>
      <c r="J13" s="1150"/>
      <c r="K13" s="1150"/>
      <c r="L13" s="1150"/>
      <c r="M13" s="1150"/>
      <c r="N13" s="1150"/>
      <c r="O13" s="1150"/>
      <c r="P13" s="1150"/>
      <c r="Q13" s="1150"/>
      <c r="R13" s="890"/>
      <c r="S13" s="890"/>
      <c r="T13" s="890"/>
      <c r="U13" s="890"/>
      <c r="V13" s="896"/>
      <c r="W13" s="895"/>
      <c r="X13" s="896"/>
      <c r="Y13" s="896"/>
      <c r="Z13" s="896"/>
      <c r="AA13" s="896"/>
      <c r="AB13" s="896"/>
      <c r="AC13" s="896"/>
      <c r="AD13" s="895"/>
      <c r="AE13" s="895"/>
      <c r="AF13" s="890"/>
      <c r="AG13" s="890"/>
      <c r="AH13" s="890"/>
      <c r="AI13" s="890"/>
      <c r="AJ13" s="891"/>
      <c r="AK13" s="890"/>
      <c r="AL13" s="890"/>
      <c r="AM13" s="1145"/>
    </row>
    <row r="14" spans="2:39" s="893" customFormat="1" ht="16.5" customHeight="1">
      <c r="B14" s="1152" t="str">
        <f>'tot-0103'!B14</f>
        <v>Desde el 01 al 31 de marzo de 2001</v>
      </c>
      <c r="C14" s="895"/>
      <c r="D14" s="895"/>
      <c r="E14" s="1153"/>
      <c r="F14" s="1154"/>
      <c r="G14" s="1154"/>
      <c r="H14" s="1154"/>
      <c r="I14" s="1154"/>
      <c r="J14" s="1154"/>
      <c r="K14" s="1154"/>
      <c r="L14" s="1154"/>
      <c r="M14" s="1154"/>
      <c r="N14" s="1154"/>
      <c r="O14" s="1154"/>
      <c r="P14" s="1154"/>
      <c r="Q14" s="1154"/>
      <c r="R14" s="1153"/>
      <c r="S14" s="1153"/>
      <c r="T14" s="1153"/>
      <c r="U14" s="1153"/>
      <c r="V14" s="896"/>
      <c r="W14" s="895"/>
      <c r="X14" s="896"/>
      <c r="Y14" s="896"/>
      <c r="Z14" s="896"/>
      <c r="AA14" s="896"/>
      <c r="AB14" s="896"/>
      <c r="AC14" s="896"/>
      <c r="AD14" s="895"/>
      <c r="AE14" s="895"/>
      <c r="AF14" s="1153"/>
      <c r="AG14" s="1153"/>
      <c r="AH14" s="1153"/>
      <c r="AI14" s="1153"/>
      <c r="AJ14" s="1155"/>
      <c r="AK14" s="1153"/>
      <c r="AL14" s="1153"/>
      <c r="AM14" s="1156"/>
    </row>
    <row r="15" spans="2:39" s="877" customFormat="1" ht="40.5" customHeight="1" thickBot="1">
      <c r="B15" s="889"/>
      <c r="C15" s="890"/>
      <c r="D15" s="890"/>
      <c r="E15" s="890"/>
      <c r="F15" s="890"/>
      <c r="G15" s="890"/>
      <c r="H15" s="890"/>
      <c r="I15" s="890"/>
      <c r="J15" s="901"/>
      <c r="K15" s="903"/>
      <c r="L15" s="902"/>
      <c r="M15" s="903"/>
      <c r="N15" s="902"/>
      <c r="O15" s="903"/>
      <c r="P15" s="902"/>
      <c r="Q15" s="876"/>
      <c r="R15" s="891"/>
      <c r="S15" s="891"/>
      <c r="T15" s="891"/>
      <c r="U15" s="891"/>
      <c r="V15" s="903"/>
      <c r="W15" s="902"/>
      <c r="X15" s="903"/>
      <c r="Y15" s="903"/>
      <c r="Z15" s="902"/>
      <c r="AA15" s="902"/>
      <c r="AB15" s="902"/>
      <c r="AC15" s="903"/>
      <c r="AD15" s="903"/>
      <c r="AE15" s="903"/>
      <c r="AF15" s="891"/>
      <c r="AG15" s="891"/>
      <c r="AH15" s="891"/>
      <c r="AI15" s="891"/>
      <c r="AJ15" s="891"/>
      <c r="AK15" s="890"/>
      <c r="AL15" s="890"/>
      <c r="AM15" s="1145"/>
    </row>
    <row r="16" spans="2:39" s="877" customFormat="1" ht="16.5" customHeight="1" thickBot="1" thickTop="1">
      <c r="B16" s="889"/>
      <c r="C16" s="890"/>
      <c r="D16" s="890"/>
      <c r="E16" s="890"/>
      <c r="F16" s="1157" t="s">
        <v>103</v>
      </c>
      <c r="G16" s="1158"/>
      <c r="H16" s="1159">
        <f>'RE-0103'!F15</f>
        <v>0.151</v>
      </c>
      <c r="I16" s="1160"/>
      <c r="J16" s="1121"/>
      <c r="K16" s="890"/>
      <c r="L16" s="890"/>
      <c r="M16" s="890"/>
      <c r="N16" s="890"/>
      <c r="O16" s="890"/>
      <c r="Q16" s="890"/>
      <c r="R16" s="890"/>
      <c r="S16" s="890"/>
      <c r="T16" s="890"/>
      <c r="U16" s="890"/>
      <c r="V16" s="891"/>
      <c r="W16" s="890"/>
      <c r="X16" s="891"/>
      <c r="Y16" s="891"/>
      <c r="Z16" s="891"/>
      <c r="AA16" s="891"/>
      <c r="AB16" s="891"/>
      <c r="AC16" s="891"/>
      <c r="AD16" s="890"/>
      <c r="AE16" s="890"/>
      <c r="AF16" s="890"/>
      <c r="AG16" s="890"/>
      <c r="AH16" s="890"/>
      <c r="AI16" s="890"/>
      <c r="AJ16" s="891"/>
      <c r="AK16" s="890"/>
      <c r="AL16" s="890"/>
      <c r="AM16" s="1145"/>
    </row>
    <row r="17" spans="2:39" s="877" customFormat="1" ht="16.5" customHeight="1" thickBot="1" thickTop="1">
      <c r="B17" s="889"/>
      <c r="C17" s="890"/>
      <c r="D17" s="890"/>
      <c r="E17" s="890"/>
      <c r="F17" s="1161" t="s">
        <v>104</v>
      </c>
      <c r="G17" s="1162"/>
      <c r="H17" s="1163">
        <v>20</v>
      </c>
      <c r="I17" s="1160"/>
      <c r="J17" s="1121"/>
      <c r="K17" s="1164"/>
      <c r="L17" s="914"/>
      <c r="M17" s="890"/>
      <c r="N17" s="890"/>
      <c r="O17" s="890"/>
      <c r="Q17" s="890"/>
      <c r="R17" s="890"/>
      <c r="S17" s="890"/>
      <c r="T17" s="918"/>
      <c r="U17" s="918"/>
      <c r="V17" s="876"/>
      <c r="X17" s="876"/>
      <c r="Y17" s="876"/>
      <c r="Z17" s="876"/>
      <c r="AA17" s="876"/>
      <c r="AB17" s="876"/>
      <c r="AC17" s="876"/>
      <c r="AF17" s="890"/>
      <c r="AG17" s="890"/>
      <c r="AH17" s="918"/>
      <c r="AI17" s="918"/>
      <c r="AJ17" s="1165"/>
      <c r="AK17" s="918"/>
      <c r="AL17" s="918"/>
      <c r="AM17" s="1145"/>
    </row>
    <row r="18" spans="2:39" s="877" customFormat="1" ht="16.5" customHeight="1" thickBot="1" thickTop="1">
      <c r="B18" s="889"/>
      <c r="C18" s="890"/>
      <c r="D18" s="890"/>
      <c r="E18" s="900"/>
      <c r="F18" s="1166"/>
      <c r="G18" s="1167"/>
      <c r="H18" s="1167"/>
      <c r="I18" s="1114"/>
      <c r="J18" s="1114"/>
      <c r="K18" s="1114"/>
      <c r="L18" s="1114"/>
      <c r="M18" s="1114"/>
      <c r="N18" s="1114"/>
      <c r="O18" s="1114"/>
      <c r="P18" s="1114"/>
      <c r="Q18" s="1168"/>
      <c r="R18" s="1169" t="s">
        <v>275</v>
      </c>
      <c r="S18" s="1170"/>
      <c r="T18" s="1170"/>
      <c r="U18" s="1171"/>
      <c r="V18" s="891"/>
      <c r="W18" s="890"/>
      <c r="X18" s="891"/>
      <c r="Y18" s="891"/>
      <c r="Z18" s="891"/>
      <c r="AA18" s="891"/>
      <c r="AB18" s="891"/>
      <c r="AC18" s="891"/>
      <c r="AD18" s="890"/>
      <c r="AE18" s="890"/>
      <c r="AF18" s="1172" t="s">
        <v>276</v>
      </c>
      <c r="AG18" s="1170"/>
      <c r="AH18" s="1170"/>
      <c r="AI18" s="1171"/>
      <c r="AJ18" s="1173"/>
      <c r="AK18" s="1174"/>
      <c r="AL18" s="1175"/>
      <c r="AM18" s="1145"/>
    </row>
    <row r="19" spans="2:39" s="877" customFormat="1" ht="45" customHeight="1" thickBot="1" thickTop="1">
      <c r="B19" s="889"/>
      <c r="C19" s="890"/>
      <c r="D19" s="932" t="s">
        <v>255</v>
      </c>
      <c r="E19" s="933" t="s">
        <v>74</v>
      </c>
      <c r="F19" s="936" t="s">
        <v>105</v>
      </c>
      <c r="G19" s="934" t="s">
        <v>43</v>
      </c>
      <c r="H19" s="1176" t="s">
        <v>106</v>
      </c>
      <c r="I19" s="1177" t="s">
        <v>79</v>
      </c>
      <c r="J19" s="934" t="s">
        <v>80</v>
      </c>
      <c r="K19" s="934" t="s">
        <v>81</v>
      </c>
      <c r="L19" s="936" t="s">
        <v>82</v>
      </c>
      <c r="M19" s="936" t="s">
        <v>83</v>
      </c>
      <c r="N19" s="943" t="s">
        <v>84</v>
      </c>
      <c r="O19" s="943" t="s">
        <v>85</v>
      </c>
      <c r="P19" s="934" t="s">
        <v>87</v>
      </c>
      <c r="Q19" s="1177" t="s">
        <v>78</v>
      </c>
      <c r="R19" s="1178" t="s">
        <v>99</v>
      </c>
      <c r="S19" s="1179" t="s">
        <v>122</v>
      </c>
      <c r="T19" s="1180"/>
      <c r="U19" s="1181" t="s">
        <v>92</v>
      </c>
      <c r="V19" s="947" t="s">
        <v>256</v>
      </c>
      <c r="W19" s="948" t="s">
        <v>258</v>
      </c>
      <c r="X19" s="949" t="s">
        <v>259</v>
      </c>
      <c r="Y19" s="949" t="s">
        <v>260</v>
      </c>
      <c r="Z19" s="949" t="s">
        <v>261</v>
      </c>
      <c r="AA19" s="949" t="s">
        <v>262</v>
      </c>
      <c r="AB19" s="949" t="s">
        <v>263</v>
      </c>
      <c r="AC19" s="950" t="s">
        <v>264</v>
      </c>
      <c r="AD19" s="950" t="s">
        <v>265</v>
      </c>
      <c r="AE19" s="950" t="s">
        <v>266</v>
      </c>
      <c r="AF19" s="1178" t="s">
        <v>99</v>
      </c>
      <c r="AG19" s="1179" t="s">
        <v>122</v>
      </c>
      <c r="AH19" s="1180"/>
      <c r="AI19" s="1181" t="s">
        <v>92</v>
      </c>
      <c r="AJ19" s="949" t="s">
        <v>267</v>
      </c>
      <c r="AK19" s="948" t="s">
        <v>94</v>
      </c>
      <c r="AL19" s="1182" t="s">
        <v>95</v>
      </c>
      <c r="AM19" s="1145"/>
    </row>
    <row r="20" spans="2:39" s="877" customFormat="1" ht="16.5" customHeight="1" thickBot="1" thickTop="1">
      <c r="B20" s="889"/>
      <c r="C20" s="952"/>
      <c r="D20" s="953"/>
      <c r="E20" s="1183"/>
      <c r="F20" s="1184"/>
      <c r="G20" s="1184"/>
      <c r="H20" s="1184"/>
      <c r="I20" s="1185"/>
      <c r="J20" s="1186"/>
      <c r="K20" s="1186"/>
      <c r="L20" s="1183"/>
      <c r="M20" s="1183"/>
      <c r="N20" s="1184"/>
      <c r="O20" s="1187"/>
      <c r="P20" s="1183"/>
      <c r="Q20" s="1188"/>
      <c r="R20" s="1189"/>
      <c r="S20" s="1190"/>
      <c r="T20" s="1191"/>
      <c r="U20" s="1192"/>
      <c r="V20" s="965"/>
      <c r="W20" s="1193"/>
      <c r="X20" s="986"/>
      <c r="Y20" s="987"/>
      <c r="Z20" s="987"/>
      <c r="AA20" s="987"/>
      <c r="AB20" s="988"/>
      <c r="AC20" s="989"/>
      <c r="AD20" s="989"/>
      <c r="AE20" s="989"/>
      <c r="AF20" s="1189"/>
      <c r="AG20" s="1194"/>
      <c r="AH20" s="1195"/>
      <c r="AI20" s="1192"/>
      <c r="AJ20" s="1196"/>
      <c r="AK20" s="1197"/>
      <c r="AL20" s="1198"/>
      <c r="AM20" s="1145"/>
    </row>
    <row r="21" spans="2:39" s="877" customFormat="1" ht="16.5" customHeight="1" thickBot="1" thickTop="1">
      <c r="B21" s="889"/>
      <c r="C21" s="972"/>
      <c r="D21" s="973"/>
      <c r="E21" s="1199"/>
      <c r="F21" s="1200"/>
      <c r="G21" s="1201"/>
      <c r="H21" s="1202"/>
      <c r="I21" s="1203"/>
      <c r="J21" s="1204"/>
      <c r="K21" s="1205"/>
      <c r="L21" s="1206"/>
      <c r="M21" s="1207"/>
      <c r="N21" s="1208"/>
      <c r="O21" s="974"/>
      <c r="P21" s="1209"/>
      <c r="Q21" s="1210"/>
      <c r="R21" s="1211"/>
      <c r="S21" s="1212"/>
      <c r="T21" s="1213"/>
      <c r="U21" s="1214"/>
      <c r="V21" s="985"/>
      <c r="W21" s="1215"/>
      <c r="X21" s="1216"/>
      <c r="Y21" s="1217"/>
      <c r="Z21" s="1217"/>
      <c r="AA21" s="1217"/>
      <c r="AB21" s="1218"/>
      <c r="AC21" s="1219"/>
      <c r="AD21" s="1219"/>
      <c r="AE21" s="1219"/>
      <c r="AF21" s="1211"/>
      <c r="AG21" s="1212"/>
      <c r="AH21" s="1213"/>
      <c r="AI21" s="1214"/>
      <c r="AJ21" s="1220"/>
      <c r="AK21" s="1209"/>
      <c r="AL21" s="1221"/>
      <c r="AM21" s="1145"/>
    </row>
    <row r="22" spans="2:39" s="877" customFormat="1" ht="16.5" customHeight="1">
      <c r="B22" s="889"/>
      <c r="C22" s="1342" t="s">
        <v>268</v>
      </c>
      <c r="D22" s="993"/>
      <c r="E22" s="1222">
        <v>58</v>
      </c>
      <c r="F22" s="1223" t="s">
        <v>26</v>
      </c>
      <c r="G22" s="1223" t="s">
        <v>168</v>
      </c>
      <c r="H22" s="1224">
        <v>150</v>
      </c>
      <c r="I22" s="1225">
        <f aca="true" t="shared" si="0" ref="I22:I29">H22*$H$16</f>
        <v>22.65</v>
      </c>
      <c r="J22" s="1226">
        <v>36959.84722222222</v>
      </c>
      <c r="K22" s="1227">
        <v>36963.81875</v>
      </c>
      <c r="L22" s="1228">
        <f aca="true" t="shared" si="1" ref="L22:L29">IF(F22="","",(K22-J22)*24)</f>
        <v>95.31666666670935</v>
      </c>
      <c r="M22" s="1001">
        <f aca="true" t="shared" si="2" ref="M22:M29">IF(F22="","",ROUND((K22-J22)*24*60,0))</f>
        <v>5719</v>
      </c>
      <c r="N22" s="1002" t="s">
        <v>178</v>
      </c>
      <c r="O22" s="1229" t="str">
        <f aca="true" t="shared" si="3" ref="O22:O29">IF(F22="","","--")</f>
        <v>--</v>
      </c>
      <c r="P22" s="1230" t="str">
        <f aca="true" t="shared" si="4" ref="P22:P29">IF(F22="","",IF(OR(N22="P",N22="RP"),"--","NO"))</f>
        <v>NO</v>
      </c>
      <c r="Q22" s="1231">
        <f aca="true" t="shared" si="5" ref="Q22:Q29">IF(N22="P",$H$17/10,$H$17)</f>
        <v>20</v>
      </c>
      <c r="R22" s="1232" t="str">
        <f aca="true" t="shared" si="6" ref="R22:R29">IF(N22="P",I22*Q22*ROUND(AB22,2),"--")</f>
        <v>--</v>
      </c>
      <c r="S22" s="1233">
        <f aca="true" t="shared" si="7" ref="S22:S29">IF(AND(N22="F",P22="NO"),I22*Q22,"--")</f>
        <v>453</v>
      </c>
      <c r="T22" s="1234">
        <f aca="true" t="shared" si="8" ref="T22:T29">IF(N22="F",I22*Q22*ROUND(AB22,2),"--")</f>
        <v>78767.64</v>
      </c>
      <c r="U22" s="1235" t="str">
        <f aca="true" t="shared" si="9" ref="U22:U29">IF(N22="RF",I22*Q22*ROUND(AB22,2),"--")</f>
        <v>--</v>
      </c>
      <c r="V22" s="1007">
        <f aca="true" t="shared" si="10" ref="V22:V29">IF(F22="","",SUM(R22:U22)*IF(AK22="SI",1,2))</f>
        <v>79220.64</v>
      </c>
      <c r="W22" s="1236">
        <v>3</v>
      </c>
      <c r="X22" s="1010">
        <v>0</v>
      </c>
      <c r="Y22" s="1011">
        <f>IF(F22="","",'tiempos E.T'!$D$31)</f>
        <v>0.7</v>
      </c>
      <c r="Z22" s="1012">
        <f>IF(F22="","",'tiempos E.T'!$D$33+X22)</f>
        <v>82.80000000000001</v>
      </c>
      <c r="AA22" s="1012">
        <f>IF(F22="","",'tiempos E.T'!$D$34)</f>
        <v>165.60000000000002</v>
      </c>
      <c r="AB22" s="1013">
        <f aca="true" t="shared" si="11" ref="AB22:AB29">IF(F22="","",Y22*(Z22+AA22))</f>
        <v>173.88000000000002</v>
      </c>
      <c r="AC22" s="1014">
        <f aca="true" t="shared" si="12" ref="AC22:AC29">IF(F22="","",AB22*60)</f>
        <v>10432.800000000001</v>
      </c>
      <c r="AD22" s="1015">
        <f aca="true" t="shared" si="13" ref="AD22:AD29">IF(F22="","",LOG(V22)/LOG(AA22))</f>
        <v>2.207618366649954</v>
      </c>
      <c r="AE22" s="1015">
        <f aca="true" t="shared" si="14" ref="AE22:AE29">IF(F22="","",1/(2*W22))</f>
        <v>0.16666666666666666</v>
      </c>
      <c r="AF22" s="1232" t="str">
        <f aca="true" t="shared" si="15" ref="AF22:AF29">IF(N22="P",I22*Q22*ROUND(M22/60,2),"--")</f>
        <v>--</v>
      </c>
      <c r="AG22" s="1233">
        <f aca="true" t="shared" si="16" ref="AG22:AG29">IF(AND(N22="F",P22="NO"),I22*Q22,"--")</f>
        <v>453</v>
      </c>
      <c r="AH22" s="1234">
        <f aca="true" t="shared" si="17" ref="AH22:AH29">IF(N22="F",I22*Q22*ROUND(M22/60,2),"--")</f>
        <v>43179.96</v>
      </c>
      <c r="AI22" s="1235" t="str">
        <f aca="true" t="shared" si="18" ref="AI22:AI29">IF(N22="RF",I22*Q22*ROUND(M22/60,2),"--")</f>
        <v>--</v>
      </c>
      <c r="AJ22" s="1237">
        <f aca="true" t="shared" si="19" ref="AJ22:AJ29">IF(F22="","",SUM(AF22:AI22)*IF(AK22="SI",1,2))</f>
        <v>43632.96</v>
      </c>
      <c r="AK22" s="1230" t="str">
        <f aca="true" t="shared" si="20" ref="AK22:AK29">IF(F22="","","SI")</f>
        <v>SI</v>
      </c>
      <c r="AL22" s="1016">
        <f aca="true" t="shared" si="21" ref="AL22:AL29">IF(F22="","",IF(L22&lt;=Z22,0,(IF(L22&gt;AB22,AJ22,(L22-Z22)^AD22*1/(1-AE22*(L22-AB22))))))</f>
        <v>18.784746490680604</v>
      </c>
      <c r="AM22" s="1145"/>
    </row>
    <row r="23" spans="2:39" s="877" customFormat="1" ht="16.5" customHeight="1">
      <c r="B23" s="889"/>
      <c r="C23" s="1343"/>
      <c r="D23" s="1019"/>
      <c r="E23" s="1238"/>
      <c r="F23" s="1239"/>
      <c r="G23" s="1240"/>
      <c r="H23" s="1241"/>
      <c r="I23" s="1242">
        <f t="shared" si="0"/>
        <v>0</v>
      </c>
      <c r="J23" s="1243"/>
      <c r="K23" s="1244"/>
      <c r="L23" s="1245">
        <f t="shared" si="1"/>
      </c>
      <c r="M23" s="1246">
        <f t="shared" si="2"/>
      </c>
      <c r="N23" s="1247" t="s">
        <v>178</v>
      </c>
      <c r="O23" s="1248">
        <f t="shared" si="3"/>
      </c>
      <c r="P23" s="1249">
        <f t="shared" si="4"/>
      </c>
      <c r="Q23" s="1250">
        <f t="shared" si="5"/>
        <v>20</v>
      </c>
      <c r="R23" s="1251" t="str">
        <f t="shared" si="6"/>
        <v>--</v>
      </c>
      <c r="S23" s="1252" t="str">
        <f t="shared" si="7"/>
        <v>--</v>
      </c>
      <c r="T23" s="1253" t="e">
        <f t="shared" si="8"/>
        <v>#VALUE!</v>
      </c>
      <c r="U23" s="1254" t="str">
        <f t="shared" si="9"/>
        <v>--</v>
      </c>
      <c r="V23" s="1035">
        <f t="shared" si="10"/>
      </c>
      <c r="W23" s="1051"/>
      <c r="X23" s="1038"/>
      <c r="Y23" s="1039">
        <f>IF(F23="","",'tiempos E.T'!$D$31)</f>
      </c>
      <c r="Z23" s="1040">
        <f>IF(F23="","",'tiempos E.T'!$D$33+X23)</f>
      </c>
      <c r="AA23" s="1040">
        <f>IF(F23="","",'tiempos E.T'!$D$34)</f>
      </c>
      <c r="AB23" s="1041">
        <f t="shared" si="11"/>
      </c>
      <c r="AC23" s="1042">
        <f t="shared" si="12"/>
      </c>
      <c r="AD23" s="1043">
        <f t="shared" si="13"/>
      </c>
      <c r="AE23" s="1043">
        <f t="shared" si="14"/>
      </c>
      <c r="AF23" s="1251" t="str">
        <f t="shared" si="15"/>
        <v>--</v>
      </c>
      <c r="AG23" s="1252" t="str">
        <f t="shared" si="16"/>
        <v>--</v>
      </c>
      <c r="AH23" s="1253" t="e">
        <f t="shared" si="17"/>
        <v>#VALUE!</v>
      </c>
      <c r="AI23" s="1254" t="str">
        <f t="shared" si="18"/>
        <v>--</v>
      </c>
      <c r="AJ23" s="1255">
        <f t="shared" si="19"/>
      </c>
      <c r="AK23" s="1249">
        <f t="shared" si="20"/>
      </c>
      <c r="AL23" s="1256">
        <f t="shared" si="21"/>
      </c>
      <c r="AM23" s="1145"/>
    </row>
    <row r="24" spans="2:39" s="877" customFormat="1" ht="16.5" customHeight="1">
      <c r="B24" s="889"/>
      <c r="C24" s="1343"/>
      <c r="D24" s="1019"/>
      <c r="E24" s="1238"/>
      <c r="F24" s="1239"/>
      <c r="G24" s="1240"/>
      <c r="H24" s="1241"/>
      <c r="I24" s="1242">
        <f t="shared" si="0"/>
        <v>0</v>
      </c>
      <c r="J24" s="1243"/>
      <c r="K24" s="1244"/>
      <c r="L24" s="1245">
        <f t="shared" si="1"/>
      </c>
      <c r="M24" s="1246">
        <f t="shared" si="2"/>
      </c>
      <c r="N24" s="1247" t="s">
        <v>178</v>
      </c>
      <c r="O24" s="1248">
        <f t="shared" si="3"/>
      </c>
      <c r="P24" s="1249">
        <f t="shared" si="4"/>
      </c>
      <c r="Q24" s="1250">
        <f t="shared" si="5"/>
        <v>20</v>
      </c>
      <c r="R24" s="1251" t="str">
        <f t="shared" si="6"/>
        <v>--</v>
      </c>
      <c r="S24" s="1252" t="str">
        <f t="shared" si="7"/>
        <v>--</v>
      </c>
      <c r="T24" s="1253" t="e">
        <f t="shared" si="8"/>
        <v>#VALUE!</v>
      </c>
      <c r="U24" s="1254" t="str">
        <f t="shared" si="9"/>
        <v>--</v>
      </c>
      <c r="V24" s="1050">
        <f t="shared" si="10"/>
      </c>
      <c r="W24" s="1051"/>
      <c r="X24" s="1052"/>
      <c r="Y24" s="1039">
        <f>IF(F24="","",'tiempos E.T'!$D$31)</f>
      </c>
      <c r="Z24" s="1053">
        <f>IF(F24="","",'tiempos E.T'!$D$33+X24)</f>
      </c>
      <c r="AA24" s="1040">
        <f>IF(F24="","",'tiempos E.T'!$D$34)</f>
      </c>
      <c r="AB24" s="1054">
        <f t="shared" si="11"/>
      </c>
      <c r="AC24" s="1055">
        <f t="shared" si="12"/>
      </c>
      <c r="AD24" s="1056">
        <f t="shared" si="13"/>
      </c>
      <c r="AE24" s="1056">
        <f t="shared" si="14"/>
      </c>
      <c r="AF24" s="1251" t="str">
        <f t="shared" si="15"/>
        <v>--</v>
      </c>
      <c r="AG24" s="1252" t="str">
        <f t="shared" si="16"/>
        <v>--</v>
      </c>
      <c r="AH24" s="1253" t="e">
        <f t="shared" si="17"/>
        <v>#VALUE!</v>
      </c>
      <c r="AI24" s="1254" t="str">
        <f t="shared" si="18"/>
        <v>--</v>
      </c>
      <c r="AJ24" s="1255">
        <f t="shared" si="19"/>
      </c>
      <c r="AK24" s="1249">
        <f t="shared" si="20"/>
      </c>
      <c r="AL24" s="1256">
        <f t="shared" si="21"/>
      </c>
      <c r="AM24" s="1145"/>
    </row>
    <row r="25" spans="2:39" s="877" customFormat="1" ht="16.5" customHeight="1" thickBot="1">
      <c r="B25" s="889"/>
      <c r="C25" s="1344"/>
      <c r="D25" s="1057"/>
      <c r="E25" s="1257"/>
      <c r="F25" s="1258"/>
      <c r="G25" s="1259"/>
      <c r="H25" s="1260"/>
      <c r="I25" s="1261">
        <f t="shared" si="0"/>
        <v>0</v>
      </c>
      <c r="J25" s="1262"/>
      <c r="K25" s="1263"/>
      <c r="L25" s="1264">
        <f t="shared" si="1"/>
      </c>
      <c r="M25" s="1265">
        <f t="shared" si="2"/>
      </c>
      <c r="N25" s="1266" t="s">
        <v>178</v>
      </c>
      <c r="O25" s="1267">
        <f t="shared" si="3"/>
      </c>
      <c r="P25" s="1268">
        <f t="shared" si="4"/>
      </c>
      <c r="Q25" s="1269">
        <f t="shared" si="5"/>
        <v>20</v>
      </c>
      <c r="R25" s="1270" t="str">
        <f t="shared" si="6"/>
        <v>--</v>
      </c>
      <c r="S25" s="1271" t="str">
        <f t="shared" si="7"/>
        <v>--</v>
      </c>
      <c r="T25" s="1272" t="e">
        <f t="shared" si="8"/>
        <v>#VALUE!</v>
      </c>
      <c r="U25" s="1273" t="str">
        <f t="shared" si="9"/>
        <v>--</v>
      </c>
      <c r="V25" s="1072">
        <f t="shared" si="10"/>
      </c>
      <c r="W25" s="1074"/>
      <c r="X25" s="1075"/>
      <c r="Y25" s="1274">
        <f>IF(F25="","",'tiempos E.T'!$D$31)</f>
      </c>
      <c r="Z25" s="1275">
        <f>IF(F25="","",'tiempos E.T'!$D$33+X25)</f>
      </c>
      <c r="AA25" s="1276">
        <f>IF(F25="","",'tiempos E.T'!$D$34)</f>
      </c>
      <c r="AB25" s="1076">
        <f t="shared" si="11"/>
      </c>
      <c r="AC25" s="1077">
        <f t="shared" si="12"/>
      </c>
      <c r="AD25" s="1078">
        <f t="shared" si="13"/>
      </c>
      <c r="AE25" s="1078">
        <f t="shared" si="14"/>
      </c>
      <c r="AF25" s="1270" t="str">
        <f t="shared" si="15"/>
        <v>--</v>
      </c>
      <c r="AG25" s="1271" t="str">
        <f t="shared" si="16"/>
        <v>--</v>
      </c>
      <c r="AH25" s="1272" t="e">
        <f t="shared" si="17"/>
        <v>#VALUE!</v>
      </c>
      <c r="AI25" s="1273" t="str">
        <f t="shared" si="18"/>
        <v>--</v>
      </c>
      <c r="AJ25" s="1277">
        <f t="shared" si="19"/>
      </c>
      <c r="AK25" s="1268">
        <f t="shared" si="20"/>
      </c>
      <c r="AL25" s="1278">
        <f t="shared" si="21"/>
      </c>
      <c r="AM25" s="1279"/>
    </row>
    <row r="26" spans="2:39" s="877" customFormat="1" ht="16.5" customHeight="1">
      <c r="B26" s="889"/>
      <c r="C26" s="1342" t="s">
        <v>269</v>
      </c>
      <c r="D26" s="993"/>
      <c r="E26" s="1222"/>
      <c r="F26" s="1280"/>
      <c r="G26" s="1281"/>
      <c r="H26" s="1282"/>
      <c r="I26" s="1225">
        <f t="shared" si="0"/>
        <v>0</v>
      </c>
      <c r="J26" s="1283"/>
      <c r="K26" s="1284"/>
      <c r="L26" s="1228">
        <f t="shared" si="1"/>
      </c>
      <c r="M26" s="1001">
        <f t="shared" si="2"/>
      </c>
      <c r="N26" s="1002" t="s">
        <v>178</v>
      </c>
      <c r="O26" s="1229">
        <f t="shared" si="3"/>
      </c>
      <c r="P26" s="1230">
        <f t="shared" si="4"/>
      </c>
      <c r="Q26" s="1231">
        <f t="shared" si="5"/>
        <v>20</v>
      </c>
      <c r="R26" s="1232" t="str">
        <f t="shared" si="6"/>
        <v>--</v>
      </c>
      <c r="S26" s="1233" t="str">
        <f t="shared" si="7"/>
        <v>--</v>
      </c>
      <c r="T26" s="1234" t="e">
        <f t="shared" si="8"/>
        <v>#VALUE!</v>
      </c>
      <c r="U26" s="1235" t="str">
        <f t="shared" si="9"/>
        <v>--</v>
      </c>
      <c r="V26" s="1007">
        <f t="shared" si="10"/>
      </c>
      <c r="W26" s="1236"/>
      <c r="X26" s="1010"/>
      <c r="Y26" s="1079">
        <f>IF(F26="","",'tiempos E.T'!$D$31)</f>
      </c>
      <c r="Z26" s="1080">
        <f>IF(F26="","",'tiempos E.T'!$D$33+X26)</f>
      </c>
      <c r="AA26" s="1080">
        <f>IF(F26="","",'tiempos E.T'!$D$34)</f>
      </c>
      <c r="AB26" s="1013">
        <f t="shared" si="11"/>
      </c>
      <c r="AC26" s="1014">
        <f t="shared" si="12"/>
      </c>
      <c r="AD26" s="1015">
        <f t="shared" si="13"/>
      </c>
      <c r="AE26" s="1015">
        <f t="shared" si="14"/>
      </c>
      <c r="AF26" s="1232" t="str">
        <f t="shared" si="15"/>
        <v>--</v>
      </c>
      <c r="AG26" s="1233" t="str">
        <f t="shared" si="16"/>
        <v>--</v>
      </c>
      <c r="AH26" s="1234" t="e">
        <f t="shared" si="17"/>
        <v>#VALUE!</v>
      </c>
      <c r="AI26" s="1235" t="str">
        <f t="shared" si="18"/>
        <v>--</v>
      </c>
      <c r="AJ26" s="1237">
        <f t="shared" si="19"/>
      </c>
      <c r="AK26" s="1230">
        <f t="shared" si="20"/>
      </c>
      <c r="AL26" s="1016">
        <f t="shared" si="21"/>
      </c>
      <c r="AM26" s="1279"/>
    </row>
    <row r="27" spans="2:39" s="877" customFormat="1" ht="16.5" customHeight="1">
      <c r="B27" s="889"/>
      <c r="C27" s="1343"/>
      <c r="D27" s="1019"/>
      <c r="E27" s="1238"/>
      <c r="F27" s="1239"/>
      <c r="G27" s="1240"/>
      <c r="H27" s="1241"/>
      <c r="I27" s="1242">
        <f t="shared" si="0"/>
        <v>0</v>
      </c>
      <c r="J27" s="1243"/>
      <c r="K27" s="1244"/>
      <c r="L27" s="1245">
        <f t="shared" si="1"/>
      </c>
      <c r="M27" s="1246">
        <f t="shared" si="2"/>
      </c>
      <c r="N27" s="1247" t="s">
        <v>178</v>
      </c>
      <c r="O27" s="1248">
        <f t="shared" si="3"/>
      </c>
      <c r="P27" s="1249">
        <f t="shared" si="4"/>
      </c>
      <c r="Q27" s="1250">
        <f t="shared" si="5"/>
        <v>20</v>
      </c>
      <c r="R27" s="1251" t="str">
        <f t="shared" si="6"/>
        <v>--</v>
      </c>
      <c r="S27" s="1252" t="str">
        <f t="shared" si="7"/>
        <v>--</v>
      </c>
      <c r="T27" s="1253" t="e">
        <f t="shared" si="8"/>
        <v>#VALUE!</v>
      </c>
      <c r="U27" s="1254" t="str">
        <f t="shared" si="9"/>
        <v>--</v>
      </c>
      <c r="V27" s="1035">
        <f t="shared" si="10"/>
      </c>
      <c r="W27" s="1051"/>
      <c r="X27" s="1038"/>
      <c r="Y27" s="1285">
        <f>IF(F27="","",'tiempos E.T'!$D$31)</f>
      </c>
      <c r="Z27" s="1081">
        <f>IF(F27="","",'tiempos E.T'!$D$33+X27)</f>
      </c>
      <c r="AA27" s="1081">
        <f>IF(F27="","",'tiempos E.T'!$D$34)</f>
      </c>
      <c r="AB27" s="1041">
        <f t="shared" si="11"/>
      </c>
      <c r="AC27" s="1042">
        <f t="shared" si="12"/>
      </c>
      <c r="AD27" s="1043">
        <f t="shared" si="13"/>
      </c>
      <c r="AE27" s="1043">
        <f t="shared" si="14"/>
      </c>
      <c r="AF27" s="1251" t="str">
        <f t="shared" si="15"/>
        <v>--</v>
      </c>
      <c r="AG27" s="1252" t="str">
        <f t="shared" si="16"/>
        <v>--</v>
      </c>
      <c r="AH27" s="1253" t="e">
        <f t="shared" si="17"/>
        <v>#VALUE!</v>
      </c>
      <c r="AI27" s="1254" t="str">
        <f t="shared" si="18"/>
        <v>--</v>
      </c>
      <c r="AJ27" s="1255">
        <f t="shared" si="19"/>
      </c>
      <c r="AK27" s="1249">
        <f t="shared" si="20"/>
      </c>
      <c r="AL27" s="1256">
        <f t="shared" si="21"/>
      </c>
      <c r="AM27" s="1279"/>
    </row>
    <row r="28" spans="2:39" s="877" customFormat="1" ht="16.5" customHeight="1">
      <c r="B28" s="889"/>
      <c r="C28" s="1343"/>
      <c r="D28" s="1019"/>
      <c r="E28" s="1238"/>
      <c r="F28" s="1239"/>
      <c r="G28" s="1240"/>
      <c r="H28" s="1241"/>
      <c r="I28" s="1242">
        <f t="shared" si="0"/>
        <v>0</v>
      </c>
      <c r="J28" s="1243"/>
      <c r="K28" s="1244"/>
      <c r="L28" s="1245">
        <f t="shared" si="1"/>
      </c>
      <c r="M28" s="1246">
        <f t="shared" si="2"/>
      </c>
      <c r="N28" s="1247" t="s">
        <v>178</v>
      </c>
      <c r="O28" s="1248">
        <f t="shared" si="3"/>
      </c>
      <c r="P28" s="1249">
        <f t="shared" si="4"/>
      </c>
      <c r="Q28" s="1250">
        <f t="shared" si="5"/>
        <v>20</v>
      </c>
      <c r="R28" s="1251" t="str">
        <f t="shared" si="6"/>
        <v>--</v>
      </c>
      <c r="S28" s="1252" t="str">
        <f t="shared" si="7"/>
        <v>--</v>
      </c>
      <c r="T28" s="1253" t="e">
        <f t="shared" si="8"/>
        <v>#VALUE!</v>
      </c>
      <c r="U28" s="1254" t="str">
        <f t="shared" si="9"/>
        <v>--</v>
      </c>
      <c r="V28" s="1050">
        <f t="shared" si="10"/>
      </c>
      <c r="W28" s="1051"/>
      <c r="X28" s="1052"/>
      <c r="Y28" s="1285">
        <f>IF(F28="","",'tiempos E.T'!$D$31)</f>
      </c>
      <c r="Z28" s="1082">
        <f>IF(F28="","",'tiempos E.T'!$D$33+X28)</f>
      </c>
      <c r="AA28" s="1081">
        <f>IF(F28="","",'tiempos E.T'!$D$34)</f>
      </c>
      <c r="AB28" s="1054">
        <f t="shared" si="11"/>
      </c>
      <c r="AC28" s="1055">
        <f t="shared" si="12"/>
      </c>
      <c r="AD28" s="1056">
        <f t="shared" si="13"/>
      </c>
      <c r="AE28" s="1056">
        <f t="shared" si="14"/>
      </c>
      <c r="AF28" s="1251" t="str">
        <f t="shared" si="15"/>
        <v>--</v>
      </c>
      <c r="AG28" s="1252" t="str">
        <f t="shared" si="16"/>
        <v>--</v>
      </c>
      <c r="AH28" s="1253" t="e">
        <f t="shared" si="17"/>
        <v>#VALUE!</v>
      </c>
      <c r="AI28" s="1254" t="str">
        <f t="shared" si="18"/>
        <v>--</v>
      </c>
      <c r="AJ28" s="1255">
        <f t="shared" si="19"/>
      </c>
      <c r="AK28" s="1249">
        <f t="shared" si="20"/>
      </c>
      <c r="AL28" s="1256">
        <f t="shared" si="21"/>
      </c>
      <c r="AM28" s="1279"/>
    </row>
    <row r="29" spans="2:39" s="877" customFormat="1" ht="16.5" customHeight="1" thickBot="1">
      <c r="B29" s="889"/>
      <c r="C29" s="1344"/>
      <c r="D29" s="1057"/>
      <c r="E29" s="1257"/>
      <c r="F29" s="1258"/>
      <c r="G29" s="1259"/>
      <c r="H29" s="1260"/>
      <c r="I29" s="1261">
        <f t="shared" si="0"/>
        <v>0</v>
      </c>
      <c r="J29" s="1262"/>
      <c r="K29" s="1263"/>
      <c r="L29" s="1264">
        <f t="shared" si="1"/>
      </c>
      <c r="M29" s="1265">
        <f t="shared" si="2"/>
      </c>
      <c r="N29" s="1266" t="s">
        <v>178</v>
      </c>
      <c r="O29" s="1267">
        <f t="shared" si="3"/>
      </c>
      <c r="P29" s="1268">
        <f t="shared" si="4"/>
      </c>
      <c r="Q29" s="1269">
        <f t="shared" si="5"/>
        <v>20</v>
      </c>
      <c r="R29" s="1270" t="str">
        <f t="shared" si="6"/>
        <v>--</v>
      </c>
      <c r="S29" s="1271" t="str">
        <f t="shared" si="7"/>
        <v>--</v>
      </c>
      <c r="T29" s="1272" t="e">
        <f t="shared" si="8"/>
        <v>#VALUE!</v>
      </c>
      <c r="U29" s="1273" t="str">
        <f t="shared" si="9"/>
        <v>--</v>
      </c>
      <c r="V29" s="1072">
        <f t="shared" si="10"/>
      </c>
      <c r="W29" s="1074"/>
      <c r="X29" s="1075"/>
      <c r="Y29" s="1083">
        <f>IF(F29="","",'tiempos E.T'!$D$31)</f>
      </c>
      <c r="Z29" s="1084">
        <f>IF(F29="","",'tiempos E.T'!$D$33+X29)</f>
      </c>
      <c r="AA29" s="1085">
        <f>IF(F29="","",'tiempos E.T'!$D$34)</f>
      </c>
      <c r="AB29" s="1076">
        <f t="shared" si="11"/>
      </c>
      <c r="AC29" s="1077">
        <f t="shared" si="12"/>
      </c>
      <c r="AD29" s="1078">
        <f t="shared" si="13"/>
      </c>
      <c r="AE29" s="1078">
        <f t="shared" si="14"/>
      </c>
      <c r="AF29" s="1270" t="str">
        <f t="shared" si="15"/>
        <v>--</v>
      </c>
      <c r="AG29" s="1271" t="str">
        <f t="shared" si="16"/>
        <v>--</v>
      </c>
      <c r="AH29" s="1272" t="e">
        <f t="shared" si="17"/>
        <v>#VALUE!</v>
      </c>
      <c r="AI29" s="1273" t="str">
        <f t="shared" si="18"/>
        <v>--</v>
      </c>
      <c r="AJ29" s="1277">
        <f t="shared" si="19"/>
      </c>
      <c r="AK29" s="1268">
        <f t="shared" si="20"/>
      </c>
      <c r="AL29" s="1278">
        <f t="shared" si="21"/>
      </c>
      <c r="AM29" s="1279"/>
    </row>
    <row r="30" spans="2:39" s="877" customFormat="1" ht="16.5" customHeight="1" thickBot="1">
      <c r="B30" s="889"/>
      <c r="C30" s="1086"/>
      <c r="D30" s="1087"/>
      <c r="E30" s="1087"/>
      <c r="F30" s="1286"/>
      <c r="G30" s="1287"/>
      <c r="H30" s="1288"/>
      <c r="I30" s="1289"/>
      <c r="J30" s="1290"/>
      <c r="K30" s="1290"/>
      <c r="L30" s="1291"/>
      <c r="M30" s="1291"/>
      <c r="N30" s="1290"/>
      <c r="O30" s="1292"/>
      <c r="P30" s="1293"/>
      <c r="Q30" s="1294"/>
      <c r="R30" s="1295"/>
      <c r="S30" s="1296"/>
      <c r="T30" s="1297"/>
      <c r="U30" s="1298"/>
      <c r="V30" s="1099"/>
      <c r="W30" s="1101"/>
      <c r="X30" s="1101"/>
      <c r="Y30" s="1102"/>
      <c r="Z30" s="1103"/>
      <c r="AA30" s="1103"/>
      <c r="AB30" s="1104"/>
      <c r="AC30" s="1105"/>
      <c r="AD30" s="1106"/>
      <c r="AE30" s="1106"/>
      <c r="AF30" s="1251"/>
      <c r="AG30" s="1299"/>
      <c r="AH30" s="1300"/>
      <c r="AI30" s="1301"/>
      <c r="AJ30" s="1302"/>
      <c r="AK30" s="1303"/>
      <c r="AL30" s="1333"/>
      <c r="AM30" s="1279"/>
    </row>
    <row r="31" spans="2:39" s="877" customFormat="1" ht="16.5" customHeight="1" thickBot="1" thickTop="1">
      <c r="B31" s="889"/>
      <c r="C31" s="890"/>
      <c r="D31" s="890"/>
      <c r="E31" s="1110" t="s">
        <v>96</v>
      </c>
      <c r="F31" s="1111" t="s">
        <v>97</v>
      </c>
      <c r="I31" s="890"/>
      <c r="J31" s="890"/>
      <c r="K31" s="890"/>
      <c r="L31" s="890"/>
      <c r="M31" s="890"/>
      <c r="N31" s="890"/>
      <c r="O31" s="890"/>
      <c r="P31" s="890"/>
      <c r="Q31" s="890"/>
      <c r="R31" s="1304">
        <f>SUM(R20:R30)</f>
        <v>0</v>
      </c>
      <c r="S31" s="1305">
        <f>SUM(S20:S30)</f>
        <v>453</v>
      </c>
      <c r="T31" s="1306" t="e">
        <f>SUM(T20:T30)</f>
        <v>#VALUE!</v>
      </c>
      <c r="U31" s="1307">
        <f>SUM(U20:U30)</f>
        <v>0</v>
      </c>
      <c r="V31" s="1118"/>
      <c r="W31" s="1121"/>
      <c r="X31" s="1125"/>
      <c r="Y31" s="1125"/>
      <c r="Z31" s="1125"/>
      <c r="AA31" s="1125"/>
      <c r="AB31" s="1125"/>
      <c r="AC31" s="1125"/>
      <c r="AD31" s="1121"/>
      <c r="AE31" s="1121"/>
      <c r="AF31" s="1304">
        <f>SUM(AF20:AF30)</f>
        <v>0</v>
      </c>
      <c r="AG31" s="1305">
        <f>SUM(AG20:AG30)</f>
        <v>453</v>
      </c>
      <c r="AH31" s="1306" t="e">
        <f>SUM(AH20:AH30)</f>
        <v>#VALUE!</v>
      </c>
      <c r="AI31" s="1308">
        <f>SUM(AI20:AI30)</f>
        <v>0</v>
      </c>
      <c r="AJ31" s="1309"/>
      <c r="AK31" s="1114"/>
      <c r="AL31" s="1334">
        <f>ROUND(SUM(AL20:AL30),2)</f>
        <v>18.78</v>
      </c>
      <c r="AM31" s="1145"/>
    </row>
    <row r="32" spans="2:39" s="877" customFormat="1" ht="16.5" customHeight="1" thickTop="1">
      <c r="B32" s="889"/>
      <c r="C32" s="1121"/>
      <c r="D32" s="1123"/>
      <c r="E32" s="1310"/>
      <c r="F32" s="1311" t="s">
        <v>98</v>
      </c>
      <c r="G32" s="1312"/>
      <c r="H32" s="1312"/>
      <c r="I32" s="1313"/>
      <c r="J32" s="1313"/>
      <c r="K32" s="1313"/>
      <c r="L32" s="1313"/>
      <c r="M32" s="1313"/>
      <c r="N32" s="1313"/>
      <c r="O32" s="1313"/>
      <c r="P32" s="1313"/>
      <c r="Q32" s="1313"/>
      <c r="R32" s="1314"/>
      <c r="S32" s="1314"/>
      <c r="T32" s="1314"/>
      <c r="U32" s="1314"/>
      <c r="V32" s="1125"/>
      <c r="W32" s="1121"/>
      <c r="X32" s="1125"/>
      <c r="Y32" s="1125"/>
      <c r="Z32" s="1125"/>
      <c r="AA32" s="1125"/>
      <c r="AB32" s="1125"/>
      <c r="AC32" s="1125"/>
      <c r="AD32" s="1121"/>
      <c r="AE32" s="1121"/>
      <c r="AF32" s="1314"/>
      <c r="AG32" s="1314"/>
      <c r="AH32" s="1314"/>
      <c r="AI32" s="1314"/>
      <c r="AJ32" s="1315"/>
      <c r="AL32" s="890"/>
      <c r="AM32" s="1145"/>
    </row>
    <row r="33" spans="2:39" s="1312" customFormat="1" ht="12.75">
      <c r="B33" s="1316"/>
      <c r="C33" s="1121"/>
      <c r="D33" s="1123"/>
      <c r="E33" s="890"/>
      <c r="F33" s="890"/>
      <c r="G33" s="890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0"/>
      <c r="U33" s="890"/>
      <c r="V33" s="1125"/>
      <c r="W33" s="1131"/>
      <c r="X33" s="1317"/>
      <c r="Y33" s="1317"/>
      <c r="Z33" s="1317"/>
      <c r="AA33" s="1317"/>
      <c r="AB33" s="1317"/>
      <c r="AC33" s="1317"/>
      <c r="AD33" s="1131"/>
      <c r="AE33" s="1131"/>
      <c r="AF33" s="1314"/>
      <c r="AG33" s="1314"/>
      <c r="AH33" s="1314"/>
      <c r="AI33" s="1314"/>
      <c r="AJ33" s="1314"/>
      <c r="AL33" s="1318"/>
      <c r="AM33" s="1319"/>
    </row>
    <row r="34" spans="2:39" s="1312" customFormat="1" ht="12.75">
      <c r="B34" s="1316"/>
      <c r="C34" s="1320"/>
      <c r="E34" s="1123" t="s">
        <v>270</v>
      </c>
      <c r="F34" s="1123" t="s">
        <v>271</v>
      </c>
      <c r="G34" s="890"/>
      <c r="H34" s="890"/>
      <c r="I34" s="890"/>
      <c r="J34" s="890"/>
      <c r="K34" s="890"/>
      <c r="L34" s="890"/>
      <c r="M34" s="890"/>
      <c r="N34" s="890"/>
      <c r="O34" s="890"/>
      <c r="P34" s="890"/>
      <c r="Q34" s="890"/>
      <c r="R34" s="890"/>
      <c r="S34" s="890"/>
      <c r="T34" s="890"/>
      <c r="U34" s="890"/>
      <c r="V34" s="1125"/>
      <c r="W34" s="1131"/>
      <c r="X34" s="1317"/>
      <c r="Y34" s="1317"/>
      <c r="Z34" s="1317"/>
      <c r="AA34" s="1317"/>
      <c r="AB34" s="1317"/>
      <c r="AC34" s="1317"/>
      <c r="AD34" s="1131"/>
      <c r="AE34" s="1131"/>
      <c r="AF34" s="1314"/>
      <c r="AG34" s="1314"/>
      <c r="AH34" s="1314"/>
      <c r="AI34" s="1314"/>
      <c r="AJ34" s="1314"/>
      <c r="AM34" s="1319"/>
    </row>
    <row r="35" spans="2:39" s="877" customFormat="1" ht="16.5" customHeight="1" thickBot="1">
      <c r="B35" s="1127"/>
      <c r="C35" s="1128"/>
      <c r="D35" s="1128"/>
      <c r="E35" s="1128"/>
      <c r="F35" s="1128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129"/>
      <c r="W35" s="1322"/>
      <c r="X35" s="1323"/>
      <c r="Y35" s="1323"/>
      <c r="Z35" s="1323"/>
      <c r="AA35" s="1323"/>
      <c r="AB35" s="1323"/>
      <c r="AC35" s="1323"/>
      <c r="AD35" s="1322"/>
      <c r="AE35" s="1322"/>
      <c r="AF35" s="1128"/>
      <c r="AG35" s="1128"/>
      <c r="AH35" s="1128"/>
      <c r="AI35" s="1128"/>
      <c r="AJ35" s="1129"/>
      <c r="AK35" s="1128"/>
      <c r="AL35" s="1128"/>
      <c r="AM35" s="1130"/>
    </row>
    <row r="36" spans="3:41" ht="16.5" customHeight="1" thickTop="1">
      <c r="C36" s="890"/>
      <c r="D36" s="890"/>
      <c r="E36" s="1131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W36" s="1131"/>
      <c r="X36" s="1317"/>
      <c r="Y36" s="1317"/>
      <c r="Z36" s="1317"/>
      <c r="AA36" s="1317"/>
      <c r="AB36" s="1317"/>
      <c r="AC36" s="1317"/>
      <c r="AD36" s="1131"/>
      <c r="AE36" s="1131"/>
      <c r="AF36" s="1325"/>
      <c r="AG36" s="1325"/>
      <c r="AH36" s="1325"/>
      <c r="AI36" s="1325"/>
      <c r="AJ36" s="1326"/>
      <c r="AK36" s="1325"/>
      <c r="AL36" s="1325"/>
      <c r="AM36" s="1325"/>
      <c r="AN36" s="1325"/>
      <c r="AO36" s="1325"/>
    </row>
    <row r="37" spans="3:41" ht="16.5" customHeight="1">
      <c r="C37" s="1131"/>
      <c r="D37" s="1131"/>
      <c r="F37" s="1324"/>
      <c r="G37" s="1324"/>
      <c r="H37" s="1324"/>
      <c r="I37" s="1325"/>
      <c r="J37" s="1325"/>
      <c r="K37" s="1325"/>
      <c r="L37" s="1325"/>
      <c r="M37" s="1325"/>
      <c r="N37" s="1325"/>
      <c r="O37" s="1325"/>
      <c r="P37" s="1325"/>
      <c r="Q37" s="1325"/>
      <c r="R37" s="1325"/>
      <c r="S37" s="1325"/>
      <c r="T37" s="1325"/>
      <c r="U37" s="1325"/>
      <c r="AF37" s="1325"/>
      <c r="AG37" s="1325"/>
      <c r="AH37" s="1325"/>
      <c r="AI37" s="1325"/>
      <c r="AJ37" s="1326"/>
      <c r="AK37" s="1325"/>
      <c r="AL37" s="1325"/>
      <c r="AM37" s="1325"/>
      <c r="AN37" s="1325"/>
      <c r="AO37" s="1325"/>
    </row>
    <row r="38" spans="6:41" ht="16.5" customHeight="1">
      <c r="F38" s="1324"/>
      <c r="G38" s="1324"/>
      <c r="H38" s="1324"/>
      <c r="I38" s="1325"/>
      <c r="J38" s="1325"/>
      <c r="K38" s="1325"/>
      <c r="L38" s="1325"/>
      <c r="M38" s="1325"/>
      <c r="N38" s="1325"/>
      <c r="O38" s="1325"/>
      <c r="P38" s="1325"/>
      <c r="Q38" s="1325"/>
      <c r="R38" s="1325"/>
      <c r="S38" s="1325"/>
      <c r="T38" s="1325"/>
      <c r="U38" s="1325"/>
      <c r="AF38" s="1325"/>
      <c r="AG38" s="1325"/>
      <c r="AH38" s="1325"/>
      <c r="AI38" s="1325"/>
      <c r="AJ38" s="1326"/>
      <c r="AK38" s="1325"/>
      <c r="AL38" s="1325"/>
      <c r="AM38" s="1325"/>
      <c r="AN38" s="1325"/>
      <c r="AO38" s="1325"/>
    </row>
    <row r="39" spans="6:41" ht="16.5" customHeight="1">
      <c r="F39" s="1327" t="s">
        <v>272</v>
      </c>
      <c r="G39" s="1327"/>
      <c r="H39" s="1328"/>
      <c r="I39" s="1329" t="s">
        <v>273</v>
      </c>
      <c r="J39" s="1329"/>
      <c r="K39" s="1329"/>
      <c r="M39" s="1325"/>
      <c r="N39" s="1325"/>
      <c r="O39" s="1325"/>
      <c r="P39" s="1325"/>
      <c r="Q39" s="1325"/>
      <c r="R39" s="1325"/>
      <c r="S39" s="1325"/>
      <c r="T39" s="1325"/>
      <c r="U39" s="1325"/>
      <c r="AF39" s="1325"/>
      <c r="AG39" s="1325"/>
      <c r="AH39" s="1325"/>
      <c r="AI39" s="1325"/>
      <c r="AJ39" s="1326"/>
      <c r="AK39" s="1325"/>
      <c r="AL39" s="1325"/>
      <c r="AM39" s="1325"/>
      <c r="AN39" s="1325"/>
      <c r="AO39" s="1325"/>
    </row>
    <row r="40" spans="6:41" ht="16.5" customHeight="1">
      <c r="F40" s="1330" t="s">
        <v>274</v>
      </c>
      <c r="G40" s="1330"/>
      <c r="H40" s="1329"/>
      <c r="I40" s="1329"/>
      <c r="J40" s="1329"/>
      <c r="K40" s="1329"/>
      <c r="L40" s="1329"/>
      <c r="M40" s="1325"/>
      <c r="N40" s="1325"/>
      <c r="O40" s="1325"/>
      <c r="P40" s="1325"/>
      <c r="Q40" s="1325"/>
      <c r="R40" s="1325"/>
      <c r="S40" s="1325"/>
      <c r="T40" s="1325"/>
      <c r="U40" s="1325"/>
      <c r="AF40" s="1325"/>
      <c r="AG40" s="1325"/>
      <c r="AH40" s="1325"/>
      <c r="AI40" s="1325"/>
      <c r="AJ40" s="1326"/>
      <c r="AK40" s="1325"/>
      <c r="AL40" s="1325"/>
      <c r="AM40" s="1325"/>
      <c r="AN40" s="1325"/>
      <c r="AO40" s="1325"/>
    </row>
    <row r="41" spans="6:41" ht="16.5" customHeight="1">
      <c r="F41" s="1325"/>
      <c r="G41" s="1325"/>
      <c r="H41" s="1325"/>
      <c r="I41" s="1325"/>
      <c r="J41" s="1325"/>
      <c r="K41" s="1325"/>
      <c r="L41" s="1325"/>
      <c r="M41" s="1325"/>
      <c r="N41" s="1325"/>
      <c r="O41" s="1325"/>
      <c r="P41" s="1325"/>
      <c r="Q41" s="1325"/>
      <c r="R41" s="1325"/>
      <c r="S41" s="1325"/>
      <c r="T41" s="1325"/>
      <c r="U41" s="1325"/>
      <c r="AF41" s="1325"/>
      <c r="AG41" s="1325"/>
      <c r="AH41" s="1325"/>
      <c r="AI41" s="1325"/>
      <c r="AJ41" s="1326"/>
      <c r="AK41" s="1325"/>
      <c r="AL41" s="1325"/>
      <c r="AM41" s="1325"/>
      <c r="AN41" s="1325"/>
      <c r="AO41" s="1325"/>
    </row>
    <row r="42" spans="6:41" ht="16.5" customHeight="1">
      <c r="F42" s="1325"/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AF42" s="1325"/>
      <c r="AG42" s="1325"/>
      <c r="AH42" s="1325"/>
      <c r="AI42" s="1325"/>
      <c r="AJ42" s="1326"/>
      <c r="AK42" s="1325"/>
      <c r="AL42" s="1325"/>
      <c r="AM42" s="1325"/>
      <c r="AN42" s="1325"/>
      <c r="AO42" s="1325"/>
    </row>
    <row r="43" spans="6:41" ht="16.5" customHeight="1"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25"/>
      <c r="R43" s="1325"/>
      <c r="S43" s="1325"/>
      <c r="T43" s="1325"/>
      <c r="U43" s="1325"/>
      <c r="AF43" s="1325"/>
      <c r="AG43" s="1325"/>
      <c r="AH43" s="1325"/>
      <c r="AI43" s="1325"/>
      <c r="AJ43" s="1326"/>
      <c r="AK43" s="1325"/>
      <c r="AL43" s="1325"/>
      <c r="AM43" s="1325"/>
      <c r="AN43" s="1325"/>
      <c r="AO43" s="1325"/>
    </row>
    <row r="44" spans="6:41" ht="16.5" customHeight="1"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AF44" s="1325"/>
      <c r="AG44" s="1325"/>
      <c r="AH44" s="1325"/>
      <c r="AI44" s="1325"/>
      <c r="AJ44" s="1326"/>
      <c r="AK44" s="1325"/>
      <c r="AL44" s="1325"/>
      <c r="AM44" s="1325"/>
      <c r="AN44" s="1325"/>
      <c r="AO44" s="1325"/>
    </row>
    <row r="45" spans="6:41" ht="16.5" customHeight="1"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AF45" s="1325"/>
      <c r="AG45" s="1325"/>
      <c r="AH45" s="1325"/>
      <c r="AI45" s="1325"/>
      <c r="AJ45" s="1326"/>
      <c r="AK45" s="1325"/>
      <c r="AL45" s="1325"/>
      <c r="AM45" s="1325"/>
      <c r="AN45" s="1325"/>
      <c r="AO45" s="1325"/>
    </row>
    <row r="46" spans="6:41" ht="16.5" customHeight="1"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AF46" s="1325"/>
      <c r="AG46" s="1325"/>
      <c r="AH46" s="1325"/>
      <c r="AI46" s="1325"/>
      <c r="AJ46" s="1326"/>
      <c r="AK46" s="1325"/>
      <c r="AL46" s="1325"/>
      <c r="AM46" s="1325"/>
      <c r="AN46" s="1325"/>
      <c r="AO46" s="1325"/>
    </row>
    <row r="47" spans="6:41" ht="16.5" customHeight="1"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AF47" s="1325"/>
      <c r="AG47" s="1325"/>
      <c r="AH47" s="1325"/>
      <c r="AI47" s="1325"/>
      <c r="AJ47" s="1326"/>
      <c r="AK47" s="1325"/>
      <c r="AL47" s="1325"/>
      <c r="AM47" s="1325"/>
      <c r="AN47" s="1325"/>
      <c r="AO47" s="1325"/>
    </row>
    <row r="48" spans="6:41" ht="16.5" customHeight="1"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AF48" s="1325"/>
      <c r="AG48" s="1325"/>
      <c r="AH48" s="1325"/>
      <c r="AI48" s="1325"/>
      <c r="AJ48" s="1326"/>
      <c r="AK48" s="1325"/>
      <c r="AL48" s="1325"/>
      <c r="AM48" s="1325"/>
      <c r="AN48" s="1325"/>
      <c r="AO48" s="1325"/>
    </row>
    <row r="49" spans="6:41" ht="16.5" customHeight="1">
      <c r="F49" s="1325"/>
      <c r="G49" s="1325"/>
      <c r="H49" s="1325"/>
      <c r="I49" s="1325"/>
      <c r="J49" s="1325"/>
      <c r="K49" s="1325"/>
      <c r="L49" s="1325"/>
      <c r="M49" s="1325"/>
      <c r="N49" s="1325"/>
      <c r="O49" s="1325"/>
      <c r="P49" s="1325"/>
      <c r="Q49" s="1325"/>
      <c r="R49" s="1325"/>
      <c r="S49" s="1325"/>
      <c r="T49" s="1325"/>
      <c r="U49" s="1325"/>
      <c r="AF49" s="1325"/>
      <c r="AG49" s="1325"/>
      <c r="AH49" s="1325"/>
      <c r="AI49" s="1325"/>
      <c r="AJ49" s="1326"/>
      <c r="AK49" s="1325"/>
      <c r="AL49" s="1325"/>
      <c r="AM49" s="1325"/>
      <c r="AN49" s="1325"/>
      <c r="AO49" s="1325"/>
    </row>
    <row r="50" spans="6:41" ht="16.5" customHeight="1">
      <c r="F50" s="1325"/>
      <c r="G50" s="1325"/>
      <c r="H50" s="1325"/>
      <c r="I50" s="1325"/>
      <c r="J50" s="1325"/>
      <c r="K50" s="1325"/>
      <c r="L50" s="1325"/>
      <c r="M50" s="1325"/>
      <c r="N50" s="1325"/>
      <c r="O50" s="1325"/>
      <c r="P50" s="1325"/>
      <c r="Q50" s="1325"/>
      <c r="R50" s="1325"/>
      <c r="S50" s="1325"/>
      <c r="T50" s="1325"/>
      <c r="U50" s="1325"/>
      <c r="AF50" s="1325"/>
      <c r="AG50" s="1325"/>
      <c r="AH50" s="1325"/>
      <c r="AI50" s="1325"/>
      <c r="AJ50" s="1326"/>
      <c r="AK50" s="1325"/>
      <c r="AL50" s="1325"/>
      <c r="AM50" s="1325"/>
      <c r="AN50" s="1325"/>
      <c r="AO50" s="1325"/>
    </row>
    <row r="51" spans="6:41" ht="16.5" customHeight="1"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AF51" s="1325"/>
      <c r="AG51" s="1325"/>
      <c r="AH51" s="1325"/>
      <c r="AI51" s="1325"/>
      <c r="AJ51" s="1326"/>
      <c r="AK51" s="1325"/>
      <c r="AL51" s="1325"/>
      <c r="AM51" s="1325"/>
      <c r="AN51" s="1325"/>
      <c r="AO51" s="1325"/>
    </row>
    <row r="52" spans="6:41" ht="16.5" customHeight="1">
      <c r="F52" s="1325"/>
      <c r="G52" s="1325"/>
      <c r="H52" s="1325"/>
      <c r="I52" s="1325"/>
      <c r="J52" s="1325"/>
      <c r="K52" s="1325"/>
      <c r="L52" s="1325"/>
      <c r="M52" s="1325"/>
      <c r="N52" s="1325"/>
      <c r="O52" s="1325"/>
      <c r="P52" s="1325"/>
      <c r="Q52" s="1325"/>
      <c r="R52" s="1325"/>
      <c r="S52" s="1325"/>
      <c r="T52" s="1325"/>
      <c r="U52" s="1325"/>
      <c r="AF52" s="1325"/>
      <c r="AG52" s="1325"/>
      <c r="AH52" s="1325"/>
      <c r="AI52" s="1325"/>
      <c r="AJ52" s="1326"/>
      <c r="AK52" s="1325"/>
      <c r="AL52" s="1325"/>
      <c r="AM52" s="1325"/>
      <c r="AN52" s="1325"/>
      <c r="AO52" s="1325"/>
    </row>
    <row r="53" spans="6:41" ht="16.5" customHeight="1"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  <c r="P53" s="1325"/>
      <c r="Q53" s="1325"/>
      <c r="R53" s="1325"/>
      <c r="S53" s="1325"/>
      <c r="T53" s="1325"/>
      <c r="U53" s="1325"/>
      <c r="AF53" s="1325"/>
      <c r="AG53" s="1325"/>
      <c r="AH53" s="1325"/>
      <c r="AI53" s="1325"/>
      <c r="AJ53" s="1326"/>
      <c r="AK53" s="1325"/>
      <c r="AL53" s="1325"/>
      <c r="AM53" s="1325"/>
      <c r="AN53" s="1325"/>
      <c r="AO53" s="1325"/>
    </row>
    <row r="54" spans="6:41" ht="16.5" customHeight="1"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AF54" s="1325"/>
      <c r="AG54" s="1325"/>
      <c r="AH54" s="1325"/>
      <c r="AI54" s="1325"/>
      <c r="AJ54" s="1326"/>
      <c r="AK54" s="1325"/>
      <c r="AL54" s="1325"/>
      <c r="AM54" s="1325"/>
      <c r="AN54" s="1325"/>
      <c r="AO54" s="1325"/>
    </row>
    <row r="55" spans="6:41" ht="16.5" customHeight="1">
      <c r="F55" s="1325"/>
      <c r="G55" s="1325"/>
      <c r="H55" s="1325"/>
      <c r="I55" s="1325"/>
      <c r="J55" s="1325"/>
      <c r="K55" s="1325"/>
      <c r="L55" s="1325"/>
      <c r="M55" s="1325"/>
      <c r="N55" s="1325"/>
      <c r="O55" s="1325"/>
      <c r="P55" s="1325"/>
      <c r="Q55" s="1325"/>
      <c r="R55" s="1325"/>
      <c r="S55" s="1325"/>
      <c r="T55" s="1325"/>
      <c r="U55" s="1325"/>
      <c r="AF55" s="1325"/>
      <c r="AG55" s="1325"/>
      <c r="AH55" s="1325"/>
      <c r="AI55" s="1325"/>
      <c r="AJ55" s="1326"/>
      <c r="AK55" s="1325"/>
      <c r="AL55" s="1325"/>
      <c r="AM55" s="1325"/>
      <c r="AN55" s="1325"/>
      <c r="AO55" s="1325"/>
    </row>
    <row r="56" spans="6:41" ht="16.5" customHeight="1">
      <c r="F56" s="1325"/>
      <c r="G56" s="1325"/>
      <c r="H56" s="1325"/>
      <c r="I56" s="1325"/>
      <c r="J56" s="1325"/>
      <c r="K56" s="1325"/>
      <c r="L56" s="1325"/>
      <c r="M56" s="1325"/>
      <c r="N56" s="1325"/>
      <c r="O56" s="1325"/>
      <c r="P56" s="1325"/>
      <c r="Q56" s="1325"/>
      <c r="R56" s="1325"/>
      <c r="S56" s="1325"/>
      <c r="T56" s="1325"/>
      <c r="U56" s="1325"/>
      <c r="AF56" s="1325"/>
      <c r="AG56" s="1325"/>
      <c r="AH56" s="1325"/>
      <c r="AI56" s="1325"/>
      <c r="AJ56" s="1326"/>
      <c r="AK56" s="1325"/>
      <c r="AL56" s="1325"/>
      <c r="AM56" s="1325"/>
      <c r="AN56" s="1325"/>
      <c r="AO56" s="1325"/>
    </row>
    <row r="57" spans="6:41" ht="16.5" customHeight="1">
      <c r="F57" s="1325"/>
      <c r="G57" s="1325"/>
      <c r="H57" s="1325"/>
      <c r="I57" s="1325"/>
      <c r="J57" s="1325"/>
      <c r="K57" s="1325"/>
      <c r="L57" s="1325"/>
      <c r="M57" s="1325"/>
      <c r="N57" s="1325"/>
      <c r="O57" s="1325"/>
      <c r="P57" s="1325"/>
      <c r="Q57" s="1325"/>
      <c r="R57" s="1325"/>
      <c r="S57" s="1325"/>
      <c r="T57" s="1325"/>
      <c r="U57" s="1325"/>
      <c r="AF57" s="1325"/>
      <c r="AG57" s="1325"/>
      <c r="AH57" s="1325"/>
      <c r="AI57" s="1325"/>
      <c r="AJ57" s="1326"/>
      <c r="AK57" s="1325"/>
      <c r="AL57" s="1325"/>
      <c r="AM57" s="1325"/>
      <c r="AN57" s="1325"/>
      <c r="AO57" s="1325"/>
    </row>
    <row r="58" spans="6:41" ht="16.5" customHeight="1">
      <c r="F58" s="1325"/>
      <c r="G58" s="1325"/>
      <c r="H58" s="1325"/>
      <c r="I58" s="1325"/>
      <c r="J58" s="1325"/>
      <c r="K58" s="1325"/>
      <c r="L58" s="1325"/>
      <c r="M58" s="1325"/>
      <c r="N58" s="1325"/>
      <c r="O58" s="1325"/>
      <c r="P58" s="1325"/>
      <c r="Q58" s="1325"/>
      <c r="R58" s="1325"/>
      <c r="S58" s="1325"/>
      <c r="T58" s="1325"/>
      <c r="U58" s="1325"/>
      <c r="AF58" s="1325"/>
      <c r="AG58" s="1325"/>
      <c r="AH58" s="1325"/>
      <c r="AI58" s="1325"/>
      <c r="AJ58" s="1326"/>
      <c r="AK58" s="1325"/>
      <c r="AL58" s="1325"/>
      <c r="AM58" s="1325"/>
      <c r="AN58" s="1325"/>
      <c r="AO58" s="1325"/>
    </row>
    <row r="59" spans="6:41" ht="16.5" customHeight="1">
      <c r="F59" s="1325"/>
      <c r="G59" s="1325"/>
      <c r="H59" s="1325"/>
      <c r="I59" s="1325"/>
      <c r="J59" s="1325"/>
      <c r="K59" s="1325"/>
      <c r="L59" s="1325"/>
      <c r="M59" s="1325"/>
      <c r="N59" s="1325"/>
      <c r="O59" s="1325"/>
      <c r="P59" s="1325"/>
      <c r="Q59" s="1325"/>
      <c r="R59" s="1325"/>
      <c r="S59" s="1325"/>
      <c r="T59" s="1325"/>
      <c r="U59" s="1325"/>
      <c r="AF59" s="1325"/>
      <c r="AG59" s="1325"/>
      <c r="AH59" s="1325"/>
      <c r="AI59" s="1325"/>
      <c r="AJ59" s="1326"/>
      <c r="AK59" s="1325"/>
      <c r="AL59" s="1325"/>
      <c r="AM59" s="1325"/>
      <c r="AN59" s="1325"/>
      <c r="AO59" s="1325"/>
    </row>
    <row r="60" spans="6:41" ht="16.5" customHeight="1"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AF60" s="1325"/>
      <c r="AG60" s="1325"/>
      <c r="AH60" s="1325"/>
      <c r="AI60" s="1325"/>
      <c r="AJ60" s="1326"/>
      <c r="AK60" s="1325"/>
      <c r="AL60" s="1325"/>
      <c r="AM60" s="1325"/>
      <c r="AN60" s="1325"/>
      <c r="AO60" s="1325"/>
    </row>
    <row r="61" spans="6:41" ht="16.5" customHeight="1">
      <c r="F61" s="1325"/>
      <c r="G61" s="1325"/>
      <c r="H61" s="1325"/>
      <c r="I61" s="1325"/>
      <c r="J61" s="1325"/>
      <c r="K61" s="1325"/>
      <c r="L61" s="1325"/>
      <c r="M61" s="1325"/>
      <c r="N61" s="1325"/>
      <c r="O61" s="1325"/>
      <c r="P61" s="1325"/>
      <c r="Q61" s="1325"/>
      <c r="R61" s="1325"/>
      <c r="S61" s="1325"/>
      <c r="T61" s="1325"/>
      <c r="U61" s="1325"/>
      <c r="AF61" s="1325"/>
      <c r="AG61" s="1325"/>
      <c r="AH61" s="1325"/>
      <c r="AI61" s="1325"/>
      <c r="AJ61" s="1326"/>
      <c r="AK61" s="1325"/>
      <c r="AL61" s="1325"/>
      <c r="AM61" s="1325"/>
      <c r="AN61" s="1325"/>
      <c r="AO61" s="1325"/>
    </row>
    <row r="62" spans="6:41" ht="16.5" customHeight="1">
      <c r="F62" s="1325"/>
      <c r="G62" s="1325"/>
      <c r="H62" s="1325"/>
      <c r="I62" s="1325"/>
      <c r="J62" s="1325"/>
      <c r="K62" s="1325"/>
      <c r="L62" s="1325"/>
      <c r="M62" s="1325"/>
      <c r="N62" s="1325"/>
      <c r="O62" s="1325"/>
      <c r="P62" s="1325"/>
      <c r="Q62" s="1325"/>
      <c r="R62" s="1325"/>
      <c r="S62" s="1325"/>
      <c r="T62" s="1325"/>
      <c r="U62" s="1325"/>
      <c r="AF62" s="1325"/>
      <c r="AG62" s="1325"/>
      <c r="AH62" s="1325"/>
      <c r="AI62" s="1325"/>
      <c r="AJ62" s="1326"/>
      <c r="AK62" s="1325"/>
      <c r="AL62" s="1325"/>
      <c r="AM62" s="1325"/>
      <c r="AN62" s="1325"/>
      <c r="AO62" s="1325"/>
    </row>
    <row r="63" spans="6:41" ht="16.5" customHeight="1"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AF63" s="1325"/>
      <c r="AG63" s="1325"/>
      <c r="AH63" s="1325"/>
      <c r="AI63" s="1325"/>
      <c r="AJ63" s="1326"/>
      <c r="AK63" s="1325"/>
      <c r="AL63" s="1325"/>
      <c r="AM63" s="1325"/>
      <c r="AN63" s="1325"/>
      <c r="AO63" s="1325"/>
    </row>
    <row r="64" spans="6:41" ht="16.5" customHeight="1"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AF64" s="1325"/>
      <c r="AG64" s="1325"/>
      <c r="AH64" s="1325"/>
      <c r="AI64" s="1325"/>
      <c r="AJ64" s="1326"/>
      <c r="AK64" s="1325"/>
      <c r="AL64" s="1325"/>
      <c r="AM64" s="1325"/>
      <c r="AN64" s="1325"/>
      <c r="AO64" s="1325"/>
    </row>
    <row r="65" spans="6:41" ht="16.5" customHeight="1">
      <c r="F65" s="1325"/>
      <c r="G65" s="1325"/>
      <c r="H65" s="1325"/>
      <c r="I65" s="1325"/>
      <c r="J65" s="1325"/>
      <c r="K65" s="1325"/>
      <c r="L65" s="1325"/>
      <c r="M65" s="1325"/>
      <c r="N65" s="1325"/>
      <c r="O65" s="1325"/>
      <c r="P65" s="1325"/>
      <c r="Q65" s="1325"/>
      <c r="R65" s="1325"/>
      <c r="S65" s="1325"/>
      <c r="T65" s="1325"/>
      <c r="U65" s="1325"/>
      <c r="AF65" s="1325"/>
      <c r="AG65" s="1325"/>
      <c r="AH65" s="1325"/>
      <c r="AI65" s="1325"/>
      <c r="AJ65" s="1326"/>
      <c r="AK65" s="1325"/>
      <c r="AL65" s="1325"/>
      <c r="AM65" s="1325"/>
      <c r="AN65" s="1325"/>
      <c r="AO65" s="1325"/>
    </row>
    <row r="66" spans="6:41" ht="16.5" customHeight="1"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AF66" s="1325"/>
      <c r="AG66" s="1325"/>
      <c r="AH66" s="1325"/>
      <c r="AI66" s="1325"/>
      <c r="AJ66" s="1326"/>
      <c r="AK66" s="1325"/>
      <c r="AL66" s="1325"/>
      <c r="AM66" s="1325"/>
      <c r="AN66" s="1325"/>
      <c r="AO66" s="1325"/>
    </row>
    <row r="67" spans="6:41" ht="16.5" customHeight="1">
      <c r="F67" s="1325"/>
      <c r="G67" s="1325"/>
      <c r="H67" s="1325"/>
      <c r="I67" s="1325"/>
      <c r="J67" s="1325"/>
      <c r="K67" s="1325"/>
      <c r="L67" s="1325"/>
      <c r="M67" s="1325"/>
      <c r="N67" s="1325"/>
      <c r="O67" s="1325"/>
      <c r="P67" s="1325"/>
      <c r="Q67" s="1325"/>
      <c r="R67" s="1325"/>
      <c r="S67" s="1325"/>
      <c r="T67" s="1325"/>
      <c r="U67" s="1325"/>
      <c r="AF67" s="1325"/>
      <c r="AG67" s="1325"/>
      <c r="AH67" s="1325"/>
      <c r="AI67" s="1325"/>
      <c r="AJ67" s="1326"/>
      <c r="AK67" s="1325"/>
      <c r="AL67" s="1325"/>
      <c r="AM67" s="1325"/>
      <c r="AN67" s="1325"/>
      <c r="AO67" s="1325"/>
    </row>
    <row r="68" spans="6:41" ht="16.5" customHeight="1">
      <c r="F68" s="1325"/>
      <c r="G68" s="1325"/>
      <c r="H68" s="1325"/>
      <c r="I68" s="1325"/>
      <c r="J68" s="1325"/>
      <c r="K68" s="1325"/>
      <c r="L68" s="1325"/>
      <c r="M68" s="1325"/>
      <c r="N68" s="1325"/>
      <c r="O68" s="1325"/>
      <c r="P68" s="1325"/>
      <c r="Q68" s="1325"/>
      <c r="R68" s="1325"/>
      <c r="S68" s="1325"/>
      <c r="T68" s="1325"/>
      <c r="U68" s="1325"/>
      <c r="AF68" s="1325"/>
      <c r="AG68" s="1325"/>
      <c r="AH68" s="1325"/>
      <c r="AI68" s="1325"/>
      <c r="AJ68" s="1326"/>
      <c r="AK68" s="1325"/>
      <c r="AL68" s="1325"/>
      <c r="AM68" s="1325"/>
      <c r="AN68" s="1325"/>
      <c r="AO68" s="1325"/>
    </row>
    <row r="69" spans="6:41" ht="16.5" customHeight="1">
      <c r="F69" s="1325"/>
      <c r="G69" s="1325"/>
      <c r="H69" s="1325"/>
      <c r="I69" s="1325"/>
      <c r="J69" s="1325"/>
      <c r="K69" s="1325"/>
      <c r="L69" s="1325"/>
      <c r="M69" s="1325"/>
      <c r="N69" s="1325"/>
      <c r="O69" s="1325"/>
      <c r="P69" s="1325"/>
      <c r="Q69" s="1325"/>
      <c r="R69" s="1325"/>
      <c r="S69" s="1325"/>
      <c r="T69" s="1325"/>
      <c r="U69" s="1325"/>
      <c r="AF69" s="1325"/>
      <c r="AG69" s="1325"/>
      <c r="AH69" s="1325"/>
      <c r="AI69" s="1325"/>
      <c r="AJ69" s="1326"/>
      <c r="AK69" s="1325"/>
      <c r="AL69" s="1325"/>
      <c r="AM69" s="1325"/>
      <c r="AN69" s="1325"/>
      <c r="AO69" s="1325"/>
    </row>
    <row r="70" spans="6:41" ht="16.5" customHeight="1"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AF70" s="1325"/>
      <c r="AG70" s="1325"/>
      <c r="AH70" s="1325"/>
      <c r="AI70" s="1325"/>
      <c r="AJ70" s="1326"/>
      <c r="AK70" s="1325"/>
      <c r="AL70" s="1325"/>
      <c r="AM70" s="1325"/>
      <c r="AN70" s="1325"/>
      <c r="AO70" s="1325"/>
    </row>
    <row r="71" spans="6:41" ht="16.5" customHeight="1"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AF71" s="1325"/>
      <c r="AG71" s="1325"/>
      <c r="AH71" s="1325"/>
      <c r="AI71" s="1325"/>
      <c r="AJ71" s="1326"/>
      <c r="AK71" s="1325"/>
      <c r="AL71" s="1325"/>
      <c r="AM71" s="1325"/>
      <c r="AN71" s="1325"/>
      <c r="AO71" s="1325"/>
    </row>
    <row r="72" spans="6:41" ht="16.5" customHeight="1"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AF72" s="1325"/>
      <c r="AG72" s="1325"/>
      <c r="AH72" s="1325"/>
      <c r="AI72" s="1325"/>
      <c r="AJ72" s="1326"/>
      <c r="AK72" s="1325"/>
      <c r="AL72" s="1325"/>
      <c r="AM72" s="1325"/>
      <c r="AN72" s="1325"/>
      <c r="AO72" s="1325"/>
    </row>
    <row r="73" spans="6:41" ht="16.5" customHeight="1"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AF73" s="1325"/>
      <c r="AG73" s="1325"/>
      <c r="AH73" s="1325"/>
      <c r="AI73" s="1325"/>
      <c r="AJ73" s="1326"/>
      <c r="AK73" s="1325"/>
      <c r="AL73" s="1325"/>
      <c r="AM73" s="1325"/>
      <c r="AN73" s="1325"/>
      <c r="AO73" s="1325"/>
    </row>
    <row r="74" spans="6:41" ht="16.5" customHeight="1"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AF74" s="1325"/>
      <c r="AG74" s="1325"/>
      <c r="AH74" s="1325"/>
      <c r="AI74" s="1325"/>
      <c r="AJ74" s="1326"/>
      <c r="AK74" s="1325"/>
      <c r="AL74" s="1325"/>
      <c r="AM74" s="1325"/>
      <c r="AN74" s="1325"/>
      <c r="AO74" s="1325"/>
    </row>
    <row r="75" spans="6:41" ht="16.5" customHeight="1"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AF75" s="1325"/>
      <c r="AG75" s="1325"/>
      <c r="AH75" s="1325"/>
      <c r="AI75" s="1325"/>
      <c r="AJ75" s="1326"/>
      <c r="AK75" s="1325"/>
      <c r="AL75" s="1325"/>
      <c r="AM75" s="1325"/>
      <c r="AN75" s="1325"/>
      <c r="AO75" s="1325"/>
    </row>
    <row r="76" spans="6:41" ht="16.5" customHeight="1">
      <c r="F76" s="1325"/>
      <c r="G76" s="1325"/>
      <c r="H76" s="1325"/>
      <c r="I76" s="1325"/>
      <c r="J76" s="1325"/>
      <c r="K76" s="1325"/>
      <c r="L76" s="1325"/>
      <c r="M76" s="1325"/>
      <c r="N76" s="1325"/>
      <c r="O76" s="1325"/>
      <c r="P76" s="1325"/>
      <c r="Q76" s="1325"/>
      <c r="R76" s="1325"/>
      <c r="S76" s="1325"/>
      <c r="T76" s="1325"/>
      <c r="U76" s="1325"/>
      <c r="AF76" s="1325"/>
      <c r="AG76" s="1325"/>
      <c r="AH76" s="1325"/>
      <c r="AI76" s="1325"/>
      <c r="AJ76" s="1326"/>
      <c r="AK76" s="1325"/>
      <c r="AL76" s="1325"/>
      <c r="AM76" s="1325"/>
      <c r="AN76" s="1325"/>
      <c r="AO76" s="1325"/>
    </row>
    <row r="77" spans="6:41" ht="16.5" customHeight="1">
      <c r="F77" s="1325"/>
      <c r="G77" s="1325"/>
      <c r="H77" s="1325"/>
      <c r="I77" s="1325"/>
      <c r="J77" s="1325"/>
      <c r="K77" s="1325"/>
      <c r="L77" s="1325"/>
      <c r="M77" s="1325"/>
      <c r="N77" s="1325"/>
      <c r="O77" s="1325"/>
      <c r="P77" s="1325"/>
      <c r="Q77" s="1325"/>
      <c r="R77" s="1325"/>
      <c r="S77" s="1325"/>
      <c r="T77" s="1325"/>
      <c r="U77" s="1325"/>
      <c r="AF77" s="1325"/>
      <c r="AG77" s="1325"/>
      <c r="AH77" s="1325"/>
      <c r="AI77" s="1325"/>
      <c r="AJ77" s="1326"/>
      <c r="AK77" s="1325"/>
      <c r="AL77" s="1325"/>
      <c r="AM77" s="1325"/>
      <c r="AN77" s="1325"/>
      <c r="AO77" s="1325"/>
    </row>
    <row r="78" spans="6:41" ht="16.5" customHeight="1"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AF78" s="1325"/>
      <c r="AG78" s="1325"/>
      <c r="AH78" s="1325"/>
      <c r="AI78" s="1325"/>
      <c r="AJ78" s="1326"/>
      <c r="AK78" s="1325"/>
      <c r="AL78" s="1325"/>
      <c r="AM78" s="1325"/>
      <c r="AN78" s="1325"/>
      <c r="AO78" s="1325"/>
    </row>
    <row r="79" spans="6:41" ht="16.5" customHeight="1">
      <c r="F79" s="1325"/>
      <c r="G79" s="1325"/>
      <c r="H79" s="1325"/>
      <c r="I79" s="1325"/>
      <c r="J79" s="1325"/>
      <c r="K79" s="1325"/>
      <c r="L79" s="1325"/>
      <c r="M79" s="1325"/>
      <c r="N79" s="1325"/>
      <c r="O79" s="1325"/>
      <c r="P79" s="1325"/>
      <c r="Q79" s="1325"/>
      <c r="R79" s="1325"/>
      <c r="S79" s="1325"/>
      <c r="T79" s="1325"/>
      <c r="U79" s="1325"/>
      <c r="AF79" s="1325"/>
      <c r="AG79" s="1325"/>
      <c r="AH79" s="1325"/>
      <c r="AI79" s="1325"/>
      <c r="AJ79" s="1326"/>
      <c r="AK79" s="1325"/>
      <c r="AL79" s="1325"/>
      <c r="AM79" s="1325"/>
      <c r="AN79" s="1325"/>
      <c r="AO79" s="1325"/>
    </row>
    <row r="80" spans="6:41" ht="16.5" customHeight="1">
      <c r="F80" s="1325"/>
      <c r="G80" s="1325"/>
      <c r="H80" s="1325"/>
      <c r="I80" s="1325"/>
      <c r="J80" s="1325"/>
      <c r="K80" s="1325"/>
      <c r="L80" s="1325"/>
      <c r="M80" s="1325"/>
      <c r="N80" s="1325"/>
      <c r="O80" s="1325"/>
      <c r="P80" s="1325"/>
      <c r="Q80" s="1325"/>
      <c r="R80" s="1325"/>
      <c r="S80" s="1325"/>
      <c r="T80" s="1325"/>
      <c r="U80" s="1325"/>
      <c r="AF80" s="1325"/>
      <c r="AG80" s="1325"/>
      <c r="AH80" s="1325"/>
      <c r="AI80" s="1325"/>
      <c r="AJ80" s="1326"/>
      <c r="AK80" s="1325"/>
      <c r="AL80" s="1325"/>
      <c r="AM80" s="1325"/>
      <c r="AN80" s="1325"/>
      <c r="AO80" s="1325"/>
    </row>
    <row r="81" spans="6:41" ht="16.5" customHeight="1">
      <c r="F81" s="1325"/>
      <c r="G81" s="1325"/>
      <c r="H81" s="1325"/>
      <c r="I81" s="1325"/>
      <c r="J81" s="1325"/>
      <c r="K81" s="1325"/>
      <c r="L81" s="1325"/>
      <c r="M81" s="1325"/>
      <c r="N81" s="1325"/>
      <c r="O81" s="1325"/>
      <c r="P81" s="1325"/>
      <c r="Q81" s="1325"/>
      <c r="R81" s="1325"/>
      <c r="S81" s="1325"/>
      <c r="T81" s="1325"/>
      <c r="U81" s="1325"/>
      <c r="AF81" s="1325"/>
      <c r="AG81" s="1325"/>
      <c r="AH81" s="1325"/>
      <c r="AI81" s="1325"/>
      <c r="AJ81" s="1326"/>
      <c r="AK81" s="1325"/>
      <c r="AL81" s="1325"/>
      <c r="AM81" s="1325"/>
      <c r="AN81" s="1325"/>
      <c r="AO81" s="1325"/>
    </row>
    <row r="82" spans="6:41" ht="16.5" customHeight="1">
      <c r="F82" s="1325"/>
      <c r="G82" s="1325"/>
      <c r="H82" s="1325"/>
      <c r="I82" s="1325"/>
      <c r="J82" s="1325"/>
      <c r="K82" s="1325"/>
      <c r="L82" s="1325"/>
      <c r="M82" s="1325"/>
      <c r="N82" s="1325"/>
      <c r="O82" s="1325"/>
      <c r="P82" s="1325"/>
      <c r="Q82" s="1325"/>
      <c r="R82" s="1325"/>
      <c r="S82" s="1325"/>
      <c r="T82" s="1325"/>
      <c r="U82" s="1325"/>
      <c r="AF82" s="1325"/>
      <c r="AG82" s="1325"/>
      <c r="AH82" s="1325"/>
      <c r="AI82" s="1325"/>
      <c r="AJ82" s="1326"/>
      <c r="AK82" s="1325"/>
      <c r="AL82" s="1325"/>
      <c r="AM82" s="1325"/>
      <c r="AN82" s="1325"/>
      <c r="AO82" s="1325"/>
    </row>
    <row r="83" spans="6:41" ht="16.5" customHeight="1">
      <c r="F83" s="1325"/>
      <c r="G83" s="1325"/>
      <c r="H83" s="1325"/>
      <c r="I83" s="1325"/>
      <c r="J83" s="1325"/>
      <c r="K83" s="1325"/>
      <c r="L83" s="1325"/>
      <c r="M83" s="1325"/>
      <c r="N83" s="1325"/>
      <c r="O83" s="1325"/>
      <c r="P83" s="1325"/>
      <c r="Q83" s="1325"/>
      <c r="R83" s="1325"/>
      <c r="S83" s="1325"/>
      <c r="T83" s="1325"/>
      <c r="U83" s="1325"/>
      <c r="AF83" s="1325"/>
      <c r="AG83" s="1325"/>
      <c r="AH83" s="1325"/>
      <c r="AI83" s="1325"/>
      <c r="AJ83" s="1326"/>
      <c r="AK83" s="1325"/>
      <c r="AL83" s="1325"/>
      <c r="AM83" s="1325"/>
      <c r="AN83" s="1325"/>
      <c r="AO83" s="1325"/>
    </row>
    <row r="84" spans="6:41" ht="16.5" customHeight="1">
      <c r="F84" s="1325"/>
      <c r="G84" s="1325"/>
      <c r="H84" s="1325"/>
      <c r="I84" s="1325"/>
      <c r="J84" s="1325"/>
      <c r="K84" s="1325"/>
      <c r="L84" s="1325"/>
      <c r="M84" s="1325"/>
      <c r="N84" s="1325"/>
      <c r="O84" s="1325"/>
      <c r="P84" s="1325"/>
      <c r="Q84" s="1325"/>
      <c r="R84" s="1325"/>
      <c r="S84" s="1325"/>
      <c r="T84" s="1325"/>
      <c r="U84" s="1325"/>
      <c r="AF84" s="1325"/>
      <c r="AG84" s="1325"/>
      <c r="AH84" s="1325"/>
      <c r="AI84" s="1325"/>
      <c r="AJ84" s="1326"/>
      <c r="AK84" s="1325"/>
      <c r="AL84" s="1325"/>
      <c r="AM84" s="1325"/>
      <c r="AN84" s="1325"/>
      <c r="AO84" s="1325"/>
    </row>
    <row r="85" spans="6:41" ht="16.5" customHeight="1">
      <c r="F85" s="1325"/>
      <c r="G85" s="1325"/>
      <c r="H85" s="1325"/>
      <c r="I85" s="1325"/>
      <c r="J85" s="1325"/>
      <c r="K85" s="1325"/>
      <c r="L85" s="1325"/>
      <c r="M85" s="1325"/>
      <c r="N85" s="1325"/>
      <c r="O85" s="1325"/>
      <c r="P85" s="1325"/>
      <c r="Q85" s="1325"/>
      <c r="R85" s="1325"/>
      <c r="S85" s="1325"/>
      <c r="T85" s="1325"/>
      <c r="U85" s="1325"/>
      <c r="AF85" s="1325"/>
      <c r="AG85" s="1325"/>
      <c r="AH85" s="1325"/>
      <c r="AI85" s="1325"/>
      <c r="AJ85" s="1326"/>
      <c r="AK85" s="1325"/>
      <c r="AL85" s="1325"/>
      <c r="AM85" s="1325"/>
      <c r="AN85" s="1325"/>
      <c r="AO85" s="1325"/>
    </row>
    <row r="86" spans="6:41" ht="16.5" customHeight="1">
      <c r="F86" s="1325"/>
      <c r="G86" s="1325"/>
      <c r="H86" s="1325"/>
      <c r="I86" s="1325"/>
      <c r="J86" s="1325"/>
      <c r="K86" s="1325"/>
      <c r="L86" s="1325"/>
      <c r="M86" s="1325"/>
      <c r="N86" s="1325"/>
      <c r="O86" s="1325"/>
      <c r="P86" s="1325"/>
      <c r="Q86" s="1325"/>
      <c r="R86" s="1325"/>
      <c r="S86" s="1325"/>
      <c r="T86" s="1325"/>
      <c r="U86" s="1325"/>
      <c r="AF86" s="1325"/>
      <c r="AG86" s="1325"/>
      <c r="AH86" s="1325"/>
      <c r="AI86" s="1325"/>
      <c r="AJ86" s="1326"/>
      <c r="AK86" s="1325"/>
      <c r="AL86" s="1325"/>
      <c r="AM86" s="1325"/>
      <c r="AN86" s="1325"/>
      <c r="AO86" s="1325"/>
    </row>
    <row r="87" spans="6:41" ht="16.5" customHeight="1">
      <c r="F87" s="1325"/>
      <c r="G87" s="1325"/>
      <c r="H87" s="1325"/>
      <c r="I87" s="1325"/>
      <c r="J87" s="1325"/>
      <c r="K87" s="1325"/>
      <c r="L87" s="1325"/>
      <c r="M87" s="1325"/>
      <c r="N87" s="1325"/>
      <c r="O87" s="1325"/>
      <c r="P87" s="1325"/>
      <c r="Q87" s="1325"/>
      <c r="R87" s="1325"/>
      <c r="S87" s="1325"/>
      <c r="T87" s="1325"/>
      <c r="U87" s="1325"/>
      <c r="AF87" s="1325"/>
      <c r="AG87" s="1325"/>
      <c r="AH87" s="1325"/>
      <c r="AI87" s="1325"/>
      <c r="AJ87" s="1326"/>
      <c r="AK87" s="1325"/>
      <c r="AL87" s="1325"/>
      <c r="AM87" s="1325"/>
      <c r="AN87" s="1325"/>
      <c r="AO87" s="1325"/>
    </row>
    <row r="88" spans="6:41" ht="16.5" customHeight="1">
      <c r="F88" s="1325"/>
      <c r="G88" s="1325"/>
      <c r="H88" s="1325"/>
      <c r="I88" s="1325"/>
      <c r="J88" s="1325"/>
      <c r="K88" s="1325"/>
      <c r="L88" s="1325"/>
      <c r="M88" s="1325"/>
      <c r="N88" s="1325"/>
      <c r="O88" s="1325"/>
      <c r="P88" s="1325"/>
      <c r="Q88" s="1325"/>
      <c r="R88" s="1325"/>
      <c r="S88" s="1325"/>
      <c r="T88" s="1325"/>
      <c r="U88" s="1325"/>
      <c r="AF88" s="1325"/>
      <c r="AG88" s="1325"/>
      <c r="AH88" s="1325"/>
      <c r="AI88" s="1325"/>
      <c r="AJ88" s="1326"/>
      <c r="AK88" s="1325"/>
      <c r="AL88" s="1325"/>
      <c r="AM88" s="1325"/>
      <c r="AN88" s="1325"/>
      <c r="AO88" s="1325"/>
    </row>
    <row r="89" spans="6:41" ht="16.5" customHeight="1">
      <c r="F89" s="1325"/>
      <c r="G89" s="1325"/>
      <c r="H89" s="1325"/>
      <c r="I89" s="1325"/>
      <c r="J89" s="1325"/>
      <c r="K89" s="1325"/>
      <c r="L89" s="1325"/>
      <c r="M89" s="1325"/>
      <c r="N89" s="1325"/>
      <c r="O89" s="1325"/>
      <c r="P89" s="1325"/>
      <c r="Q89" s="1325"/>
      <c r="R89" s="1325"/>
      <c r="S89" s="1325"/>
      <c r="T89" s="1325"/>
      <c r="U89" s="1325"/>
      <c r="AF89" s="1325"/>
      <c r="AG89" s="1325"/>
      <c r="AH89" s="1325"/>
      <c r="AI89" s="1325"/>
      <c r="AJ89" s="1326"/>
      <c r="AK89" s="1325"/>
      <c r="AL89" s="1325"/>
      <c r="AM89" s="1325"/>
      <c r="AN89" s="1325"/>
      <c r="AO89" s="1325"/>
    </row>
    <row r="90" spans="6:41" ht="16.5" customHeight="1">
      <c r="F90" s="1325"/>
      <c r="G90" s="1325"/>
      <c r="H90" s="1325"/>
      <c r="I90" s="1325"/>
      <c r="J90" s="1325"/>
      <c r="K90" s="1325"/>
      <c r="L90" s="1325"/>
      <c r="M90" s="1325"/>
      <c r="N90" s="1325"/>
      <c r="O90" s="1325"/>
      <c r="P90" s="1325"/>
      <c r="Q90" s="1325"/>
      <c r="R90" s="1325"/>
      <c r="S90" s="1325"/>
      <c r="T90" s="1325"/>
      <c r="U90" s="1325"/>
      <c r="AF90" s="1325"/>
      <c r="AG90" s="1325"/>
      <c r="AH90" s="1325"/>
      <c r="AI90" s="1325"/>
      <c r="AJ90" s="1326"/>
      <c r="AK90" s="1325"/>
      <c r="AL90" s="1325"/>
      <c r="AM90" s="1325"/>
      <c r="AN90" s="1325"/>
      <c r="AO90" s="1325"/>
    </row>
    <row r="91" spans="6:41" ht="16.5" customHeight="1">
      <c r="F91" s="1325"/>
      <c r="G91" s="1325"/>
      <c r="H91" s="1325"/>
      <c r="I91" s="1325"/>
      <c r="J91" s="1325"/>
      <c r="K91" s="1325"/>
      <c r="L91" s="1325"/>
      <c r="M91" s="1325"/>
      <c r="N91" s="1325"/>
      <c r="O91" s="1325"/>
      <c r="P91" s="1325"/>
      <c r="Q91" s="1325"/>
      <c r="R91" s="1325"/>
      <c r="S91" s="1325"/>
      <c r="T91" s="1325"/>
      <c r="U91" s="1325"/>
      <c r="AF91" s="1325"/>
      <c r="AG91" s="1325"/>
      <c r="AH91" s="1325"/>
      <c r="AI91" s="1325"/>
      <c r="AJ91" s="1326"/>
      <c r="AK91" s="1325"/>
      <c r="AL91" s="1325"/>
      <c r="AM91" s="1325"/>
      <c r="AN91" s="1325"/>
      <c r="AO91" s="1325"/>
    </row>
    <row r="92" spans="6:41" ht="16.5" customHeight="1">
      <c r="F92" s="1325"/>
      <c r="G92" s="1325"/>
      <c r="H92" s="1325"/>
      <c r="I92" s="1325"/>
      <c r="J92" s="1325"/>
      <c r="K92" s="1325"/>
      <c r="L92" s="1325"/>
      <c r="M92" s="1325"/>
      <c r="N92" s="1325"/>
      <c r="O92" s="1325"/>
      <c r="P92" s="1325"/>
      <c r="Q92" s="1325"/>
      <c r="R92" s="1325"/>
      <c r="S92" s="1325"/>
      <c r="T92" s="1325"/>
      <c r="U92" s="1325"/>
      <c r="AF92" s="1325"/>
      <c r="AG92" s="1325"/>
      <c r="AH92" s="1325"/>
      <c r="AI92" s="1325"/>
      <c r="AJ92" s="1326"/>
      <c r="AK92" s="1325"/>
      <c r="AL92" s="1325"/>
      <c r="AM92" s="1325"/>
      <c r="AN92" s="1325"/>
      <c r="AO92" s="1325"/>
    </row>
    <row r="93" spans="6:41" ht="16.5" customHeight="1">
      <c r="F93" s="1325"/>
      <c r="G93" s="1325"/>
      <c r="H93" s="1325"/>
      <c r="I93" s="1325"/>
      <c r="J93" s="1325"/>
      <c r="K93" s="1325"/>
      <c r="L93" s="1325"/>
      <c r="M93" s="1325"/>
      <c r="N93" s="1325"/>
      <c r="O93" s="1325"/>
      <c r="P93" s="1325"/>
      <c r="Q93" s="1325"/>
      <c r="R93" s="1325"/>
      <c r="S93" s="1325"/>
      <c r="T93" s="1325"/>
      <c r="U93" s="1325"/>
      <c r="AF93" s="1325"/>
      <c r="AG93" s="1325"/>
      <c r="AH93" s="1325"/>
      <c r="AI93" s="1325"/>
      <c r="AJ93" s="1326"/>
      <c r="AK93" s="1325"/>
      <c r="AL93" s="1325"/>
      <c r="AM93" s="1325"/>
      <c r="AN93" s="1325"/>
      <c r="AO93" s="1325"/>
    </row>
    <row r="94" spans="6:41" ht="16.5" customHeight="1">
      <c r="F94" s="1325"/>
      <c r="G94" s="1325"/>
      <c r="H94" s="1325"/>
      <c r="I94" s="1325"/>
      <c r="J94" s="1325"/>
      <c r="K94" s="1325"/>
      <c r="L94" s="1325"/>
      <c r="M94" s="1325"/>
      <c r="N94" s="1325"/>
      <c r="O94" s="1325"/>
      <c r="P94" s="1325"/>
      <c r="Q94" s="1325"/>
      <c r="R94" s="1325"/>
      <c r="S94" s="1325"/>
      <c r="T94" s="1325"/>
      <c r="U94" s="1325"/>
      <c r="AF94" s="1325"/>
      <c r="AG94" s="1325"/>
      <c r="AH94" s="1325"/>
      <c r="AI94" s="1325"/>
      <c r="AJ94" s="1326"/>
      <c r="AK94" s="1325"/>
      <c r="AL94" s="1325"/>
      <c r="AM94" s="1325"/>
      <c r="AN94" s="1325"/>
      <c r="AO94" s="1325"/>
    </row>
    <row r="95" spans="6:41" ht="16.5" customHeight="1">
      <c r="F95" s="1325"/>
      <c r="G95" s="1325"/>
      <c r="H95" s="1325"/>
      <c r="I95" s="1325"/>
      <c r="J95" s="1325"/>
      <c r="K95" s="1325"/>
      <c r="L95" s="1325"/>
      <c r="M95" s="1325"/>
      <c r="N95" s="1325"/>
      <c r="O95" s="1325"/>
      <c r="P95" s="1325"/>
      <c r="Q95" s="1325"/>
      <c r="R95" s="1325"/>
      <c r="S95" s="1325"/>
      <c r="T95" s="1325"/>
      <c r="U95" s="1325"/>
      <c r="AF95" s="1325"/>
      <c r="AG95" s="1325"/>
      <c r="AH95" s="1325"/>
      <c r="AI95" s="1325"/>
      <c r="AJ95" s="1326"/>
      <c r="AK95" s="1325"/>
      <c r="AL95" s="1325"/>
      <c r="AM95" s="1325"/>
      <c r="AN95" s="1325"/>
      <c r="AO95" s="1325"/>
    </row>
    <row r="96" spans="6:41" ht="16.5" customHeight="1">
      <c r="F96" s="1325"/>
      <c r="G96" s="1325"/>
      <c r="H96" s="1325"/>
      <c r="I96" s="1325"/>
      <c r="J96" s="1325"/>
      <c r="K96" s="1325"/>
      <c r="L96" s="1325"/>
      <c r="M96" s="1325"/>
      <c r="N96" s="1325"/>
      <c r="O96" s="1325"/>
      <c r="P96" s="1325"/>
      <c r="Q96" s="1325"/>
      <c r="R96" s="1325"/>
      <c r="S96" s="1325"/>
      <c r="T96" s="1325"/>
      <c r="U96" s="1325"/>
      <c r="AF96" s="1325"/>
      <c r="AG96" s="1325"/>
      <c r="AH96" s="1325"/>
      <c r="AI96" s="1325"/>
      <c r="AJ96" s="1326"/>
      <c r="AK96" s="1325"/>
      <c r="AL96" s="1325"/>
      <c r="AM96" s="1325"/>
      <c r="AN96" s="1325"/>
      <c r="AO96" s="1325"/>
    </row>
    <row r="97" spans="6:41" ht="16.5" customHeight="1">
      <c r="F97" s="1325"/>
      <c r="G97" s="1325"/>
      <c r="H97" s="1325"/>
      <c r="I97" s="1325"/>
      <c r="J97" s="1325"/>
      <c r="K97" s="1325"/>
      <c r="L97" s="1325"/>
      <c r="M97" s="1325"/>
      <c r="N97" s="1325"/>
      <c r="O97" s="1325"/>
      <c r="P97" s="1325"/>
      <c r="Q97" s="1325"/>
      <c r="R97" s="1325"/>
      <c r="S97" s="1325"/>
      <c r="T97" s="1325"/>
      <c r="U97" s="1325"/>
      <c r="AF97" s="1325"/>
      <c r="AG97" s="1325"/>
      <c r="AH97" s="1325"/>
      <c r="AI97" s="1325"/>
      <c r="AJ97" s="1326"/>
      <c r="AK97" s="1325"/>
      <c r="AL97" s="1325"/>
      <c r="AM97" s="1325"/>
      <c r="AN97" s="1325"/>
      <c r="AO97" s="1325"/>
    </row>
    <row r="98" spans="6:41" ht="16.5" customHeight="1">
      <c r="F98" s="1325"/>
      <c r="G98" s="1325"/>
      <c r="H98" s="1325"/>
      <c r="I98" s="1325"/>
      <c r="J98" s="1325"/>
      <c r="K98" s="1325"/>
      <c r="L98" s="1325"/>
      <c r="M98" s="1325"/>
      <c r="N98" s="1325"/>
      <c r="O98" s="1325"/>
      <c r="P98" s="1325"/>
      <c r="Q98" s="1325"/>
      <c r="R98" s="1325"/>
      <c r="S98" s="1325"/>
      <c r="T98" s="1325"/>
      <c r="U98" s="1325"/>
      <c r="AF98" s="1325"/>
      <c r="AG98" s="1325"/>
      <c r="AH98" s="1325"/>
      <c r="AI98" s="1325"/>
      <c r="AJ98" s="1326"/>
      <c r="AK98" s="1325"/>
      <c r="AL98" s="1325"/>
      <c r="AM98" s="1325"/>
      <c r="AN98" s="1325"/>
      <c r="AO98" s="1325"/>
    </row>
    <row r="99" spans="6:41" ht="16.5" customHeight="1">
      <c r="F99" s="1325"/>
      <c r="G99" s="1325"/>
      <c r="H99" s="1325"/>
      <c r="I99" s="1325"/>
      <c r="J99" s="1325"/>
      <c r="K99" s="1325"/>
      <c r="L99" s="1325"/>
      <c r="M99" s="1325"/>
      <c r="N99" s="1325"/>
      <c r="O99" s="1325"/>
      <c r="P99" s="1325"/>
      <c r="Q99" s="1325"/>
      <c r="R99" s="1325"/>
      <c r="S99" s="1325"/>
      <c r="T99" s="1325"/>
      <c r="U99" s="1325"/>
      <c r="AF99" s="1325"/>
      <c r="AG99" s="1325"/>
      <c r="AH99" s="1325"/>
      <c r="AI99" s="1325"/>
      <c r="AJ99" s="1326"/>
      <c r="AK99" s="1325"/>
      <c r="AL99" s="1325"/>
      <c r="AM99" s="1325"/>
      <c r="AN99" s="1325"/>
      <c r="AO99" s="1325"/>
    </row>
    <row r="100" spans="6:41" ht="16.5" customHeight="1">
      <c r="F100" s="1325"/>
      <c r="G100" s="1325"/>
      <c r="H100" s="1325"/>
      <c r="I100" s="1325"/>
      <c r="J100" s="1325"/>
      <c r="K100" s="1325"/>
      <c r="L100" s="1325"/>
      <c r="M100" s="1325"/>
      <c r="N100" s="1325"/>
      <c r="O100" s="1325"/>
      <c r="P100" s="1325"/>
      <c r="Q100" s="1325"/>
      <c r="R100" s="1325"/>
      <c r="S100" s="1325"/>
      <c r="T100" s="1325"/>
      <c r="U100" s="1325"/>
      <c r="AF100" s="1325"/>
      <c r="AG100" s="1325"/>
      <c r="AH100" s="1325"/>
      <c r="AI100" s="1325"/>
      <c r="AJ100" s="1326"/>
      <c r="AK100" s="1325"/>
      <c r="AL100" s="1325"/>
      <c r="AM100" s="1325"/>
      <c r="AN100" s="1325"/>
      <c r="AO100" s="1325"/>
    </row>
    <row r="101" spans="6:41" ht="16.5" customHeight="1">
      <c r="F101" s="1325"/>
      <c r="G101" s="1325"/>
      <c r="H101" s="1325"/>
      <c r="I101" s="1325"/>
      <c r="J101" s="1325"/>
      <c r="K101" s="1325"/>
      <c r="L101" s="1325"/>
      <c r="M101" s="1325"/>
      <c r="N101" s="1325"/>
      <c r="O101" s="1325"/>
      <c r="P101" s="1325"/>
      <c r="Q101" s="1325"/>
      <c r="R101" s="1325"/>
      <c r="S101" s="1325"/>
      <c r="T101" s="1325"/>
      <c r="U101" s="1325"/>
      <c r="AF101" s="1325"/>
      <c r="AG101" s="1325"/>
      <c r="AH101" s="1325"/>
      <c r="AI101" s="1325"/>
      <c r="AJ101" s="1326"/>
      <c r="AK101" s="1325"/>
      <c r="AL101" s="1325"/>
      <c r="AM101" s="1325"/>
      <c r="AN101" s="1325"/>
      <c r="AO101" s="1325"/>
    </row>
    <row r="102" spans="6:41" ht="16.5" customHeight="1">
      <c r="F102" s="1325"/>
      <c r="G102" s="1325"/>
      <c r="H102" s="1325"/>
      <c r="I102" s="1325"/>
      <c r="J102" s="1325"/>
      <c r="K102" s="1325"/>
      <c r="L102" s="1325"/>
      <c r="M102" s="1325"/>
      <c r="N102" s="1325"/>
      <c r="O102" s="1325"/>
      <c r="P102" s="1325"/>
      <c r="Q102" s="1325"/>
      <c r="R102" s="1325"/>
      <c r="S102" s="1325"/>
      <c r="T102" s="1325"/>
      <c r="U102" s="1325"/>
      <c r="AF102" s="1325"/>
      <c r="AG102" s="1325"/>
      <c r="AH102" s="1325"/>
      <c r="AI102" s="1325"/>
      <c r="AJ102" s="1326"/>
      <c r="AK102" s="1325"/>
      <c r="AL102" s="1325"/>
      <c r="AM102" s="1325"/>
      <c r="AN102" s="1325"/>
      <c r="AO102" s="1325"/>
    </row>
    <row r="103" spans="6:41" ht="16.5" customHeight="1">
      <c r="F103" s="1325"/>
      <c r="G103" s="1325"/>
      <c r="H103" s="1325"/>
      <c r="I103" s="1325"/>
      <c r="J103" s="1325"/>
      <c r="K103" s="1325"/>
      <c r="L103" s="1325"/>
      <c r="M103" s="1325"/>
      <c r="N103" s="1325"/>
      <c r="O103" s="1325"/>
      <c r="P103" s="1325"/>
      <c r="Q103" s="1325"/>
      <c r="R103" s="1325"/>
      <c r="S103" s="1325"/>
      <c r="T103" s="1325"/>
      <c r="U103" s="1325"/>
      <c r="AF103" s="1325"/>
      <c r="AG103" s="1325"/>
      <c r="AH103" s="1325"/>
      <c r="AI103" s="1325"/>
      <c r="AJ103" s="1326"/>
      <c r="AK103" s="1325"/>
      <c r="AL103" s="1325"/>
      <c r="AM103" s="1325"/>
      <c r="AN103" s="1325"/>
      <c r="AO103" s="1325"/>
    </row>
    <row r="104" spans="6:41" ht="16.5" customHeight="1">
      <c r="F104" s="1325"/>
      <c r="G104" s="1325"/>
      <c r="H104" s="1325"/>
      <c r="I104" s="1325"/>
      <c r="J104" s="1325"/>
      <c r="K104" s="1325"/>
      <c r="L104" s="1325"/>
      <c r="M104" s="1325"/>
      <c r="N104" s="1325"/>
      <c r="O104" s="1325"/>
      <c r="P104" s="1325"/>
      <c r="Q104" s="1325"/>
      <c r="R104" s="1325"/>
      <c r="S104" s="1325"/>
      <c r="T104" s="1325"/>
      <c r="U104" s="1325"/>
      <c r="AF104" s="1325"/>
      <c r="AG104" s="1325"/>
      <c r="AH104" s="1325"/>
      <c r="AI104" s="1325"/>
      <c r="AJ104" s="1326"/>
      <c r="AK104" s="1325"/>
      <c r="AL104" s="1325"/>
      <c r="AM104" s="1325"/>
      <c r="AN104" s="1325"/>
      <c r="AO104" s="1325"/>
    </row>
    <row r="105" spans="6:41" ht="16.5" customHeight="1"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AF105" s="1325"/>
      <c r="AG105" s="1325"/>
      <c r="AH105" s="1325"/>
      <c r="AI105" s="1325"/>
      <c r="AJ105" s="1326"/>
      <c r="AK105" s="1325"/>
      <c r="AL105" s="1325"/>
      <c r="AM105" s="1325"/>
      <c r="AN105" s="1325"/>
      <c r="AO105" s="1325"/>
    </row>
    <row r="106" spans="6:41" ht="16.5" customHeight="1">
      <c r="F106" s="1325"/>
      <c r="G106" s="1325"/>
      <c r="H106" s="1325"/>
      <c r="I106" s="1325"/>
      <c r="J106" s="1325"/>
      <c r="K106" s="1325"/>
      <c r="L106" s="1325"/>
      <c r="M106" s="1325"/>
      <c r="N106" s="1325"/>
      <c r="O106" s="1325"/>
      <c r="P106" s="1325"/>
      <c r="Q106" s="1325"/>
      <c r="R106" s="1325"/>
      <c r="S106" s="1325"/>
      <c r="T106" s="1325"/>
      <c r="U106" s="1325"/>
      <c r="AF106" s="1325"/>
      <c r="AG106" s="1325"/>
      <c r="AH106" s="1325"/>
      <c r="AI106" s="1325"/>
      <c r="AJ106" s="1326"/>
      <c r="AK106" s="1325"/>
      <c r="AL106" s="1325"/>
      <c r="AM106" s="1325"/>
      <c r="AN106" s="1325"/>
      <c r="AO106" s="1325"/>
    </row>
    <row r="107" spans="6:41" ht="16.5" customHeight="1">
      <c r="F107" s="1325"/>
      <c r="G107" s="1325"/>
      <c r="H107" s="1325"/>
      <c r="I107" s="1325"/>
      <c r="J107" s="1325"/>
      <c r="K107" s="1325"/>
      <c r="L107" s="1325"/>
      <c r="M107" s="1325"/>
      <c r="N107" s="1325"/>
      <c r="O107" s="1325"/>
      <c r="P107" s="1325"/>
      <c r="Q107" s="1325"/>
      <c r="R107" s="1325"/>
      <c r="S107" s="1325"/>
      <c r="T107" s="1325"/>
      <c r="U107" s="1325"/>
      <c r="AF107" s="1325"/>
      <c r="AG107" s="1325"/>
      <c r="AH107" s="1325"/>
      <c r="AI107" s="1325"/>
      <c r="AJ107" s="1326"/>
      <c r="AK107" s="1325"/>
      <c r="AL107" s="1325"/>
      <c r="AM107" s="1325"/>
      <c r="AN107" s="1325"/>
      <c r="AO107" s="1325"/>
    </row>
    <row r="108" spans="6:41" ht="16.5" customHeight="1">
      <c r="F108" s="1325"/>
      <c r="G108" s="1325"/>
      <c r="H108" s="1325"/>
      <c r="I108" s="1325"/>
      <c r="J108" s="1325"/>
      <c r="K108" s="1325"/>
      <c r="L108" s="1325"/>
      <c r="M108" s="1325"/>
      <c r="N108" s="1325"/>
      <c r="O108" s="1325"/>
      <c r="P108" s="1325"/>
      <c r="Q108" s="1325"/>
      <c r="R108" s="1325"/>
      <c r="S108" s="1325"/>
      <c r="T108" s="1325"/>
      <c r="U108" s="1325"/>
      <c r="AF108" s="1325"/>
      <c r="AG108" s="1325"/>
      <c r="AH108" s="1325"/>
      <c r="AI108" s="1325"/>
      <c r="AJ108" s="1326"/>
      <c r="AK108" s="1325"/>
      <c r="AL108" s="1325"/>
      <c r="AM108" s="1325"/>
      <c r="AN108" s="1325"/>
      <c r="AO108" s="1325"/>
    </row>
    <row r="109" spans="6:41" ht="16.5" customHeight="1">
      <c r="F109" s="1325"/>
      <c r="G109" s="1325"/>
      <c r="H109" s="1325"/>
      <c r="I109" s="1325"/>
      <c r="J109" s="1325"/>
      <c r="K109" s="1325"/>
      <c r="L109" s="1325"/>
      <c r="M109" s="1325"/>
      <c r="N109" s="1325"/>
      <c r="O109" s="1325"/>
      <c r="P109" s="1325"/>
      <c r="Q109" s="1325"/>
      <c r="R109" s="1325"/>
      <c r="S109" s="1325"/>
      <c r="T109" s="1325"/>
      <c r="U109" s="1325"/>
      <c r="AF109" s="1325"/>
      <c r="AG109" s="1325"/>
      <c r="AH109" s="1325"/>
      <c r="AI109" s="1325"/>
      <c r="AJ109" s="1326"/>
      <c r="AK109" s="1325"/>
      <c r="AL109" s="1325"/>
      <c r="AM109" s="1325"/>
      <c r="AN109" s="1325"/>
      <c r="AO109" s="1325"/>
    </row>
    <row r="110" spans="6:41" ht="16.5" customHeight="1">
      <c r="F110" s="1325"/>
      <c r="G110" s="1325"/>
      <c r="H110" s="1325"/>
      <c r="I110" s="1325"/>
      <c r="J110" s="1325"/>
      <c r="K110" s="1325"/>
      <c r="L110" s="1325"/>
      <c r="M110" s="1325"/>
      <c r="N110" s="1325"/>
      <c r="O110" s="1325"/>
      <c r="P110" s="1325"/>
      <c r="Q110" s="1325"/>
      <c r="R110" s="1325"/>
      <c r="S110" s="1325"/>
      <c r="T110" s="1325"/>
      <c r="U110" s="1325"/>
      <c r="AF110" s="1325"/>
      <c r="AG110" s="1325"/>
      <c r="AH110" s="1325"/>
      <c r="AI110" s="1325"/>
      <c r="AJ110" s="1326"/>
      <c r="AK110" s="1325"/>
      <c r="AL110" s="1325"/>
      <c r="AM110" s="1325"/>
      <c r="AN110" s="1325"/>
      <c r="AO110" s="1325"/>
    </row>
    <row r="111" spans="6:41" ht="16.5" customHeight="1">
      <c r="F111" s="1325"/>
      <c r="G111" s="1325"/>
      <c r="H111" s="1325"/>
      <c r="I111" s="1325"/>
      <c r="J111" s="1325"/>
      <c r="K111" s="1325"/>
      <c r="L111" s="1325"/>
      <c r="M111" s="1325"/>
      <c r="N111" s="1325"/>
      <c r="O111" s="1325"/>
      <c r="P111" s="1325"/>
      <c r="Q111" s="1325"/>
      <c r="R111" s="1325"/>
      <c r="S111" s="1325"/>
      <c r="T111" s="1325"/>
      <c r="U111" s="1325"/>
      <c r="AF111" s="1325"/>
      <c r="AG111" s="1325"/>
      <c r="AH111" s="1325"/>
      <c r="AI111" s="1325"/>
      <c r="AJ111" s="1326"/>
      <c r="AK111" s="1325"/>
      <c r="AL111" s="1325"/>
      <c r="AM111" s="1325"/>
      <c r="AN111" s="1325"/>
      <c r="AO111" s="1325"/>
    </row>
    <row r="112" spans="6:41" ht="16.5" customHeight="1">
      <c r="F112" s="1325"/>
      <c r="G112" s="1325"/>
      <c r="H112" s="1325"/>
      <c r="I112" s="1325"/>
      <c r="J112" s="1325"/>
      <c r="K112" s="1325"/>
      <c r="L112" s="1325"/>
      <c r="M112" s="1325"/>
      <c r="N112" s="1325"/>
      <c r="O112" s="1325"/>
      <c r="P112" s="1325"/>
      <c r="Q112" s="1325"/>
      <c r="R112" s="1325"/>
      <c r="S112" s="1325"/>
      <c r="T112" s="1325"/>
      <c r="U112" s="1325"/>
      <c r="AF112" s="1325"/>
      <c r="AG112" s="1325"/>
      <c r="AH112" s="1325"/>
      <c r="AI112" s="1325"/>
      <c r="AJ112" s="1326"/>
      <c r="AK112" s="1325"/>
      <c r="AL112" s="1325"/>
      <c r="AM112" s="1325"/>
      <c r="AN112" s="1325"/>
      <c r="AO112" s="1325"/>
    </row>
    <row r="113" spans="6:41" ht="16.5" customHeight="1">
      <c r="F113" s="1325"/>
      <c r="G113" s="1325"/>
      <c r="H113" s="1325"/>
      <c r="I113" s="1325"/>
      <c r="J113" s="1325"/>
      <c r="K113" s="1325"/>
      <c r="L113" s="1325"/>
      <c r="M113" s="1325"/>
      <c r="N113" s="1325"/>
      <c r="O113" s="1325"/>
      <c r="P113" s="1325"/>
      <c r="Q113" s="1325"/>
      <c r="R113" s="1325"/>
      <c r="S113" s="1325"/>
      <c r="T113" s="1325"/>
      <c r="U113" s="1325"/>
      <c r="AF113" s="1325"/>
      <c r="AG113" s="1325"/>
      <c r="AH113" s="1325"/>
      <c r="AI113" s="1325"/>
      <c r="AJ113" s="1326"/>
      <c r="AK113" s="1325"/>
      <c r="AL113" s="1325"/>
      <c r="AM113" s="1325"/>
      <c r="AN113" s="1325"/>
      <c r="AO113" s="1325"/>
    </row>
    <row r="114" spans="6:41" ht="16.5" customHeight="1">
      <c r="F114" s="1325"/>
      <c r="G114" s="1325"/>
      <c r="H114" s="1325"/>
      <c r="I114" s="1325"/>
      <c r="J114" s="1325"/>
      <c r="K114" s="1325"/>
      <c r="L114" s="1325"/>
      <c r="M114" s="1325"/>
      <c r="N114" s="1325"/>
      <c r="O114" s="1325"/>
      <c r="P114" s="1325"/>
      <c r="Q114" s="1325"/>
      <c r="R114" s="1325"/>
      <c r="S114" s="1325"/>
      <c r="T114" s="1325"/>
      <c r="U114" s="1325"/>
      <c r="AF114" s="1325"/>
      <c r="AG114" s="1325"/>
      <c r="AH114" s="1325"/>
      <c r="AI114" s="1325"/>
      <c r="AJ114" s="1326"/>
      <c r="AK114" s="1325"/>
      <c r="AL114" s="1325"/>
      <c r="AM114" s="1325"/>
      <c r="AN114" s="1325"/>
      <c r="AO114" s="1325"/>
    </row>
    <row r="115" spans="6:41" ht="16.5" customHeight="1">
      <c r="F115" s="1325"/>
      <c r="G115" s="1325"/>
      <c r="H115" s="1325"/>
      <c r="I115" s="1325"/>
      <c r="J115" s="1325"/>
      <c r="K115" s="1325"/>
      <c r="L115" s="1325"/>
      <c r="M115" s="1325"/>
      <c r="N115" s="1325"/>
      <c r="O115" s="1325"/>
      <c r="P115" s="1325"/>
      <c r="Q115" s="1325"/>
      <c r="R115" s="1325"/>
      <c r="S115" s="1325"/>
      <c r="T115" s="1325"/>
      <c r="U115" s="1325"/>
      <c r="AF115" s="1325"/>
      <c r="AG115" s="1325"/>
      <c r="AH115" s="1325"/>
      <c r="AI115" s="1325"/>
      <c r="AJ115" s="1326"/>
      <c r="AK115" s="1325"/>
      <c r="AL115" s="1325"/>
      <c r="AM115" s="1325"/>
      <c r="AN115" s="1325"/>
      <c r="AO115" s="1325"/>
    </row>
    <row r="116" spans="6:41" ht="16.5" customHeight="1">
      <c r="F116" s="1325"/>
      <c r="G116" s="1325"/>
      <c r="H116" s="1325"/>
      <c r="I116" s="1325"/>
      <c r="J116" s="1325"/>
      <c r="K116" s="1325"/>
      <c r="L116" s="1325"/>
      <c r="M116" s="1325"/>
      <c r="N116" s="1325"/>
      <c r="O116" s="1325"/>
      <c r="P116" s="1325"/>
      <c r="Q116" s="1325"/>
      <c r="R116" s="1325"/>
      <c r="S116" s="1325"/>
      <c r="T116" s="1325"/>
      <c r="U116" s="1325"/>
      <c r="AF116" s="1325"/>
      <c r="AG116" s="1325"/>
      <c r="AH116" s="1325"/>
      <c r="AI116" s="1325"/>
      <c r="AJ116" s="1326"/>
      <c r="AK116" s="1325"/>
      <c r="AL116" s="1325"/>
      <c r="AM116" s="1325"/>
      <c r="AN116" s="1325"/>
      <c r="AO116" s="1325"/>
    </row>
    <row r="117" spans="6:41" ht="16.5" customHeight="1">
      <c r="F117" s="1325"/>
      <c r="G117" s="1325"/>
      <c r="H117" s="1325"/>
      <c r="I117" s="1325"/>
      <c r="J117" s="1325"/>
      <c r="K117" s="1325"/>
      <c r="L117" s="1325"/>
      <c r="M117" s="1325"/>
      <c r="N117" s="1325"/>
      <c r="O117" s="1325"/>
      <c r="P117" s="1325"/>
      <c r="Q117" s="1325"/>
      <c r="R117" s="1325"/>
      <c r="S117" s="1325"/>
      <c r="T117" s="1325"/>
      <c r="U117" s="1325"/>
      <c r="AF117" s="1325"/>
      <c r="AG117" s="1325"/>
      <c r="AH117" s="1325"/>
      <c r="AI117" s="1325"/>
      <c r="AJ117" s="1326"/>
      <c r="AK117" s="1325"/>
      <c r="AL117" s="1325"/>
      <c r="AM117" s="1325"/>
      <c r="AN117" s="1325"/>
      <c r="AO117" s="1325"/>
    </row>
    <row r="118" spans="6:41" ht="16.5" customHeight="1">
      <c r="F118" s="1325"/>
      <c r="G118" s="1325"/>
      <c r="H118" s="1325"/>
      <c r="I118" s="1325"/>
      <c r="J118" s="1325"/>
      <c r="K118" s="1325"/>
      <c r="L118" s="1325"/>
      <c r="M118" s="1325"/>
      <c r="N118" s="1325"/>
      <c r="O118" s="1325"/>
      <c r="P118" s="1325"/>
      <c r="Q118" s="1325"/>
      <c r="R118" s="1325"/>
      <c r="S118" s="1325"/>
      <c r="T118" s="1325"/>
      <c r="U118" s="1325"/>
      <c r="AF118" s="1325"/>
      <c r="AG118" s="1325"/>
      <c r="AH118" s="1325"/>
      <c r="AI118" s="1325"/>
      <c r="AJ118" s="1326"/>
      <c r="AK118" s="1325"/>
      <c r="AL118" s="1325"/>
      <c r="AM118" s="1325"/>
      <c r="AN118" s="1325"/>
      <c r="AO118" s="1325"/>
    </row>
    <row r="119" spans="6:41" ht="16.5" customHeight="1">
      <c r="F119" s="1325"/>
      <c r="G119" s="1325"/>
      <c r="H119" s="1325"/>
      <c r="I119" s="1325"/>
      <c r="J119" s="1325"/>
      <c r="K119" s="1325"/>
      <c r="L119" s="1325"/>
      <c r="M119" s="1325"/>
      <c r="N119" s="1325"/>
      <c r="O119" s="1325"/>
      <c r="P119" s="1325"/>
      <c r="Q119" s="1325"/>
      <c r="R119" s="1325"/>
      <c r="S119" s="1325"/>
      <c r="T119" s="1325"/>
      <c r="U119" s="1325"/>
      <c r="AF119" s="1325"/>
      <c r="AG119" s="1325"/>
      <c r="AH119" s="1325"/>
      <c r="AI119" s="1325"/>
      <c r="AJ119" s="1326"/>
      <c r="AK119" s="1325"/>
      <c r="AL119" s="1325"/>
      <c r="AM119" s="1325"/>
      <c r="AN119" s="1325"/>
      <c r="AO119" s="1325"/>
    </row>
    <row r="120" spans="6:41" ht="16.5" customHeight="1">
      <c r="F120" s="1325"/>
      <c r="G120" s="1325"/>
      <c r="H120" s="1325"/>
      <c r="I120" s="1325"/>
      <c r="J120" s="1325"/>
      <c r="K120" s="1325"/>
      <c r="L120" s="1325"/>
      <c r="M120" s="1325"/>
      <c r="N120" s="1325"/>
      <c r="O120" s="1325"/>
      <c r="P120" s="1325"/>
      <c r="Q120" s="1325"/>
      <c r="R120" s="1325"/>
      <c r="S120" s="1325"/>
      <c r="T120" s="1325"/>
      <c r="U120" s="1325"/>
      <c r="AF120" s="1325"/>
      <c r="AG120" s="1325"/>
      <c r="AH120" s="1325"/>
      <c r="AI120" s="1325"/>
      <c r="AJ120" s="1326"/>
      <c r="AK120" s="1325"/>
      <c r="AL120" s="1325"/>
      <c r="AM120" s="1325"/>
      <c r="AN120" s="1325"/>
      <c r="AO120" s="1325"/>
    </row>
    <row r="121" spans="6:41" ht="16.5" customHeight="1">
      <c r="F121" s="1325"/>
      <c r="G121" s="1325"/>
      <c r="H121" s="1325"/>
      <c r="I121" s="1325"/>
      <c r="J121" s="1325"/>
      <c r="K121" s="1325"/>
      <c r="L121" s="1325"/>
      <c r="M121" s="1325"/>
      <c r="N121" s="1325"/>
      <c r="O121" s="1325"/>
      <c r="P121" s="1325"/>
      <c r="Q121" s="1325"/>
      <c r="R121" s="1325"/>
      <c r="S121" s="1325"/>
      <c r="T121" s="1325"/>
      <c r="U121" s="1325"/>
      <c r="AF121" s="1325"/>
      <c r="AG121" s="1325"/>
      <c r="AH121" s="1325"/>
      <c r="AI121" s="1325"/>
      <c r="AJ121" s="1326"/>
      <c r="AK121" s="1325"/>
      <c r="AL121" s="1325"/>
      <c r="AM121" s="1325"/>
      <c r="AN121" s="1325"/>
      <c r="AO121" s="1325"/>
    </row>
    <row r="122" spans="6:41" ht="16.5" customHeight="1">
      <c r="F122" s="1325"/>
      <c r="G122" s="1325"/>
      <c r="H122" s="1325"/>
      <c r="I122" s="1325"/>
      <c r="J122" s="1325"/>
      <c r="K122" s="1325"/>
      <c r="L122" s="1325"/>
      <c r="M122" s="1325"/>
      <c r="N122" s="1325"/>
      <c r="O122" s="1325"/>
      <c r="P122" s="1325"/>
      <c r="Q122" s="1325"/>
      <c r="R122" s="1325"/>
      <c r="S122" s="1325"/>
      <c r="T122" s="1325"/>
      <c r="U122" s="1325"/>
      <c r="AF122" s="1325"/>
      <c r="AG122" s="1325"/>
      <c r="AH122" s="1325"/>
      <c r="AI122" s="1325"/>
      <c r="AJ122" s="1326"/>
      <c r="AK122" s="1325"/>
      <c r="AL122" s="1325"/>
      <c r="AM122" s="1325"/>
      <c r="AN122" s="1325"/>
      <c r="AO122" s="1325"/>
    </row>
    <row r="123" spans="6:41" ht="16.5" customHeight="1">
      <c r="F123" s="1325"/>
      <c r="G123" s="1325"/>
      <c r="H123" s="1325"/>
      <c r="I123" s="1325"/>
      <c r="J123" s="1325"/>
      <c r="K123" s="1325"/>
      <c r="L123" s="1325"/>
      <c r="M123" s="1325"/>
      <c r="N123" s="1325"/>
      <c r="O123" s="1325"/>
      <c r="P123" s="1325"/>
      <c r="Q123" s="1325"/>
      <c r="R123" s="1325"/>
      <c r="S123" s="1325"/>
      <c r="T123" s="1325"/>
      <c r="U123" s="1325"/>
      <c r="AF123" s="1325"/>
      <c r="AG123" s="1325"/>
      <c r="AH123" s="1325"/>
      <c r="AI123" s="1325"/>
      <c r="AJ123" s="1326"/>
      <c r="AK123" s="1325"/>
      <c r="AL123" s="1325"/>
      <c r="AM123" s="1325"/>
      <c r="AN123" s="1325"/>
      <c r="AO123" s="1325"/>
    </row>
    <row r="124" spans="6:41" ht="16.5" customHeight="1">
      <c r="F124" s="1325"/>
      <c r="G124" s="1325"/>
      <c r="H124" s="1325"/>
      <c r="I124" s="1325"/>
      <c r="J124" s="1325"/>
      <c r="K124" s="1325"/>
      <c r="L124" s="1325"/>
      <c r="M124" s="1325"/>
      <c r="N124" s="1325"/>
      <c r="O124" s="1325"/>
      <c r="P124" s="1325"/>
      <c r="Q124" s="1325"/>
      <c r="R124" s="1325"/>
      <c r="S124" s="1325"/>
      <c r="T124" s="1325"/>
      <c r="U124" s="1325"/>
      <c r="AF124" s="1325"/>
      <c r="AG124" s="1325"/>
      <c r="AH124" s="1325"/>
      <c r="AI124" s="1325"/>
      <c r="AJ124" s="1326"/>
      <c r="AK124" s="1325"/>
      <c r="AL124" s="1325"/>
      <c r="AM124" s="1325"/>
      <c r="AN124" s="1325"/>
      <c r="AO124" s="1325"/>
    </row>
    <row r="125" spans="6:41" ht="16.5" customHeight="1">
      <c r="F125" s="1325"/>
      <c r="G125" s="1325"/>
      <c r="H125" s="1325"/>
      <c r="I125" s="1325"/>
      <c r="J125" s="1325"/>
      <c r="K125" s="1325"/>
      <c r="L125" s="1325"/>
      <c r="M125" s="1325"/>
      <c r="N125" s="1325"/>
      <c r="O125" s="1325"/>
      <c r="P125" s="1325"/>
      <c r="Q125" s="1325"/>
      <c r="R125" s="1325"/>
      <c r="S125" s="1325"/>
      <c r="T125" s="1325"/>
      <c r="U125" s="1325"/>
      <c r="AF125" s="1325"/>
      <c r="AG125" s="1325"/>
      <c r="AH125" s="1325"/>
      <c r="AI125" s="1325"/>
      <c r="AJ125" s="1326"/>
      <c r="AK125" s="1325"/>
      <c r="AL125" s="1325"/>
      <c r="AM125" s="1325"/>
      <c r="AN125" s="1325"/>
      <c r="AO125" s="1325"/>
    </row>
    <row r="126" spans="6:41" ht="16.5" customHeight="1">
      <c r="F126" s="1325"/>
      <c r="G126" s="1325"/>
      <c r="H126" s="1325"/>
      <c r="I126" s="1325"/>
      <c r="J126" s="1325"/>
      <c r="K126" s="1325"/>
      <c r="L126" s="1325"/>
      <c r="M126" s="1325"/>
      <c r="N126" s="1325"/>
      <c r="O126" s="1325"/>
      <c r="P126" s="1325"/>
      <c r="Q126" s="1325"/>
      <c r="R126" s="1325"/>
      <c r="S126" s="1325"/>
      <c r="T126" s="1325"/>
      <c r="U126" s="1325"/>
      <c r="AF126" s="1325"/>
      <c r="AG126" s="1325"/>
      <c r="AH126" s="1325"/>
      <c r="AI126" s="1325"/>
      <c r="AJ126" s="1326"/>
      <c r="AK126" s="1325"/>
      <c r="AL126" s="1325"/>
      <c r="AM126" s="1325"/>
      <c r="AN126" s="1325"/>
      <c r="AO126" s="1325"/>
    </row>
    <row r="127" spans="6:41" ht="16.5" customHeight="1">
      <c r="F127" s="1325"/>
      <c r="G127" s="1325"/>
      <c r="H127" s="1325"/>
      <c r="I127" s="1325"/>
      <c r="J127" s="1325"/>
      <c r="K127" s="1325"/>
      <c r="L127" s="1325"/>
      <c r="M127" s="1325"/>
      <c r="N127" s="1325"/>
      <c r="O127" s="1325"/>
      <c r="P127" s="1325"/>
      <c r="Q127" s="1325"/>
      <c r="R127" s="1325"/>
      <c r="S127" s="1325"/>
      <c r="T127" s="1325"/>
      <c r="U127" s="1325"/>
      <c r="AF127" s="1325"/>
      <c r="AG127" s="1325"/>
      <c r="AH127" s="1325"/>
      <c r="AI127" s="1325"/>
      <c r="AJ127" s="1326"/>
      <c r="AK127" s="1325"/>
      <c r="AL127" s="1325"/>
      <c r="AM127" s="1325"/>
      <c r="AN127" s="1325"/>
      <c r="AO127" s="1325"/>
    </row>
    <row r="128" spans="6:41" ht="16.5" customHeight="1">
      <c r="F128" s="1325"/>
      <c r="G128" s="1325"/>
      <c r="H128" s="1325"/>
      <c r="I128" s="1325"/>
      <c r="J128" s="1325"/>
      <c r="K128" s="1325"/>
      <c r="L128" s="1325"/>
      <c r="M128" s="1325"/>
      <c r="N128" s="1325"/>
      <c r="O128" s="1325"/>
      <c r="P128" s="1325"/>
      <c r="Q128" s="1325"/>
      <c r="R128" s="1325"/>
      <c r="S128" s="1325"/>
      <c r="T128" s="1325"/>
      <c r="U128" s="1325"/>
      <c r="AF128" s="1325"/>
      <c r="AG128" s="1325"/>
      <c r="AH128" s="1325"/>
      <c r="AI128" s="1325"/>
      <c r="AJ128" s="1326"/>
      <c r="AK128" s="1325"/>
      <c r="AL128" s="1325"/>
      <c r="AM128" s="1325"/>
      <c r="AN128" s="1325"/>
      <c r="AO128" s="1325"/>
    </row>
    <row r="129" spans="6:41" ht="16.5" customHeight="1">
      <c r="F129" s="1325"/>
      <c r="G129" s="1325"/>
      <c r="H129" s="1325"/>
      <c r="I129" s="1325"/>
      <c r="J129" s="1325"/>
      <c r="K129" s="1325"/>
      <c r="L129" s="1325"/>
      <c r="M129" s="1325"/>
      <c r="N129" s="1325"/>
      <c r="O129" s="1325"/>
      <c r="P129" s="1325"/>
      <c r="Q129" s="1325"/>
      <c r="R129" s="1325"/>
      <c r="S129" s="1325"/>
      <c r="T129" s="1325"/>
      <c r="U129" s="1325"/>
      <c r="AF129" s="1325"/>
      <c r="AG129" s="1325"/>
      <c r="AH129" s="1325"/>
      <c r="AI129" s="1325"/>
      <c r="AJ129" s="1326"/>
      <c r="AK129" s="1325"/>
      <c r="AL129" s="1325"/>
      <c r="AM129" s="1325"/>
      <c r="AN129" s="1325"/>
      <c r="AO129" s="1325"/>
    </row>
    <row r="130" spans="6:41" ht="16.5" customHeight="1">
      <c r="F130" s="1325"/>
      <c r="G130" s="1325"/>
      <c r="H130" s="1325"/>
      <c r="I130" s="1325"/>
      <c r="J130" s="1325"/>
      <c r="K130" s="1325"/>
      <c r="L130" s="1325"/>
      <c r="M130" s="1325"/>
      <c r="N130" s="1325"/>
      <c r="O130" s="1325"/>
      <c r="P130" s="1325"/>
      <c r="Q130" s="1325"/>
      <c r="R130" s="1325"/>
      <c r="S130" s="1325"/>
      <c r="T130" s="1325"/>
      <c r="U130" s="1325"/>
      <c r="AF130" s="1325"/>
      <c r="AG130" s="1325"/>
      <c r="AH130" s="1325"/>
      <c r="AI130" s="1325"/>
      <c r="AJ130" s="1326"/>
      <c r="AK130" s="1325"/>
      <c r="AL130" s="1325"/>
      <c r="AM130" s="1325"/>
      <c r="AN130" s="1325"/>
      <c r="AO130" s="1325"/>
    </row>
    <row r="131" spans="6:41" ht="16.5" customHeight="1">
      <c r="F131" s="1325"/>
      <c r="G131" s="1325"/>
      <c r="H131" s="1325"/>
      <c r="I131" s="1325"/>
      <c r="J131" s="1325"/>
      <c r="K131" s="1325"/>
      <c r="L131" s="1325"/>
      <c r="M131" s="1325"/>
      <c r="N131" s="1325"/>
      <c r="O131" s="1325"/>
      <c r="P131" s="1325"/>
      <c r="Q131" s="1325"/>
      <c r="R131" s="1325"/>
      <c r="S131" s="1325"/>
      <c r="T131" s="1325"/>
      <c r="U131" s="1325"/>
      <c r="AF131" s="1325"/>
      <c r="AG131" s="1325"/>
      <c r="AH131" s="1325"/>
      <c r="AI131" s="1325"/>
      <c r="AJ131" s="1326"/>
      <c r="AK131" s="1325"/>
      <c r="AL131" s="1325"/>
      <c r="AM131" s="1325"/>
      <c r="AN131" s="1325"/>
      <c r="AO131" s="1325"/>
    </row>
    <row r="132" spans="6:41" ht="16.5" customHeight="1">
      <c r="F132" s="1325"/>
      <c r="G132" s="1325"/>
      <c r="H132" s="1325"/>
      <c r="I132" s="1325"/>
      <c r="J132" s="1325"/>
      <c r="K132" s="1325"/>
      <c r="L132" s="1325"/>
      <c r="M132" s="1325"/>
      <c r="N132" s="1325"/>
      <c r="O132" s="1325"/>
      <c r="P132" s="1325"/>
      <c r="Q132" s="1325"/>
      <c r="R132" s="1325"/>
      <c r="S132" s="1325"/>
      <c r="T132" s="1325"/>
      <c r="U132" s="1325"/>
      <c r="AF132" s="1325"/>
      <c r="AG132" s="1325"/>
      <c r="AH132" s="1325"/>
      <c r="AI132" s="1325"/>
      <c r="AJ132" s="1326"/>
      <c r="AK132" s="1325"/>
      <c r="AL132" s="1325"/>
      <c r="AM132" s="1325"/>
      <c r="AN132" s="1325"/>
      <c r="AO132" s="1325"/>
    </row>
    <row r="133" spans="6:41" ht="16.5" customHeight="1">
      <c r="F133" s="1325"/>
      <c r="G133" s="1325"/>
      <c r="H133" s="1325"/>
      <c r="I133" s="1325"/>
      <c r="J133" s="1325"/>
      <c r="K133" s="1325"/>
      <c r="L133" s="1325"/>
      <c r="M133" s="1325"/>
      <c r="N133" s="1325"/>
      <c r="O133" s="1325"/>
      <c r="P133" s="1325"/>
      <c r="Q133" s="1325"/>
      <c r="R133" s="1325"/>
      <c r="S133" s="1325"/>
      <c r="T133" s="1325"/>
      <c r="U133" s="1325"/>
      <c r="AF133" s="1325"/>
      <c r="AG133" s="1325"/>
      <c r="AH133" s="1325"/>
      <c r="AI133" s="1325"/>
      <c r="AJ133" s="1326"/>
      <c r="AK133" s="1325"/>
      <c r="AL133" s="1325"/>
      <c r="AM133" s="1325"/>
      <c r="AN133" s="1325"/>
      <c r="AO133" s="1325"/>
    </row>
    <row r="134" spans="6:41" ht="16.5" customHeight="1">
      <c r="F134" s="1325"/>
      <c r="G134" s="1325"/>
      <c r="H134" s="1325"/>
      <c r="I134" s="1325"/>
      <c r="J134" s="1325"/>
      <c r="K134" s="1325"/>
      <c r="L134" s="1325"/>
      <c r="M134" s="1325"/>
      <c r="N134" s="1325"/>
      <c r="O134" s="1325"/>
      <c r="P134" s="1325"/>
      <c r="Q134" s="1325"/>
      <c r="R134" s="1325"/>
      <c r="S134" s="1325"/>
      <c r="T134" s="1325"/>
      <c r="U134" s="1325"/>
      <c r="AF134" s="1325"/>
      <c r="AG134" s="1325"/>
      <c r="AH134" s="1325"/>
      <c r="AI134" s="1325"/>
      <c r="AJ134" s="1326"/>
      <c r="AK134" s="1325"/>
      <c r="AL134" s="1325"/>
      <c r="AM134" s="1325"/>
      <c r="AN134" s="1325"/>
      <c r="AO134" s="1325"/>
    </row>
    <row r="135" spans="6:41" ht="16.5" customHeight="1">
      <c r="F135" s="1325"/>
      <c r="G135" s="1325"/>
      <c r="H135" s="1325"/>
      <c r="I135" s="1325"/>
      <c r="J135" s="1325"/>
      <c r="K135" s="1325"/>
      <c r="L135" s="1325"/>
      <c r="M135" s="1325"/>
      <c r="N135" s="1325"/>
      <c r="O135" s="1325"/>
      <c r="P135" s="1325"/>
      <c r="Q135" s="1325"/>
      <c r="R135" s="1325"/>
      <c r="S135" s="1325"/>
      <c r="T135" s="1325"/>
      <c r="U135" s="1325"/>
      <c r="AF135" s="1325"/>
      <c r="AG135" s="1325"/>
      <c r="AH135" s="1325"/>
      <c r="AI135" s="1325"/>
      <c r="AJ135" s="1326"/>
      <c r="AK135" s="1325"/>
      <c r="AL135" s="1325"/>
      <c r="AM135" s="1325"/>
      <c r="AN135" s="1325"/>
      <c r="AO135" s="1325"/>
    </row>
    <row r="136" spans="6:41" ht="16.5" customHeight="1">
      <c r="F136" s="1325"/>
      <c r="G136" s="1325"/>
      <c r="H136" s="1325"/>
      <c r="I136" s="1325"/>
      <c r="J136" s="1325"/>
      <c r="K136" s="1325"/>
      <c r="L136" s="1325"/>
      <c r="M136" s="1325"/>
      <c r="N136" s="1325"/>
      <c r="O136" s="1325"/>
      <c r="P136" s="1325"/>
      <c r="Q136" s="1325"/>
      <c r="R136" s="1325"/>
      <c r="S136" s="1325"/>
      <c r="T136" s="1325"/>
      <c r="U136" s="1325"/>
      <c r="AF136" s="1325"/>
      <c r="AG136" s="1325"/>
      <c r="AH136" s="1325"/>
      <c r="AI136" s="1325"/>
      <c r="AJ136" s="1326"/>
      <c r="AK136" s="1325"/>
      <c r="AL136" s="1325"/>
      <c r="AM136" s="1325"/>
      <c r="AN136" s="1325"/>
      <c r="AO136" s="1325"/>
    </row>
    <row r="137" spans="6:41" ht="16.5" customHeight="1">
      <c r="F137" s="1325"/>
      <c r="G137" s="1325"/>
      <c r="H137" s="1325"/>
      <c r="I137" s="1325"/>
      <c r="J137" s="1325"/>
      <c r="K137" s="1325"/>
      <c r="L137" s="1325"/>
      <c r="M137" s="1325"/>
      <c r="N137" s="1325"/>
      <c r="O137" s="1325"/>
      <c r="P137" s="1325"/>
      <c r="Q137" s="1325"/>
      <c r="R137" s="1325"/>
      <c r="S137" s="1325"/>
      <c r="T137" s="1325"/>
      <c r="U137" s="1325"/>
      <c r="AF137" s="1325"/>
      <c r="AG137" s="1325"/>
      <c r="AH137" s="1325"/>
      <c r="AI137" s="1325"/>
      <c r="AJ137" s="1326"/>
      <c r="AK137" s="1325"/>
      <c r="AL137" s="1325"/>
      <c r="AM137" s="1325"/>
      <c r="AN137" s="1325"/>
      <c r="AO137" s="1325"/>
    </row>
    <row r="138" spans="6:41" ht="16.5" customHeight="1">
      <c r="F138" s="1325"/>
      <c r="G138" s="1325"/>
      <c r="H138" s="1325"/>
      <c r="I138" s="1325"/>
      <c r="J138" s="1325"/>
      <c r="K138" s="1325"/>
      <c r="L138" s="1325"/>
      <c r="M138" s="1325"/>
      <c r="N138" s="1325"/>
      <c r="O138" s="1325"/>
      <c r="P138" s="1325"/>
      <c r="Q138" s="1325"/>
      <c r="R138" s="1325"/>
      <c r="S138" s="1325"/>
      <c r="T138" s="1325"/>
      <c r="U138" s="1325"/>
      <c r="AF138" s="1325"/>
      <c r="AG138" s="1325"/>
      <c r="AH138" s="1325"/>
      <c r="AI138" s="1325"/>
      <c r="AJ138" s="1326"/>
      <c r="AK138" s="1325"/>
      <c r="AL138" s="1325"/>
      <c r="AM138" s="1325"/>
      <c r="AN138" s="1325"/>
      <c r="AO138" s="1325"/>
    </row>
    <row r="139" spans="6:41" ht="16.5" customHeight="1">
      <c r="F139" s="1325"/>
      <c r="G139" s="1325"/>
      <c r="H139" s="1325"/>
      <c r="I139" s="1325"/>
      <c r="J139" s="1325"/>
      <c r="K139" s="1325"/>
      <c r="L139" s="1325"/>
      <c r="M139" s="1325"/>
      <c r="N139" s="1325"/>
      <c r="O139" s="1325"/>
      <c r="P139" s="1325"/>
      <c r="Q139" s="1325"/>
      <c r="R139" s="1325"/>
      <c r="S139" s="1325"/>
      <c r="T139" s="1325"/>
      <c r="U139" s="1325"/>
      <c r="AF139" s="1325"/>
      <c r="AG139" s="1325"/>
      <c r="AH139" s="1325"/>
      <c r="AI139" s="1325"/>
      <c r="AJ139" s="1326"/>
      <c r="AK139" s="1325"/>
      <c r="AL139" s="1325"/>
      <c r="AM139" s="1325"/>
      <c r="AN139" s="1325"/>
      <c r="AO139" s="1325"/>
    </row>
    <row r="140" spans="6:41" ht="16.5" customHeight="1">
      <c r="F140" s="1325"/>
      <c r="G140" s="1325"/>
      <c r="H140" s="1325"/>
      <c r="I140" s="1325"/>
      <c r="J140" s="1325"/>
      <c r="K140" s="1325"/>
      <c r="L140" s="1325"/>
      <c r="M140" s="1325"/>
      <c r="N140" s="1325"/>
      <c r="O140" s="1325"/>
      <c r="P140" s="1325"/>
      <c r="Q140" s="1325"/>
      <c r="R140" s="1325"/>
      <c r="S140" s="1325"/>
      <c r="T140" s="1325"/>
      <c r="U140" s="1325"/>
      <c r="AF140" s="1325"/>
      <c r="AG140" s="1325"/>
      <c r="AH140" s="1325"/>
      <c r="AI140" s="1325"/>
      <c r="AJ140" s="1326"/>
      <c r="AK140" s="1325"/>
      <c r="AL140" s="1325"/>
      <c r="AM140" s="1325"/>
      <c r="AN140" s="1325"/>
      <c r="AO140" s="1325"/>
    </row>
    <row r="141" spans="6:41" ht="16.5" customHeight="1">
      <c r="F141" s="1325"/>
      <c r="G141" s="1325"/>
      <c r="H141" s="1325"/>
      <c r="I141" s="1325"/>
      <c r="J141" s="1325"/>
      <c r="K141" s="1325"/>
      <c r="L141" s="1325"/>
      <c r="M141" s="1325"/>
      <c r="N141" s="1325"/>
      <c r="O141" s="1325"/>
      <c r="P141" s="1325"/>
      <c r="Q141" s="1325"/>
      <c r="R141" s="1325"/>
      <c r="S141" s="1325"/>
      <c r="T141" s="1325"/>
      <c r="U141" s="1325"/>
      <c r="AF141" s="1325"/>
      <c r="AG141" s="1325"/>
      <c r="AH141" s="1325"/>
      <c r="AI141" s="1325"/>
      <c r="AJ141" s="1326"/>
      <c r="AK141" s="1325"/>
      <c r="AL141" s="1325"/>
      <c r="AM141" s="1325"/>
      <c r="AN141" s="1325"/>
      <c r="AO141" s="1325"/>
    </row>
    <row r="142" spans="6:41" ht="16.5" customHeight="1">
      <c r="F142" s="1325"/>
      <c r="G142" s="1325"/>
      <c r="H142" s="1325"/>
      <c r="AF142" s="1325"/>
      <c r="AG142" s="1325"/>
      <c r="AH142" s="1325"/>
      <c r="AI142" s="1325"/>
      <c r="AJ142" s="1326"/>
      <c r="AK142" s="1325"/>
      <c r="AM142" s="1325"/>
      <c r="AN142" s="1325"/>
      <c r="AO142" s="1325"/>
    </row>
    <row r="143" spans="6:41" ht="16.5" customHeight="1">
      <c r="F143" s="1325"/>
      <c r="G143" s="1325"/>
      <c r="H143" s="1325"/>
      <c r="AN143" s="1325"/>
      <c r="AO143" s="1325"/>
    </row>
    <row r="144" spans="6:8" ht="16.5" customHeight="1">
      <c r="F144" s="1325"/>
      <c r="G144" s="1325"/>
      <c r="H144" s="1325"/>
    </row>
    <row r="145" spans="6:8" ht="16.5" customHeight="1">
      <c r="F145" s="1325"/>
      <c r="G145" s="1325"/>
      <c r="H145" s="1325"/>
    </row>
    <row r="146" spans="6:8" ht="16.5" customHeight="1">
      <c r="F146" s="1325"/>
      <c r="G146" s="1325"/>
      <c r="H146" s="1325"/>
    </row>
    <row r="147" spans="6:8" ht="16.5" customHeight="1">
      <c r="F147" s="1325"/>
      <c r="G147" s="1325"/>
      <c r="H147" s="1325"/>
    </row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</sheetData>
  <sheetProtection sheet="1" objects="1" scenarios="1"/>
  <mergeCells count="2">
    <mergeCell ref="C22:C25"/>
    <mergeCell ref="C26:C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65"/>
  <sheetViews>
    <sheetView zoomScale="75" zoomScaleNormal="75" workbookViewId="0" topLeftCell="A3">
      <selection activeCell="K61" sqref="K6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91"/>
      <c r="AD1" s="638"/>
    </row>
    <row r="2" spans="1:23" ht="27" customHeight="1">
      <c r="A2" s="7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42" customFormat="1" ht="30.75">
      <c r="A3" s="639"/>
      <c r="B3" s="640" t="str">
        <f>+'tot-0103'!B2</f>
        <v>ANEXO a la Resolución E.N.R.E. N°  113  /2002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AB3" s="641"/>
      <c r="AC3" s="641"/>
      <c r="AD3" s="641"/>
    </row>
    <row r="4" spans="1:2" s="115" customFormat="1" ht="11.25">
      <c r="A4" s="648" t="s">
        <v>53</v>
      </c>
      <c r="B4" s="660"/>
    </row>
    <row r="5" spans="1:2" s="115" customFormat="1" ht="12" thickBot="1">
      <c r="A5" s="648" t="s">
        <v>54</v>
      </c>
      <c r="B5" s="648"/>
    </row>
    <row r="6" spans="1:23" ht="16.5" customHeight="1" thickTop="1">
      <c r="A6" s="16"/>
      <c r="B6" s="159"/>
      <c r="C6" s="160"/>
      <c r="D6" s="160"/>
      <c r="E6" s="161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2"/>
    </row>
    <row r="7" spans="1:23" ht="20.25">
      <c r="A7" s="16"/>
      <c r="B7" s="140"/>
      <c r="C7" s="14"/>
      <c r="D7" s="7" t="s">
        <v>124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06"/>
      <c r="Q7" s="306"/>
      <c r="R7" s="14"/>
      <c r="S7" s="14"/>
      <c r="T7" s="14"/>
      <c r="U7" s="14"/>
      <c r="V7" s="14"/>
      <c r="W7" s="163"/>
    </row>
    <row r="8" spans="1:23" ht="16.5" customHeight="1">
      <c r="A8" s="16"/>
      <c r="B8" s="14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63"/>
    </row>
    <row r="9" spans="2:23" s="15" customFormat="1" ht="20.25">
      <c r="B9" s="135"/>
      <c r="C9" s="134"/>
      <c r="D9" s="7" t="s">
        <v>125</v>
      </c>
      <c r="E9" s="134"/>
      <c r="F9" s="134"/>
      <c r="G9" s="134"/>
      <c r="H9" s="134"/>
      <c r="N9" s="134"/>
      <c r="O9" s="134"/>
      <c r="P9" s="363"/>
      <c r="Q9" s="363"/>
      <c r="R9" s="134"/>
      <c r="S9" s="134"/>
      <c r="T9" s="134"/>
      <c r="U9" s="134"/>
      <c r="V9" s="134"/>
      <c r="W9" s="364"/>
    </row>
    <row r="10" spans="1:23" ht="16.5" customHeight="1">
      <c r="A10" s="16"/>
      <c r="B10" s="14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3"/>
    </row>
    <row r="11" spans="2:23" s="15" customFormat="1" ht="20.25">
      <c r="B11" s="135"/>
      <c r="C11" s="134"/>
      <c r="D11" s="7" t="s">
        <v>151</v>
      </c>
      <c r="E11" s="134"/>
      <c r="F11" s="134"/>
      <c r="G11" s="134"/>
      <c r="H11" s="134"/>
      <c r="N11" s="134"/>
      <c r="O11" s="134"/>
      <c r="P11" s="363"/>
      <c r="Q11" s="363"/>
      <c r="R11" s="134"/>
      <c r="S11" s="134"/>
      <c r="T11" s="134"/>
      <c r="U11" s="134"/>
      <c r="V11" s="134"/>
      <c r="W11" s="364"/>
    </row>
    <row r="12" spans="1:23" ht="16.5" customHeight="1">
      <c r="A12" s="16"/>
      <c r="B12" s="140"/>
      <c r="C12" s="14"/>
      <c r="D12" s="14"/>
      <c r="E12" s="16"/>
      <c r="F12" s="16"/>
      <c r="G12" s="16"/>
      <c r="H12" s="16"/>
      <c r="I12" s="164"/>
      <c r="J12" s="164"/>
      <c r="K12" s="164"/>
      <c r="L12" s="164"/>
      <c r="M12" s="164"/>
      <c r="N12" s="164"/>
      <c r="O12" s="164"/>
      <c r="P12" s="164"/>
      <c r="Q12" s="164"/>
      <c r="R12" s="14"/>
      <c r="S12" s="14"/>
      <c r="T12" s="14"/>
      <c r="U12" s="14"/>
      <c r="V12" s="14"/>
      <c r="W12" s="163"/>
    </row>
    <row r="13" spans="2:23" s="15" customFormat="1" ht="19.5">
      <c r="B13" s="128" t="str">
        <f>+'tot-0103'!B14</f>
        <v>Desde el 01 al 31 de marzo de 2001</v>
      </c>
      <c r="C13" s="129"/>
      <c r="D13" s="131"/>
      <c r="E13" s="131"/>
      <c r="F13" s="131"/>
      <c r="G13" s="131"/>
      <c r="H13" s="131"/>
      <c r="I13" s="132"/>
      <c r="J13" s="4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365"/>
      <c r="V13" s="365"/>
      <c r="W13" s="133"/>
    </row>
    <row r="14" spans="1:23" ht="16.5" customHeight="1">
      <c r="A14" s="16"/>
      <c r="B14" s="140"/>
      <c r="C14" s="14"/>
      <c r="D14" s="14"/>
      <c r="E14" s="2"/>
      <c r="F14" s="2"/>
      <c r="G14" s="14"/>
      <c r="H14" s="14"/>
      <c r="I14" s="14"/>
      <c r="J14" s="307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63"/>
    </row>
    <row r="15" spans="1:23" ht="16.5" customHeight="1">
      <c r="A15" s="16"/>
      <c r="B15" s="140"/>
      <c r="C15" s="14"/>
      <c r="D15" s="14"/>
      <c r="E15" s="2"/>
      <c r="F15" s="2"/>
      <c r="G15" s="14"/>
      <c r="H15" s="14"/>
      <c r="I15" s="308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63"/>
    </row>
    <row r="16" spans="1:23" ht="16.5" customHeight="1">
      <c r="A16" s="16"/>
      <c r="B16" s="140"/>
      <c r="C16" s="14"/>
      <c r="D16" s="14"/>
      <c r="E16" s="2"/>
      <c r="F16" s="2"/>
      <c r="G16" s="14"/>
      <c r="H16" s="14"/>
      <c r="I16" s="308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63"/>
    </row>
    <row r="17" spans="1:23" ht="16.5" customHeight="1" thickBot="1">
      <c r="A17" s="16"/>
      <c r="B17" s="140"/>
      <c r="C17" s="609" t="s">
        <v>126</v>
      </c>
      <c r="D17" s="13" t="s">
        <v>127</v>
      </c>
      <c r="E17" s="2"/>
      <c r="F17" s="2"/>
      <c r="G17" s="14"/>
      <c r="H17" s="14"/>
      <c r="I17" s="14"/>
      <c r="J17" s="307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63"/>
    </row>
    <row r="18" spans="2:23" s="122" customFormat="1" ht="16.5" customHeight="1" thickBot="1">
      <c r="B18" s="317"/>
      <c r="C18" s="124"/>
      <c r="D18" s="583"/>
      <c r="E18" s="584"/>
      <c r="F18" s="312"/>
      <c r="G18" s="124"/>
      <c r="H18" s="124"/>
      <c r="I18" s="124"/>
      <c r="J18" s="602"/>
      <c r="K18" s="124"/>
      <c r="L18" s="124"/>
      <c r="M18" s="124"/>
      <c r="N18" s="661" t="s">
        <v>78</v>
      </c>
      <c r="P18" s="124"/>
      <c r="Q18" s="124"/>
      <c r="R18" s="124"/>
      <c r="S18" s="124"/>
      <c r="T18" s="124"/>
      <c r="U18" s="124"/>
      <c r="V18" s="124"/>
      <c r="W18" s="603"/>
    </row>
    <row r="19" spans="2:23" s="122" customFormat="1" ht="16.5" customHeight="1">
      <c r="B19" s="317"/>
      <c r="C19" s="124"/>
      <c r="E19" s="585" t="s">
        <v>128</v>
      </c>
      <c r="F19" s="586">
        <v>0.025</v>
      </c>
      <c r="G19" s="631"/>
      <c r="H19" s="124"/>
      <c r="I19" s="693"/>
      <c r="J19" s="694"/>
      <c r="K19" s="655" t="s">
        <v>173</v>
      </c>
      <c r="L19" s="656"/>
      <c r="M19" s="702">
        <v>30.168</v>
      </c>
      <c r="N19" s="703">
        <v>200</v>
      </c>
      <c r="R19" s="124"/>
      <c r="S19" s="124"/>
      <c r="T19" s="124"/>
      <c r="U19" s="124"/>
      <c r="V19" s="124"/>
      <c r="W19" s="603"/>
    </row>
    <row r="20" spans="2:23" s="122" customFormat="1" ht="16.5" customHeight="1">
      <c r="B20" s="317"/>
      <c r="C20" s="124"/>
      <c r="E20" s="583" t="s">
        <v>130</v>
      </c>
      <c r="F20" s="124">
        <f>MID(B13,16,2)*24</f>
        <v>744</v>
      </c>
      <c r="G20" s="124" t="s">
        <v>131</v>
      </c>
      <c r="H20" s="124"/>
      <c r="I20" s="124"/>
      <c r="J20" s="124"/>
      <c r="K20" s="650" t="s">
        <v>115</v>
      </c>
      <c r="L20" s="649"/>
      <c r="M20" s="651">
        <v>27.15</v>
      </c>
      <c r="N20" s="662">
        <v>100</v>
      </c>
      <c r="O20" s="124"/>
      <c r="P20" s="604"/>
      <c r="Q20" s="124"/>
      <c r="R20" s="124"/>
      <c r="S20" s="124"/>
      <c r="T20" s="124"/>
      <c r="U20" s="124"/>
      <c r="V20" s="124"/>
      <c r="W20" s="603"/>
    </row>
    <row r="21" spans="2:23" s="122" customFormat="1" ht="16.5" customHeight="1" thickBot="1">
      <c r="B21" s="317"/>
      <c r="C21" s="124"/>
      <c r="E21" s="583" t="s">
        <v>152</v>
      </c>
      <c r="F21" s="124">
        <v>0.151</v>
      </c>
      <c r="G21" s="122" t="s">
        <v>129</v>
      </c>
      <c r="H21" s="124"/>
      <c r="I21" s="124"/>
      <c r="J21" s="124"/>
      <c r="K21" s="652" t="s">
        <v>174</v>
      </c>
      <c r="L21" s="653"/>
      <c r="M21" s="654">
        <v>24.135</v>
      </c>
      <c r="N21" s="663">
        <v>40</v>
      </c>
      <c r="O21" s="124"/>
      <c r="P21" s="604"/>
      <c r="Q21" s="124"/>
      <c r="R21" s="124"/>
      <c r="S21" s="124"/>
      <c r="T21" s="124"/>
      <c r="U21" s="124"/>
      <c r="V21" s="124"/>
      <c r="W21" s="603"/>
    </row>
    <row r="22" spans="2:23" s="122" customFormat="1" ht="16.5" customHeight="1">
      <c r="B22" s="317"/>
      <c r="C22" s="124"/>
      <c r="D22" s="124"/>
      <c r="E22" s="31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603"/>
    </row>
    <row r="23" spans="1:23" ht="16.5" customHeight="1">
      <c r="A23" s="16"/>
      <c r="B23" s="140"/>
      <c r="C23" s="609" t="s">
        <v>132</v>
      </c>
      <c r="D23" s="123" t="s">
        <v>133</v>
      </c>
      <c r="I23" s="14"/>
      <c r="J23" s="122"/>
      <c r="O23" s="14"/>
      <c r="P23" s="14"/>
      <c r="Q23" s="14"/>
      <c r="R23" s="14"/>
      <c r="S23" s="14"/>
      <c r="T23" s="14"/>
      <c r="V23" s="14"/>
      <c r="W23" s="163"/>
    </row>
    <row r="24" spans="1:23" ht="10.5" customHeight="1" thickBot="1">
      <c r="A24" s="16"/>
      <c r="B24" s="140"/>
      <c r="C24" s="2"/>
      <c r="D24" s="123"/>
      <c r="I24" s="14"/>
      <c r="J24" s="122"/>
      <c r="O24" s="14"/>
      <c r="P24" s="14"/>
      <c r="Q24" s="14"/>
      <c r="R24" s="14"/>
      <c r="S24" s="14"/>
      <c r="T24" s="14"/>
      <c r="V24" s="14"/>
      <c r="W24" s="163"/>
    </row>
    <row r="25" spans="2:23" s="122" customFormat="1" ht="16.5" customHeight="1" thickBot="1" thickTop="1">
      <c r="B25" s="317"/>
      <c r="C25" s="312"/>
      <c r="D25"/>
      <c r="E25"/>
      <c r="F25"/>
      <c r="G25"/>
      <c r="H25"/>
      <c r="I25" s="643" t="s">
        <v>134</v>
      </c>
      <c r="J25" s="664">
        <f>+J56*F19</f>
        <v>15575.2308</v>
      </c>
      <c r="L25"/>
      <c r="S25"/>
      <c r="T25"/>
      <c r="U25"/>
      <c r="W25" s="603"/>
    </row>
    <row r="26" spans="2:23" s="122" customFormat="1" ht="11.25" customHeight="1" thickTop="1">
      <c r="B26" s="317"/>
      <c r="C26" s="312"/>
      <c r="D26" s="124"/>
      <c r="E26" s="31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/>
      <c r="W26" s="603"/>
    </row>
    <row r="27" spans="1:23" ht="16.5" customHeight="1">
      <c r="A27" s="16"/>
      <c r="B27" s="140"/>
      <c r="C27" s="609" t="s">
        <v>135</v>
      </c>
      <c r="D27" s="123" t="s">
        <v>136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3"/>
    </row>
    <row r="28" spans="1:23" ht="13.5" customHeight="1" thickBot="1">
      <c r="A28" s="122"/>
      <c r="B28" s="140"/>
      <c r="C28" s="312"/>
      <c r="D28" s="312"/>
      <c r="E28" s="313"/>
      <c r="F28" s="314"/>
      <c r="G28" s="310"/>
      <c r="H28" s="310"/>
      <c r="I28" s="315"/>
      <c r="J28" s="315"/>
      <c r="K28" s="315"/>
      <c r="L28" s="315"/>
      <c r="M28" s="315"/>
      <c r="N28" s="315"/>
      <c r="O28" s="316"/>
      <c r="P28" s="315"/>
      <c r="Q28" s="315"/>
      <c r="R28" s="665"/>
      <c r="S28" s="666"/>
      <c r="T28" s="667"/>
      <c r="U28" s="667"/>
      <c r="V28" s="667"/>
      <c r="W28" s="168"/>
    </row>
    <row r="29" spans="1:26" s="16" customFormat="1" ht="33.75" customHeight="1" thickBot="1" thickTop="1">
      <c r="A29" s="73"/>
      <c r="B29" s="193"/>
      <c r="C29" s="216" t="s">
        <v>74</v>
      </c>
      <c r="D29" s="219" t="s">
        <v>105</v>
      </c>
      <c r="E29" s="217" t="s">
        <v>43</v>
      </c>
      <c r="F29" s="220" t="s">
        <v>106</v>
      </c>
      <c r="G29" s="221" t="s">
        <v>75</v>
      </c>
      <c r="H29" s="348" t="s">
        <v>79</v>
      </c>
      <c r="I29" s="217" t="s">
        <v>80</v>
      </c>
      <c r="J29" s="217" t="s">
        <v>81</v>
      </c>
      <c r="K29" s="219" t="s">
        <v>107</v>
      </c>
      <c r="L29" s="219" t="s">
        <v>83</v>
      </c>
      <c r="M29" s="185" t="s">
        <v>123</v>
      </c>
      <c r="N29" s="217" t="s">
        <v>87</v>
      </c>
      <c r="O29" s="644" t="s">
        <v>108</v>
      </c>
      <c r="P29" s="348" t="s">
        <v>137</v>
      </c>
      <c r="Q29" s="595" t="s">
        <v>88</v>
      </c>
      <c r="R29" s="587" t="s">
        <v>138</v>
      </c>
      <c r="S29" s="588"/>
      <c r="T29" s="598" t="s">
        <v>92</v>
      </c>
      <c r="U29" s="187" t="s">
        <v>94</v>
      </c>
      <c r="V29" s="221" t="s">
        <v>95</v>
      </c>
      <c r="W29" s="163"/>
      <c r="Y29"/>
      <c r="Z29"/>
    </row>
    <row r="30" spans="1:23" ht="16.5" customHeight="1" thickTop="1">
      <c r="A30" s="16"/>
      <c r="B30" s="140"/>
      <c r="C30" s="51"/>
      <c r="D30" s="51"/>
      <c r="E30" s="51"/>
      <c r="F30" s="51"/>
      <c r="G30" s="366"/>
      <c r="H30" s="570"/>
      <c r="I30" s="51"/>
      <c r="J30" s="51"/>
      <c r="K30" s="51"/>
      <c r="L30" s="51"/>
      <c r="M30" s="51"/>
      <c r="N30" s="367"/>
      <c r="O30" s="668"/>
      <c r="P30" s="599"/>
      <c r="Q30" s="600"/>
      <c r="R30" s="589"/>
      <c r="S30" s="590"/>
      <c r="T30" s="601"/>
      <c r="U30" s="367"/>
      <c r="V30" s="368"/>
      <c r="W30" s="163"/>
    </row>
    <row r="31" spans="1:23" ht="16.5" customHeight="1">
      <c r="A31" s="16"/>
      <c r="B31" s="140"/>
      <c r="C31" s="51"/>
      <c r="D31" s="52"/>
      <c r="E31" s="53"/>
      <c r="F31" s="54"/>
      <c r="G31" s="55"/>
      <c r="H31" s="571">
        <f>F31*$F$21</f>
        <v>0</v>
      </c>
      <c r="I31" s="58"/>
      <c r="J31" s="58"/>
      <c r="K31" s="59">
        <f>IF(D31="","",(J31-I31)*24)</f>
      </c>
      <c r="L31" s="60">
        <f>IF(D31="","",(J31-I31)*24*60)</f>
      </c>
      <c r="M31" s="56"/>
      <c r="N31" s="61">
        <f>IF(D31="","",IF(OR(M31="P",M31="RP"),"--","NO"))</f>
      </c>
      <c r="O31" s="669">
        <f>IF(D31="","","NO")</f>
      </c>
      <c r="P31" s="563">
        <f>200*IF(O31="SI",1,0.1)*IF(M31="P",0.1,1)</f>
        <v>20</v>
      </c>
      <c r="Q31" s="596" t="str">
        <f>IF(M31="P",H31*P31*ROUND(L31/60,2),"--")</f>
        <v>--</v>
      </c>
      <c r="R31" s="591" t="str">
        <f>IF(AND(M31="F",N31="NO"),H31*P31,"--")</f>
        <v>--</v>
      </c>
      <c r="S31" s="592" t="str">
        <f>IF(M31="F",H31*P31*ROUND(L31/60,2),"--")</f>
        <v>--</v>
      </c>
      <c r="T31" s="536" t="str">
        <f>IF(M31="RF",H31*P31*ROUND(L31/60,2),"--")</f>
        <v>--</v>
      </c>
      <c r="U31" s="62">
        <f>IF(D31="","","SI")</f>
      </c>
      <c r="V31" s="223">
        <f>IF(D31="","",SUM(Q31:T31)*IF(U31="SI",1,2))</f>
      </c>
      <c r="W31" s="168"/>
    </row>
    <row r="32" spans="1:23" ht="16.5" customHeight="1" thickBot="1">
      <c r="A32" s="122"/>
      <c r="B32" s="140"/>
      <c r="C32" s="64"/>
      <c r="D32" s="369"/>
      <c r="E32" s="370"/>
      <c r="F32" s="371"/>
      <c r="G32" s="372"/>
      <c r="H32" s="572"/>
      <c r="I32" s="373"/>
      <c r="J32" s="374"/>
      <c r="K32" s="375"/>
      <c r="L32" s="376"/>
      <c r="M32" s="68"/>
      <c r="N32" s="37"/>
      <c r="O32" s="670"/>
      <c r="P32" s="564"/>
      <c r="Q32" s="597"/>
      <c r="R32" s="593"/>
      <c r="S32" s="594"/>
      <c r="T32" s="568"/>
      <c r="U32" s="377"/>
      <c r="V32" s="378"/>
      <c r="W32" s="168"/>
    </row>
    <row r="33" spans="1:23" ht="16.5" customHeight="1" thickBot="1" thickTop="1">
      <c r="A33" s="122"/>
      <c r="B33" s="140"/>
      <c r="C33" s="194"/>
      <c r="D33" s="1"/>
      <c r="E33" s="1"/>
      <c r="F33" s="256"/>
      <c r="G33" s="379"/>
      <c r="H33" s="380"/>
      <c r="I33" s="381"/>
      <c r="J33" s="382"/>
      <c r="K33" s="383"/>
      <c r="L33" s="384"/>
      <c r="M33" s="380"/>
      <c r="N33" s="385"/>
      <c r="O33" s="43"/>
      <c r="P33" s="386"/>
      <c r="Q33" s="387"/>
      <c r="R33" s="388"/>
      <c r="S33" s="388"/>
      <c r="T33" s="388"/>
      <c r="U33" s="343"/>
      <c r="V33" s="389">
        <f>SUM(V30:V32)</f>
        <v>0</v>
      </c>
      <c r="W33" s="168"/>
    </row>
    <row r="34" spans="1:23" ht="16.5" customHeight="1" thickBot="1" thickTop="1">
      <c r="A34" s="122"/>
      <c r="B34" s="140"/>
      <c r="C34" s="194"/>
      <c r="D34" s="1"/>
      <c r="E34" s="1"/>
      <c r="F34" s="256"/>
      <c r="G34" s="379"/>
      <c r="H34" s="380"/>
      <c r="I34" s="381"/>
      <c r="L34" s="384"/>
      <c r="M34" s="380"/>
      <c r="N34" s="645"/>
      <c r="O34" s="646"/>
      <c r="P34" s="386"/>
      <c r="Q34" s="387"/>
      <c r="R34" s="388"/>
      <c r="S34" s="388"/>
      <c r="T34" s="388"/>
      <c r="U34" s="343"/>
      <c r="V34" s="343"/>
      <c r="W34" s="168"/>
    </row>
    <row r="35" spans="2:23" s="16" customFormat="1" ht="33.75" customHeight="1" thickBot="1" thickTop="1">
      <c r="B35" s="140"/>
      <c r="C35" s="180" t="s">
        <v>74</v>
      </c>
      <c r="D35" s="186" t="s">
        <v>105</v>
      </c>
      <c r="E35" s="1351" t="s">
        <v>43</v>
      </c>
      <c r="F35" s="1353"/>
      <c r="G35" s="187" t="s">
        <v>75</v>
      </c>
      <c r="H35" s="348" t="s">
        <v>79</v>
      </c>
      <c r="I35" s="182" t="s">
        <v>80</v>
      </c>
      <c r="J35" s="184" t="s">
        <v>81</v>
      </c>
      <c r="K35" s="248" t="s">
        <v>82</v>
      </c>
      <c r="L35" s="248" t="s">
        <v>83</v>
      </c>
      <c r="M35" s="185" t="s">
        <v>84</v>
      </c>
      <c r="N35" s="1351" t="s">
        <v>87</v>
      </c>
      <c r="O35" s="1352"/>
      <c r="P35" s="517" t="s">
        <v>78</v>
      </c>
      <c r="Q35" s="505" t="s">
        <v>99</v>
      </c>
      <c r="R35" s="526" t="s">
        <v>117</v>
      </c>
      <c r="S35" s="527"/>
      <c r="T35" s="539" t="s">
        <v>92</v>
      </c>
      <c r="U35" s="187" t="s">
        <v>94</v>
      </c>
      <c r="V35" s="221" t="s">
        <v>95</v>
      </c>
      <c r="W35" s="144"/>
    </row>
    <row r="36" spans="2:23" s="16" customFormat="1" ht="16.5" customHeight="1" thickTop="1">
      <c r="B36" s="140"/>
      <c r="C36" s="20"/>
      <c r="D36" s="79"/>
      <c r="E36" s="1349"/>
      <c r="F36" s="1350"/>
      <c r="G36" s="79"/>
      <c r="H36" s="357"/>
      <c r="I36" s="79"/>
      <c r="J36" s="79"/>
      <c r="K36" s="79"/>
      <c r="L36" s="79"/>
      <c r="M36" s="79"/>
      <c r="N36" s="79"/>
      <c r="O36" s="671"/>
      <c r="P36" s="516"/>
      <c r="Q36" s="521"/>
      <c r="R36" s="530"/>
      <c r="S36" s="531"/>
      <c r="T36" s="536"/>
      <c r="U36" s="79"/>
      <c r="V36" s="249"/>
      <c r="W36" s="144"/>
    </row>
    <row r="37" spans="2:23" s="16" customFormat="1" ht="16.5" customHeight="1">
      <c r="B37" s="140"/>
      <c r="C37" s="20" t="s">
        <v>182</v>
      </c>
      <c r="D37" s="79" t="s">
        <v>44</v>
      </c>
      <c r="E37" s="1349" t="s">
        <v>184</v>
      </c>
      <c r="F37" s="1350"/>
      <c r="G37" s="80">
        <v>500</v>
      </c>
      <c r="H37" s="349">
        <f>IF(G37=500,$M$19,IF(G37=220,$M$20,$M$21))</f>
        <v>30.168</v>
      </c>
      <c r="I37" s="81">
        <v>36960.06041666667</v>
      </c>
      <c r="J37" s="82">
        <v>36960.06527777778</v>
      </c>
      <c r="K37" s="83">
        <f>IF(D37="","",(J37-I37)*24)</f>
        <v>0.11666666669771075</v>
      </c>
      <c r="L37" s="30">
        <f>IF(D37="","",ROUND((J37-I37)*24*60,0))</f>
        <v>7</v>
      </c>
      <c r="M37" s="27" t="s">
        <v>178</v>
      </c>
      <c r="N37" s="1347" t="str">
        <f>IF(D37="","",IF(OR(M37="P",M37="RP"),"--","NO"))</f>
        <v>NO</v>
      </c>
      <c r="O37" s="1348"/>
      <c r="P37" s="518">
        <f>IF(G37=500,$N$19,IF(G37=220,$N$20,$N$21))</f>
        <v>200</v>
      </c>
      <c r="Q37" s="522" t="str">
        <f>IF(M37="P",H37*P37*ROUND(L37/60,2)*0.1,"--")</f>
        <v>--</v>
      </c>
      <c r="R37" s="530">
        <f>IF(AND(M37="F",N37="NO"),H37*P37,"--")</f>
        <v>6033.599999999999</v>
      </c>
      <c r="S37" s="531">
        <f>IF(M37="F",H37*P37*ROUND(L37/60,2),"--")</f>
        <v>724.0319999999999</v>
      </c>
      <c r="T37" s="536" t="str">
        <f>IF(M37="RF",H37*P37*ROUND(L37/60,2),"--")</f>
        <v>--</v>
      </c>
      <c r="U37" s="85" t="str">
        <f>IF(D37="","","SI")</f>
        <v>SI</v>
      </c>
      <c r="V37" s="86">
        <f>IF(D37="","",SUM(Q37:T37)*IF(U37="SI",1,2))</f>
        <v>6757.632</v>
      </c>
      <c r="W37" s="144"/>
    </row>
    <row r="38" spans="2:23" s="16" customFormat="1" ht="16.5" customHeight="1">
      <c r="B38" s="140"/>
      <c r="C38" s="20" t="s">
        <v>183</v>
      </c>
      <c r="D38" s="79" t="s">
        <v>41</v>
      </c>
      <c r="E38" s="1349" t="s">
        <v>185</v>
      </c>
      <c r="F38" s="1350"/>
      <c r="G38" s="80">
        <v>500</v>
      </c>
      <c r="H38" s="349">
        <f>IF(G38=500,$M$19,IF(G38=220,$M$20,$M$21))</f>
        <v>30.168</v>
      </c>
      <c r="I38" s="81">
        <v>36962.39236111111</v>
      </c>
      <c r="J38" s="82">
        <v>36962.65277777778</v>
      </c>
      <c r="K38" s="83">
        <f>IF(D38="","",(J38-I38)*24)</f>
        <v>6.250000000116415</v>
      </c>
      <c r="L38" s="30">
        <f>IF(D38="","",ROUND((J38-I38)*24*60,0))</f>
        <v>375</v>
      </c>
      <c r="M38" s="27" t="s">
        <v>177</v>
      </c>
      <c r="N38" s="1347" t="str">
        <f>IF(D38="","",IF(OR(M38="P",M38="RP"),"--","NO"))</f>
        <v>--</v>
      </c>
      <c r="O38" s="1348"/>
      <c r="P38" s="518">
        <f>IF(G38=500,$N$19,IF(G38=220,$N$20,$N$21))</f>
        <v>200</v>
      </c>
      <c r="Q38" s="522">
        <f>IF(M38="P",H38*P38*ROUND(L38/60,2)*0.1,"--")</f>
        <v>3771</v>
      </c>
      <c r="R38" s="530" t="str">
        <f>IF(AND(M38="F",N38="NO"),H38*P38,"--")</f>
        <v>--</v>
      </c>
      <c r="S38" s="531" t="str">
        <f>IF(M38="F",H38*P38*ROUND(L38/60,2),"--")</f>
        <v>--</v>
      </c>
      <c r="T38" s="536" t="str">
        <f>IF(M38="RF",H38*P38*ROUND(L38/60,2),"--")</f>
        <v>--</v>
      </c>
      <c r="U38" s="85" t="str">
        <f>IF(D38="","","SI")</f>
        <v>SI</v>
      </c>
      <c r="V38" s="86">
        <f>IF(D38="","",SUM(Q38:T38)*IF(U38="SI",1,2))</f>
        <v>3771</v>
      </c>
      <c r="W38" s="144"/>
    </row>
    <row r="39" spans="2:23" s="16" customFormat="1" ht="16.5" customHeight="1">
      <c r="B39" s="140"/>
      <c r="C39" s="20"/>
      <c r="D39" s="79"/>
      <c r="E39" s="1349"/>
      <c r="F39" s="1350"/>
      <c r="G39" s="80"/>
      <c r="H39" s="349">
        <f>IF(G39=500,$M$19,IF(G39=220,$M$20,$M$21))</f>
        <v>24.135</v>
      </c>
      <c r="I39" s="81"/>
      <c r="J39" s="82"/>
      <c r="K39" s="83">
        <f>IF(D39="","",(J39-I39)*24)</f>
      </c>
      <c r="L39" s="30">
        <f>IF(D39="","",ROUND((J39-I39)*24*60,0))</f>
      </c>
      <c r="M39" s="27"/>
      <c r="N39" s="1347">
        <f>IF(D39="","",IF(OR(M39="P",M39="RP"),"--","NO"))</f>
      </c>
      <c r="O39" s="1348"/>
      <c r="P39" s="518">
        <f>IF(G39=500,$N$19,IF(G39=220,$N$20,$N$21))</f>
        <v>40</v>
      </c>
      <c r="Q39" s="522" t="str">
        <f>IF(M39="P",H39*P39*ROUND(L39/60,2)*0.1,"--")</f>
        <v>--</v>
      </c>
      <c r="R39" s="530" t="str">
        <f>IF(AND(M39="F",N39="NO"),H39*P39,"--")</f>
        <v>--</v>
      </c>
      <c r="S39" s="531" t="str">
        <f>IF(M39="F",H39*P39*ROUND(L39/60,2),"--")</f>
        <v>--</v>
      </c>
      <c r="T39" s="536" t="str">
        <f>IF(M39="RF",H39*P39*ROUND(L39/60,2),"--")</f>
        <v>--</v>
      </c>
      <c r="U39" s="85">
        <f>IF(D39="","","SI")</f>
      </c>
      <c r="V39" s="86">
        <f>IF(D39="","",SUM(Q39:T39)*IF(U39="SI",1,2))</f>
      </c>
      <c r="W39" s="144"/>
    </row>
    <row r="40" spans="2:23" s="16" customFormat="1" ht="16.5" customHeight="1">
      <c r="B40" s="140"/>
      <c r="C40" s="20"/>
      <c r="D40" s="79"/>
      <c r="E40" s="1349"/>
      <c r="F40" s="1350"/>
      <c r="G40" s="80"/>
      <c r="H40" s="349">
        <f>IF(G40=500,$M$19,IF(G40=220,$M$20,$M$21))</f>
        <v>24.135</v>
      </c>
      <c r="I40" s="81"/>
      <c r="J40" s="82"/>
      <c r="K40" s="83">
        <f>IF(D40="","",(J40-I40)*24)</f>
      </c>
      <c r="L40" s="30">
        <f>IF(D40="","",ROUND((J40-I40)*24*60,0))</f>
      </c>
      <c r="M40" s="27"/>
      <c r="N40" s="1347">
        <f>IF(D40="","",IF(OR(M40="P",M40="RP"),"--","NO"))</f>
      </c>
      <c r="O40" s="1348"/>
      <c r="P40" s="518">
        <f>IF(G40=500,$N$19,IF(G40=220,$N$20,$N$21))</f>
        <v>40</v>
      </c>
      <c r="Q40" s="522" t="str">
        <f>IF(M40="P",H40*P40*ROUND(L40/60,2)*0.1,"--")</f>
        <v>--</v>
      </c>
      <c r="R40" s="530" t="str">
        <f>IF(AND(M40="F",N40="NO"),H40*P40,"--")</f>
        <v>--</v>
      </c>
      <c r="S40" s="531" t="str">
        <f>IF(M40="F",H40*P40*ROUND(L40/60,2),"--")</f>
        <v>--</v>
      </c>
      <c r="T40" s="536" t="str">
        <f>IF(M40="RF",H40*P40*ROUND(L40/60,2),"--")</f>
        <v>--</v>
      </c>
      <c r="U40" s="85">
        <f>IF(D40="","","SI")</f>
      </c>
      <c r="V40" s="86">
        <f>IF(D40="","",SUM(Q40:T40)*IF(U40="SI",1,2))</f>
      </c>
      <c r="W40" s="144"/>
    </row>
    <row r="41" spans="2:28" s="16" customFormat="1" ht="16.5" customHeight="1">
      <c r="B41" s="140"/>
      <c r="C41" s="20"/>
      <c r="D41" s="79"/>
      <c r="E41" s="79"/>
      <c r="F41" s="672"/>
      <c r="G41" s="80"/>
      <c r="H41" s="349">
        <f>IF(G41=500,$M$19,IF(G41=220,$M$20,$M$21))</f>
        <v>24.135</v>
      </c>
      <c r="I41" s="81"/>
      <c r="J41" s="82"/>
      <c r="K41" s="83">
        <f>IF(D41="","",(J41-I41)*24)</f>
      </c>
      <c r="L41" s="30">
        <f>IF(D41="","",ROUND((J41-I41)*24*60,0))</f>
      </c>
      <c r="M41" s="27"/>
      <c r="N41" s="1347">
        <f>IF(D41="","",IF(OR(M41="P",M41="RP"),"--","NO"))</f>
      </c>
      <c r="O41" s="1348"/>
      <c r="P41" s="518">
        <f>IF(G41=500,$N$19,IF(G41=220,$N$20,$N$21))</f>
        <v>40</v>
      </c>
      <c r="Q41" s="522" t="str">
        <f>IF(M41="P",H41*P41*ROUND(L41/60,2)*0.1,"--")</f>
        <v>--</v>
      </c>
      <c r="R41" s="530" t="str">
        <f>IF(AND(M41="F",N41="NO"),H41*P41,"--")</f>
        <v>--</v>
      </c>
      <c r="S41" s="531" t="str">
        <f>IF(M41="F",H41*P41*ROUND(L41/60,2),"--")</f>
        <v>--</v>
      </c>
      <c r="T41" s="536" t="str">
        <f>IF(M41="RF",H41*P41*ROUND(L41/60,2),"--")</f>
        <v>--</v>
      </c>
      <c r="U41" s="85">
        <f>IF(D41="","","SI")</f>
      </c>
      <c r="V41" s="86">
        <f>IF(D41="","",SUM(Q41:T41)*IF(U41="SI",1,2))</f>
      </c>
      <c r="W41" s="144"/>
      <c r="X41"/>
      <c r="Y41"/>
      <c r="Z41"/>
      <c r="AA41"/>
      <c r="AB41"/>
    </row>
    <row r="42" spans="2:28" s="16" customFormat="1" ht="16.5" customHeight="1" thickBot="1">
      <c r="B42" s="140"/>
      <c r="C42" s="673"/>
      <c r="D42" s="674"/>
      <c r="E42" s="674"/>
      <c r="F42" s="675"/>
      <c r="G42" s="676"/>
      <c r="H42" s="677"/>
      <c r="I42" s="678"/>
      <c r="J42" s="679"/>
      <c r="K42" s="680"/>
      <c r="L42" s="681"/>
      <c r="M42" s="682"/>
      <c r="N42" s="683"/>
      <c r="O42" s="682"/>
      <c r="P42" s="684"/>
      <c r="Q42" s="685"/>
      <c r="R42" s="686"/>
      <c r="S42" s="687"/>
      <c r="T42" s="688"/>
      <c r="U42" s="689"/>
      <c r="V42" s="690"/>
      <c r="W42" s="144"/>
      <c r="X42"/>
      <c r="Y42"/>
      <c r="Z42"/>
      <c r="AA42"/>
      <c r="AB42"/>
    </row>
    <row r="43" spans="1:23" ht="17.25" thickBot="1" thickTop="1">
      <c r="A43" s="122"/>
      <c r="B43" s="317"/>
      <c r="C43" s="312"/>
      <c r="D43" s="318"/>
      <c r="E43" s="319"/>
      <c r="F43" s="320"/>
      <c r="G43" s="321"/>
      <c r="H43" s="321"/>
      <c r="I43" s="319"/>
      <c r="J43" s="309"/>
      <c r="K43" s="309"/>
      <c r="L43" s="319"/>
      <c r="M43" s="319"/>
      <c r="N43" s="319"/>
      <c r="O43" s="322"/>
      <c r="P43" s="319"/>
      <c r="Q43" s="319"/>
      <c r="R43" s="323"/>
      <c r="S43" s="324"/>
      <c r="T43" s="324"/>
      <c r="U43" s="325"/>
      <c r="V43" s="389">
        <f>SUM(V37:V42)</f>
        <v>10528.632</v>
      </c>
      <c r="W43" s="327"/>
    </row>
    <row r="44" spans="1:23" ht="17.25" thickBot="1" thickTop="1">
      <c r="A44" s="122"/>
      <c r="B44" s="317"/>
      <c r="C44" s="312"/>
      <c r="D44" s="318"/>
      <c r="E44" s="319"/>
      <c r="F44" s="320"/>
      <c r="G44" s="321"/>
      <c r="H44" s="321"/>
      <c r="I44" s="643" t="s">
        <v>139</v>
      </c>
      <c r="J44" s="664">
        <f>+V43+V33</f>
        <v>10528.632</v>
      </c>
      <c r="L44" s="319"/>
      <c r="M44" s="319"/>
      <c r="N44" s="319"/>
      <c r="O44" s="322"/>
      <c r="P44" s="319"/>
      <c r="Q44" s="319"/>
      <c r="R44" s="323"/>
      <c r="S44" s="324"/>
      <c r="T44" s="324"/>
      <c r="U44" s="325"/>
      <c r="W44" s="327"/>
    </row>
    <row r="45" spans="1:23" ht="13.5" customHeight="1" thickTop="1">
      <c r="A45" s="122"/>
      <c r="B45" s="317"/>
      <c r="C45" s="312"/>
      <c r="D45" s="318"/>
      <c r="E45" s="319"/>
      <c r="F45" s="320"/>
      <c r="G45" s="321"/>
      <c r="H45" s="321"/>
      <c r="I45" s="319"/>
      <c r="J45" s="309"/>
      <c r="K45" s="309"/>
      <c r="L45" s="319"/>
      <c r="M45" s="319"/>
      <c r="N45" s="319"/>
      <c r="O45" s="322"/>
      <c r="P45" s="319"/>
      <c r="Q45" s="319"/>
      <c r="R45" s="323"/>
      <c r="S45" s="324"/>
      <c r="T45" s="324"/>
      <c r="U45" s="325"/>
      <c r="W45" s="327"/>
    </row>
    <row r="46" spans="1:23" ht="16.5" customHeight="1">
      <c r="A46" s="122"/>
      <c r="B46" s="317"/>
      <c r="C46" s="328" t="s">
        <v>140</v>
      </c>
      <c r="D46" s="329" t="s">
        <v>141</v>
      </c>
      <c r="E46" s="319"/>
      <c r="F46" s="320"/>
      <c r="G46" s="321"/>
      <c r="H46" s="321"/>
      <c r="I46" s="319"/>
      <c r="J46" s="309"/>
      <c r="K46" s="309"/>
      <c r="L46" s="319"/>
      <c r="M46" s="319"/>
      <c r="N46" s="319"/>
      <c r="O46" s="322"/>
      <c r="P46" s="319"/>
      <c r="Q46" s="319"/>
      <c r="R46" s="323"/>
      <c r="S46" s="324"/>
      <c r="T46" s="324"/>
      <c r="U46" s="325"/>
      <c r="W46" s="327"/>
    </row>
    <row r="47" spans="1:23" ht="16.5" customHeight="1">
      <c r="A47" s="122"/>
      <c r="B47" s="317"/>
      <c r="C47" s="328"/>
      <c r="D47" s="318"/>
      <c r="E47" s="319"/>
      <c r="F47" s="320"/>
      <c r="G47" s="321"/>
      <c r="H47" s="321"/>
      <c r="I47" s="319"/>
      <c r="J47" s="309"/>
      <c r="K47" s="309"/>
      <c r="L47" s="319"/>
      <c r="M47" s="319"/>
      <c r="N47" s="319"/>
      <c r="O47" s="322"/>
      <c r="P47" s="319"/>
      <c r="Q47" s="319"/>
      <c r="R47" s="319"/>
      <c r="S47" s="323"/>
      <c r="T47" s="324"/>
      <c r="W47" s="327"/>
    </row>
    <row r="48" spans="2:23" s="122" customFormat="1" ht="16.5" customHeight="1">
      <c r="B48" s="317"/>
      <c r="C48" s="312"/>
      <c r="D48" s="337" t="s">
        <v>143</v>
      </c>
      <c r="E48" s="315" t="s">
        <v>144</v>
      </c>
      <c r="F48" s="315" t="s">
        <v>142</v>
      </c>
      <c r="G48" s="612" t="s">
        <v>145</v>
      </c>
      <c r="H48"/>
      <c r="I48" s="634"/>
      <c r="J48" s="333" t="s">
        <v>146</v>
      </c>
      <c r="K48" s="333"/>
      <c r="L48" s="315" t="s">
        <v>142</v>
      </c>
      <c r="M48" t="s">
        <v>153</v>
      </c>
      <c r="O48" s="612" t="s">
        <v>154</v>
      </c>
      <c r="P48"/>
      <c r="Q48" s="332"/>
      <c r="R48" s="332"/>
      <c r="S48" s="124"/>
      <c r="T48"/>
      <c r="U48"/>
      <c r="V48"/>
      <c r="W48" s="327"/>
    </row>
    <row r="49" spans="2:23" s="122" customFormat="1" ht="16.5" customHeight="1">
      <c r="B49" s="317"/>
      <c r="C49" s="312"/>
      <c r="D49" s="635" t="s">
        <v>155</v>
      </c>
      <c r="E49" s="635">
        <v>300</v>
      </c>
      <c r="F49" s="657">
        <v>500</v>
      </c>
      <c r="G49" s="1346">
        <f>+E49*$F$20*$F$21</f>
        <v>33703.2</v>
      </c>
      <c r="H49" s="1346"/>
      <c r="I49" s="1346"/>
      <c r="J49" s="658" t="s">
        <v>156</v>
      </c>
      <c r="K49" s="658"/>
      <c r="L49" s="635">
        <v>500</v>
      </c>
      <c r="M49" s="635">
        <v>2</v>
      </c>
      <c r="O49" s="1346">
        <f>+M49*$F$20*$M$19</f>
        <v>44889.984</v>
      </c>
      <c r="P49" s="1346"/>
      <c r="Q49" s="1346"/>
      <c r="R49" s="1346"/>
      <c r="S49" s="1346"/>
      <c r="T49" s="1346"/>
      <c r="U49" s="1346"/>
      <c r="V49"/>
      <c r="W49" s="327"/>
    </row>
    <row r="50" spans="2:23" s="122" customFormat="1" ht="16.5" customHeight="1">
      <c r="B50" s="317"/>
      <c r="C50" s="312"/>
      <c r="D50" s="635" t="s">
        <v>157</v>
      </c>
      <c r="E50" s="637">
        <v>150</v>
      </c>
      <c r="F50" s="657">
        <v>500</v>
      </c>
      <c r="G50" s="1346">
        <f>+E50*$F$20*$F$21</f>
        <v>16851.6</v>
      </c>
      <c r="H50" s="1346"/>
      <c r="I50" s="1346"/>
      <c r="J50" s="658" t="s">
        <v>156</v>
      </c>
      <c r="K50" s="658"/>
      <c r="L50" s="635">
        <v>132</v>
      </c>
      <c r="M50" s="635">
        <v>7</v>
      </c>
      <c r="O50" s="1346">
        <f>+M50*$F$20*$M$19</f>
        <v>157114.944</v>
      </c>
      <c r="P50" s="1346"/>
      <c r="Q50" s="1346"/>
      <c r="R50" s="1346"/>
      <c r="S50" s="1346"/>
      <c r="T50" s="1346"/>
      <c r="U50" s="1346"/>
      <c r="V50"/>
      <c r="W50" s="327"/>
    </row>
    <row r="51" spans="2:23" s="122" customFormat="1" ht="16.5" customHeight="1">
      <c r="B51" s="317"/>
      <c r="C51" s="312"/>
      <c r="D51" s="636" t="s">
        <v>158</v>
      </c>
      <c r="E51" s="637">
        <v>300</v>
      </c>
      <c r="F51" s="657">
        <v>500</v>
      </c>
      <c r="G51" s="1346">
        <f>+E51*$F$20*$F$21</f>
        <v>33703.2</v>
      </c>
      <c r="H51" s="1346"/>
      <c r="I51" s="1346"/>
      <c r="J51" s="658" t="s">
        <v>159</v>
      </c>
      <c r="K51" s="658"/>
      <c r="L51" s="635">
        <v>132</v>
      </c>
      <c r="M51" s="635">
        <v>7</v>
      </c>
      <c r="O51" s="1346">
        <f>+M51*$F$20*$M$19</f>
        <v>157114.944</v>
      </c>
      <c r="P51" s="1346"/>
      <c r="Q51" s="1346"/>
      <c r="R51" s="1346"/>
      <c r="S51" s="1346"/>
      <c r="T51" s="1346"/>
      <c r="U51" s="1346"/>
      <c r="V51"/>
      <c r="W51" s="327"/>
    </row>
    <row r="52" spans="1:23" ht="16.5" customHeight="1">
      <c r="A52" s="122"/>
      <c r="B52" s="317"/>
      <c r="C52" s="312"/>
      <c r="D52" s="636" t="s">
        <v>160</v>
      </c>
      <c r="E52" s="637">
        <v>300</v>
      </c>
      <c r="F52" s="657">
        <v>500</v>
      </c>
      <c r="G52" s="1346">
        <f>+E52*$F$20*$F$21</f>
        <v>33703.2</v>
      </c>
      <c r="H52" s="1346"/>
      <c r="I52" s="1346"/>
      <c r="J52" s="658" t="s">
        <v>161</v>
      </c>
      <c r="K52" s="658"/>
      <c r="L52" s="635">
        <v>132</v>
      </c>
      <c r="M52" s="635">
        <v>5</v>
      </c>
      <c r="O52" s="1345">
        <f>+M52*$F$20*$M$19</f>
        <v>112224.95999999999</v>
      </c>
      <c r="P52" s="1345"/>
      <c r="Q52" s="1345"/>
      <c r="R52" s="1345"/>
      <c r="S52" s="1345"/>
      <c r="T52" s="1345"/>
      <c r="U52" s="1345"/>
      <c r="W52" s="327"/>
    </row>
    <row r="53" spans="1:23" ht="16.5" customHeight="1">
      <c r="A53" s="122"/>
      <c r="B53" s="317"/>
      <c r="C53" s="312"/>
      <c r="D53" s="636" t="s">
        <v>162</v>
      </c>
      <c r="E53" s="637">
        <v>300</v>
      </c>
      <c r="F53" s="657">
        <v>500</v>
      </c>
      <c r="G53" s="1345">
        <f>+E53*$F$20*$F$21</f>
        <v>33703.2</v>
      </c>
      <c r="H53" s="1345"/>
      <c r="I53" s="1345"/>
      <c r="M53" s="635"/>
      <c r="O53" s="1346">
        <f>SUM(O49:P52)</f>
        <v>471344.83199999994</v>
      </c>
      <c r="P53" s="1346"/>
      <c r="Q53" s="1346"/>
      <c r="R53" s="1346"/>
      <c r="S53" s="1346"/>
      <c r="T53" s="1346"/>
      <c r="U53" s="1346"/>
      <c r="W53" s="327"/>
    </row>
    <row r="54" spans="1:23" ht="16.5" customHeight="1">
      <c r="A54" s="122"/>
      <c r="B54" s="317"/>
      <c r="C54" s="312"/>
      <c r="D54" s="636"/>
      <c r="E54" s="637"/>
      <c r="F54" s="657"/>
      <c r="G54" s="1346">
        <f>SUM(G49:G53)</f>
        <v>151664.4</v>
      </c>
      <c r="H54" s="1346"/>
      <c r="I54" s="1346"/>
      <c r="M54" s="635"/>
      <c r="N54" s="634"/>
      <c r="O54" s="634"/>
      <c r="P54" s="326"/>
      <c r="Q54" s="326"/>
      <c r="R54" s="326"/>
      <c r="S54" s="326"/>
      <c r="W54" s="327"/>
    </row>
    <row r="55" spans="1:23" ht="16.5" customHeight="1" thickBot="1">
      <c r="A55" s="122"/>
      <c r="B55" s="317"/>
      <c r="C55" s="312"/>
      <c r="D55" s="337"/>
      <c r="E55" s="569"/>
      <c r="F55" s="569"/>
      <c r="G55" s="315"/>
      <c r="I55" s="330"/>
      <c r="J55" s="612"/>
      <c r="L55" s="611"/>
      <c r="M55" s="330"/>
      <c r="N55" s="331"/>
      <c r="O55" s="332"/>
      <c r="P55" s="332"/>
      <c r="Q55" s="332"/>
      <c r="R55" s="332"/>
      <c r="S55" s="332"/>
      <c r="W55" s="327"/>
    </row>
    <row r="56" spans="1:23" ht="16.5" customHeight="1" thickBot="1" thickTop="1">
      <c r="A56" s="122"/>
      <c r="B56" s="317"/>
      <c r="C56" s="312"/>
      <c r="D56" s="315"/>
      <c r="E56" s="659"/>
      <c r="F56" s="659"/>
      <c r="G56" s="390"/>
      <c r="H56" s="4"/>
      <c r="I56" s="643" t="s">
        <v>163</v>
      </c>
      <c r="J56" s="664">
        <f>+G54+O53</f>
        <v>623009.232</v>
      </c>
      <c r="L56" s="608"/>
      <c r="M56" s="4"/>
      <c r="N56" s="610"/>
      <c r="O56" s="326"/>
      <c r="P56" s="326"/>
      <c r="Q56" s="326"/>
      <c r="R56" s="326"/>
      <c r="S56" s="326"/>
      <c r="W56" s="327"/>
    </row>
    <row r="57" spans="1:23" ht="16.5" customHeight="1" thickTop="1">
      <c r="A57" s="122"/>
      <c r="B57" s="317"/>
      <c r="C57" s="312"/>
      <c r="D57" s="309"/>
      <c r="E57" s="311"/>
      <c r="F57" s="315"/>
      <c r="G57" s="315"/>
      <c r="H57" s="316"/>
      <c r="J57" s="315"/>
      <c r="L57" s="334"/>
      <c r="M57" s="331"/>
      <c r="N57" s="331"/>
      <c r="O57" s="332"/>
      <c r="P57" s="332"/>
      <c r="Q57" s="332"/>
      <c r="R57" s="332"/>
      <c r="S57" s="332"/>
      <c r="W57" s="327"/>
    </row>
    <row r="58" spans="2:23" ht="16.5" customHeight="1">
      <c r="B58" s="317"/>
      <c r="C58" s="328" t="s">
        <v>147</v>
      </c>
      <c r="D58" s="335" t="s">
        <v>148</v>
      </c>
      <c r="E58" s="315"/>
      <c r="F58" s="336"/>
      <c r="G58" s="310"/>
      <c r="H58" s="309"/>
      <c r="I58" s="309"/>
      <c r="J58" s="309"/>
      <c r="K58" s="315"/>
      <c r="L58" s="315"/>
      <c r="M58" s="309"/>
      <c r="N58" s="315"/>
      <c r="O58" s="309"/>
      <c r="P58" s="309"/>
      <c r="Q58" s="309"/>
      <c r="R58" s="309"/>
      <c r="S58" s="309"/>
      <c r="T58" s="309"/>
      <c r="U58" s="309"/>
      <c r="W58" s="327"/>
    </row>
    <row r="59" spans="2:23" s="122" customFormat="1" ht="16.5" customHeight="1">
      <c r="B59" s="317"/>
      <c r="C59" s="312"/>
      <c r="D59" s="337" t="s">
        <v>149</v>
      </c>
      <c r="E59" s="338">
        <f>10*J44*J25/J56</f>
        <v>2632.158</v>
      </c>
      <c r="G59" s="310"/>
      <c r="L59" s="315"/>
      <c r="N59" s="315"/>
      <c r="O59" s="316"/>
      <c r="V59"/>
      <c r="W59" s="327"/>
    </row>
    <row r="60" spans="2:23" s="122" customFormat="1" ht="12.75" customHeight="1">
      <c r="B60" s="317"/>
      <c r="C60" s="312"/>
      <c r="E60" s="607"/>
      <c r="F60" s="314"/>
      <c r="G60" s="310"/>
      <c r="J60" s="310"/>
      <c r="K60" s="340"/>
      <c r="L60" s="315"/>
      <c r="M60" s="315"/>
      <c r="N60" s="315"/>
      <c r="O60" s="316"/>
      <c r="P60" s="315"/>
      <c r="Q60" s="315"/>
      <c r="R60" s="605"/>
      <c r="S60" s="605"/>
      <c r="T60" s="605"/>
      <c r="U60" s="606"/>
      <c r="V60"/>
      <c r="W60" s="327"/>
    </row>
    <row r="61" spans="2:23" ht="16.5" customHeight="1">
      <c r="B61" s="317"/>
      <c r="C61" s="312"/>
      <c r="D61" s="341" t="s">
        <v>175</v>
      </c>
      <c r="E61" s="339"/>
      <c r="F61" s="314"/>
      <c r="G61" s="310"/>
      <c r="H61" s="309"/>
      <c r="I61" s="309"/>
      <c r="N61" s="315"/>
      <c r="O61" s="316"/>
      <c r="P61" s="315"/>
      <c r="Q61" s="315"/>
      <c r="R61" s="330"/>
      <c r="S61" s="330"/>
      <c r="T61" s="330"/>
      <c r="U61" s="331"/>
      <c r="W61" s="327"/>
    </row>
    <row r="62" spans="2:23" ht="13.5" customHeight="1" thickBot="1">
      <c r="B62" s="317"/>
      <c r="C62" s="312"/>
      <c r="D62" s="341"/>
      <c r="E62" s="339"/>
      <c r="F62" s="314"/>
      <c r="G62" s="310"/>
      <c r="H62" s="309"/>
      <c r="I62" s="309"/>
      <c r="N62" s="315"/>
      <c r="O62" s="316"/>
      <c r="P62" s="315"/>
      <c r="Q62" s="315"/>
      <c r="R62" s="330"/>
      <c r="S62" s="330"/>
      <c r="T62" s="330"/>
      <c r="U62" s="331"/>
      <c r="W62" s="327"/>
    </row>
    <row r="63" spans="2:23" s="619" customFormat="1" ht="21" thickBot="1" thickTop="1">
      <c r="B63" s="613"/>
      <c r="C63" s="614"/>
      <c r="D63" s="615"/>
      <c r="E63" s="616"/>
      <c r="F63" s="617"/>
      <c r="G63" s="618"/>
      <c r="I63" s="620" t="s">
        <v>150</v>
      </c>
      <c r="J63" s="621">
        <f>IF(E59&gt;3*J25,J25*3,E59)</f>
        <v>2632.158</v>
      </c>
      <c r="M63" s="622"/>
      <c r="N63" s="622"/>
      <c r="O63" s="623"/>
      <c r="P63" s="622"/>
      <c r="Q63" s="622"/>
      <c r="R63" s="624"/>
      <c r="S63" s="624"/>
      <c r="T63" s="624"/>
      <c r="U63" s="625"/>
      <c r="V63"/>
      <c r="W63" s="626"/>
    </row>
    <row r="64" spans="2:23" ht="16.5" customHeight="1" thickBot="1" thickTop="1">
      <c r="B64" s="147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344"/>
      <c r="W64" s="342"/>
    </row>
    <row r="65" spans="2:23" ht="16.5" customHeight="1" thickTop="1">
      <c r="B65" s="12"/>
      <c r="C65" s="647"/>
      <c r="W65" s="12"/>
    </row>
  </sheetData>
  <sheetProtection password="CC12"/>
  <mergeCells count="23">
    <mergeCell ref="E35:F35"/>
    <mergeCell ref="E36:F36"/>
    <mergeCell ref="E37:F37"/>
    <mergeCell ref="E38:F38"/>
    <mergeCell ref="N35:O35"/>
    <mergeCell ref="N37:O37"/>
    <mergeCell ref="N38:O38"/>
    <mergeCell ref="N39:O39"/>
    <mergeCell ref="N41:O41"/>
    <mergeCell ref="O49:U49"/>
    <mergeCell ref="E39:F39"/>
    <mergeCell ref="E40:F40"/>
    <mergeCell ref="N40:O40"/>
    <mergeCell ref="O52:U52"/>
    <mergeCell ref="O53:U53"/>
    <mergeCell ref="O50:U50"/>
    <mergeCell ref="O51:U51"/>
    <mergeCell ref="G53:I53"/>
    <mergeCell ref="G54:I54"/>
    <mergeCell ref="G49:I49"/>
    <mergeCell ref="G50:I50"/>
    <mergeCell ref="G51:I51"/>
    <mergeCell ref="G52:I5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3">
    <pageSetUpPr fitToPage="1"/>
  </sheetPr>
  <dimension ref="A1:AD59"/>
  <sheetViews>
    <sheetView zoomScale="75" zoomScaleNormal="75" workbookViewId="0" topLeftCell="A5">
      <selection activeCell="D11" sqref="D1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91"/>
      <c r="AD1" s="638"/>
    </row>
    <row r="2" spans="1:23" ht="27" customHeight="1">
      <c r="A2" s="7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42" customFormat="1" ht="30.75">
      <c r="A3" s="639"/>
      <c r="B3" s="640" t="str">
        <f>'tot-0103'!B2</f>
        <v>ANEXO a la Resolución E.N.R.E. N°  113  /2002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AB3" s="641"/>
      <c r="AC3" s="641"/>
      <c r="AD3" s="641"/>
    </row>
    <row r="4" spans="1:2" s="115" customFormat="1" ht="11.25">
      <c r="A4" s="648" t="s">
        <v>53</v>
      </c>
      <c r="B4" s="660"/>
    </row>
    <row r="5" spans="1:2" s="115" customFormat="1" ht="12" thickBot="1">
      <c r="A5" s="648" t="s">
        <v>54</v>
      </c>
      <c r="B5" s="648"/>
    </row>
    <row r="6" spans="1:23" ht="16.5" customHeight="1" thickTop="1">
      <c r="A6" s="16"/>
      <c r="B6" s="159"/>
      <c r="C6" s="160"/>
      <c r="D6" s="160"/>
      <c r="E6" s="161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2"/>
    </row>
    <row r="7" spans="1:23" ht="20.25">
      <c r="A7" s="16"/>
      <c r="B7" s="140"/>
      <c r="C7" s="14"/>
      <c r="D7" s="7" t="s">
        <v>124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06"/>
      <c r="Q7" s="306"/>
      <c r="R7" s="14"/>
      <c r="S7" s="14"/>
      <c r="T7" s="14"/>
      <c r="U7" s="14"/>
      <c r="V7" s="14"/>
      <c r="W7" s="163"/>
    </row>
    <row r="8" spans="1:23" ht="16.5" customHeight="1">
      <c r="A8" s="16"/>
      <c r="B8" s="14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63"/>
    </row>
    <row r="9" spans="2:23" s="15" customFormat="1" ht="20.25">
      <c r="B9" s="135"/>
      <c r="C9" s="134"/>
      <c r="D9" s="7" t="s">
        <v>125</v>
      </c>
      <c r="E9" s="134"/>
      <c r="F9" s="134"/>
      <c r="G9" s="134"/>
      <c r="H9" s="134"/>
      <c r="N9" s="134"/>
      <c r="O9" s="134"/>
      <c r="P9" s="363"/>
      <c r="Q9" s="363"/>
      <c r="R9" s="134"/>
      <c r="S9" s="134"/>
      <c r="T9" s="134"/>
      <c r="U9" s="134"/>
      <c r="V9" s="134"/>
      <c r="W9" s="364"/>
    </row>
    <row r="10" spans="1:23" ht="16.5" customHeight="1">
      <c r="A10" s="16"/>
      <c r="B10" s="14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3"/>
    </row>
    <row r="11" spans="2:23" s="15" customFormat="1" ht="20.25">
      <c r="B11" s="135"/>
      <c r="C11" s="134"/>
      <c r="D11" s="7" t="s">
        <v>280</v>
      </c>
      <c r="E11" s="134"/>
      <c r="F11" s="134"/>
      <c r="G11" s="134"/>
      <c r="H11" s="134"/>
      <c r="N11" s="134"/>
      <c r="O11" s="134"/>
      <c r="P11" s="363"/>
      <c r="Q11" s="363"/>
      <c r="R11" s="134"/>
      <c r="S11" s="134"/>
      <c r="T11" s="134"/>
      <c r="U11" s="134"/>
      <c r="V11" s="134"/>
      <c r="W11" s="364"/>
    </row>
    <row r="12" spans="1:23" ht="16.5" customHeight="1">
      <c r="A12" s="16"/>
      <c r="B12" s="140"/>
      <c r="C12" s="14"/>
      <c r="D12" s="14"/>
      <c r="E12" s="16"/>
      <c r="F12" s="16"/>
      <c r="G12" s="16"/>
      <c r="H12" s="16"/>
      <c r="I12" s="164"/>
      <c r="J12" s="164"/>
      <c r="K12" s="164"/>
      <c r="L12" s="164"/>
      <c r="M12" s="164"/>
      <c r="N12" s="164"/>
      <c r="O12" s="164"/>
      <c r="P12" s="164"/>
      <c r="Q12" s="164"/>
      <c r="R12" s="14"/>
      <c r="S12" s="14"/>
      <c r="T12" s="14"/>
      <c r="U12" s="14"/>
      <c r="V12" s="14"/>
      <c r="W12" s="163"/>
    </row>
    <row r="13" spans="2:23" s="15" customFormat="1" ht="19.5">
      <c r="B13" s="128" t="str">
        <f>'tot-0103'!B14</f>
        <v>Desde el 01 al 31 de marzo de 2001</v>
      </c>
      <c r="C13" s="129"/>
      <c r="D13" s="131"/>
      <c r="E13" s="131"/>
      <c r="F13" s="131"/>
      <c r="G13" s="131"/>
      <c r="H13" s="131"/>
      <c r="I13" s="132"/>
      <c r="J13" s="4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365"/>
      <c r="V13" s="365"/>
      <c r="W13" s="133"/>
    </row>
    <row r="14" spans="1:23" ht="16.5" customHeight="1">
      <c r="A14" s="16"/>
      <c r="B14" s="140"/>
      <c r="C14" s="14"/>
      <c r="D14" s="14"/>
      <c r="E14" s="2"/>
      <c r="F14" s="2"/>
      <c r="G14" s="14"/>
      <c r="H14" s="14"/>
      <c r="I14" s="14"/>
      <c r="J14" s="307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63"/>
    </row>
    <row r="15" spans="1:23" ht="16.5" customHeight="1">
      <c r="A15" s="16"/>
      <c r="B15" s="140"/>
      <c r="C15" s="14"/>
      <c r="D15" s="14"/>
      <c r="E15" s="2"/>
      <c r="F15" s="2"/>
      <c r="G15" s="14"/>
      <c r="H15" s="14"/>
      <c r="I15" s="308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63"/>
    </row>
    <row r="16" spans="1:23" ht="16.5" customHeight="1">
      <c r="A16" s="16"/>
      <c r="B16" s="140"/>
      <c r="C16" s="14"/>
      <c r="D16" s="14"/>
      <c r="E16" s="2"/>
      <c r="F16" s="2"/>
      <c r="G16" s="14"/>
      <c r="H16" s="14"/>
      <c r="I16" s="308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63"/>
    </row>
    <row r="17" spans="1:23" ht="16.5" customHeight="1" thickBot="1">
      <c r="A17" s="16"/>
      <c r="B17" s="140"/>
      <c r="C17" s="609" t="s">
        <v>126</v>
      </c>
      <c r="D17" s="13" t="s">
        <v>127</v>
      </c>
      <c r="E17" s="2"/>
      <c r="F17" s="2"/>
      <c r="G17" s="14"/>
      <c r="H17" s="14"/>
      <c r="I17" s="14"/>
      <c r="J17" s="307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63"/>
    </row>
    <row r="18" spans="2:23" s="122" customFormat="1" ht="16.5" customHeight="1" thickBot="1">
      <c r="B18" s="317"/>
      <c r="C18" s="124"/>
      <c r="D18" s="583"/>
      <c r="E18" s="584"/>
      <c r="F18" s="312"/>
      <c r="G18" s="124"/>
      <c r="H18" s="124"/>
      <c r="I18" s="124"/>
      <c r="J18" s="602"/>
      <c r="K18" s="124"/>
      <c r="L18" s="124"/>
      <c r="M18" s="124"/>
      <c r="N18" s="661" t="s">
        <v>78</v>
      </c>
      <c r="P18" s="124"/>
      <c r="Q18" s="124"/>
      <c r="R18" s="124"/>
      <c r="S18" s="124"/>
      <c r="T18" s="124"/>
      <c r="U18" s="124"/>
      <c r="V18" s="124"/>
      <c r="W18" s="603"/>
    </row>
    <row r="19" spans="2:23" s="122" customFormat="1" ht="16.5" customHeight="1" thickBot="1">
      <c r="B19" s="317"/>
      <c r="C19" s="124"/>
      <c r="E19" s="585" t="s">
        <v>128</v>
      </c>
      <c r="F19" s="586">
        <v>0.025</v>
      </c>
      <c r="G19" s="631"/>
      <c r="H19" s="124"/>
      <c r="I19" s="693"/>
      <c r="J19" s="694"/>
      <c r="K19" s="718" t="s">
        <v>173</v>
      </c>
      <c r="L19" s="719"/>
      <c r="M19" s="720">
        <v>30.168</v>
      </c>
      <c r="N19" s="721">
        <v>200</v>
      </c>
      <c r="R19" s="124"/>
      <c r="S19" s="124"/>
      <c r="T19" s="124"/>
      <c r="U19" s="124"/>
      <c r="V19" s="124"/>
      <c r="W19" s="603"/>
    </row>
    <row r="20" spans="2:23" s="122" customFormat="1" ht="16.5" customHeight="1">
      <c r="B20" s="317"/>
      <c r="C20" s="124"/>
      <c r="E20" s="583" t="s">
        <v>130</v>
      </c>
      <c r="F20" s="124">
        <f>MID(B13,16,2)*24</f>
        <v>744</v>
      </c>
      <c r="G20" s="124" t="s">
        <v>131</v>
      </c>
      <c r="H20" s="124"/>
      <c r="I20" s="124"/>
      <c r="J20" s="124"/>
      <c r="K20" s="124"/>
      <c r="L20" s="124"/>
      <c r="M20" s="124"/>
      <c r="N20" s="124"/>
      <c r="O20" s="124"/>
      <c r="P20" s="604"/>
      <c r="Q20" s="124"/>
      <c r="R20" s="124"/>
      <c r="S20" s="124"/>
      <c r="T20" s="124"/>
      <c r="U20" s="124"/>
      <c r="V20" s="124"/>
      <c r="W20" s="603"/>
    </row>
    <row r="21" spans="2:23" s="122" customFormat="1" ht="16.5" customHeight="1">
      <c r="B21" s="317"/>
      <c r="C21" s="124"/>
      <c r="E21" s="583" t="s">
        <v>152</v>
      </c>
      <c r="F21" s="124">
        <v>0.151</v>
      </c>
      <c r="G21" s="122" t="s">
        <v>129</v>
      </c>
      <c r="H21" s="124"/>
      <c r="I21" s="124"/>
      <c r="J21" s="124"/>
      <c r="K21" s="124"/>
      <c r="L21" s="124"/>
      <c r="M21" s="124"/>
      <c r="N21" s="124"/>
      <c r="O21" s="124"/>
      <c r="P21" s="604"/>
      <c r="Q21" s="124"/>
      <c r="R21" s="124"/>
      <c r="S21" s="124"/>
      <c r="T21" s="124"/>
      <c r="U21" s="124"/>
      <c r="V21" s="124"/>
      <c r="W21" s="603"/>
    </row>
    <row r="22" spans="2:23" s="122" customFormat="1" ht="16.5" customHeight="1">
      <c r="B22" s="317"/>
      <c r="C22" s="124"/>
      <c r="D22" s="124"/>
      <c r="E22" s="31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603"/>
    </row>
    <row r="23" spans="1:23" ht="16.5" customHeight="1">
      <c r="A23" s="16"/>
      <c r="B23" s="140"/>
      <c r="C23" s="609" t="s">
        <v>132</v>
      </c>
      <c r="D23" s="123" t="s">
        <v>133</v>
      </c>
      <c r="I23" s="14"/>
      <c r="J23" s="122"/>
      <c r="O23" s="14"/>
      <c r="P23" s="14"/>
      <c r="Q23" s="14"/>
      <c r="R23" s="14"/>
      <c r="S23" s="14"/>
      <c r="T23" s="14"/>
      <c r="V23" s="14"/>
      <c r="W23" s="163"/>
    </row>
    <row r="24" spans="1:23" ht="10.5" customHeight="1" thickBot="1">
      <c r="A24" s="16"/>
      <c r="B24" s="140"/>
      <c r="C24" s="2"/>
      <c r="D24" s="123"/>
      <c r="I24" s="14"/>
      <c r="J24" s="122"/>
      <c r="O24" s="14"/>
      <c r="P24" s="14"/>
      <c r="Q24" s="14"/>
      <c r="R24" s="14"/>
      <c r="S24" s="14"/>
      <c r="T24" s="14"/>
      <c r="V24" s="14"/>
      <c r="W24" s="163"/>
    </row>
    <row r="25" spans="2:23" s="122" customFormat="1" ht="16.5" customHeight="1" thickBot="1" thickTop="1">
      <c r="B25" s="317"/>
      <c r="C25" s="312"/>
      <c r="D25"/>
      <c r="E25"/>
      <c r="F25"/>
      <c r="G25"/>
      <c r="H25"/>
      <c r="I25" s="643" t="s">
        <v>134</v>
      </c>
      <c r="J25" s="664">
        <f>+J50*F19</f>
        <v>561.1247999999999</v>
      </c>
      <c r="L25"/>
      <c r="S25"/>
      <c r="T25"/>
      <c r="U25"/>
      <c r="W25" s="603"/>
    </row>
    <row r="26" spans="2:23" s="122" customFormat="1" ht="11.25" customHeight="1" thickTop="1">
      <c r="B26" s="317"/>
      <c r="C26" s="312"/>
      <c r="D26" s="124"/>
      <c r="E26" s="31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/>
      <c r="W26" s="603"/>
    </row>
    <row r="27" spans="1:23" ht="16.5" customHeight="1">
      <c r="A27" s="16"/>
      <c r="B27" s="140"/>
      <c r="C27" s="609" t="s">
        <v>135</v>
      </c>
      <c r="D27" s="123" t="s">
        <v>136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3"/>
    </row>
    <row r="28" spans="1:23" ht="13.5" customHeight="1" thickBot="1">
      <c r="A28" s="122"/>
      <c r="B28" s="140"/>
      <c r="C28" s="312"/>
      <c r="D28" s="312"/>
      <c r="E28" s="313"/>
      <c r="F28" s="314"/>
      <c r="G28" s="310"/>
      <c r="H28" s="310"/>
      <c r="I28" s="315"/>
      <c r="J28" s="315"/>
      <c r="K28" s="315"/>
      <c r="L28" s="315"/>
      <c r="M28" s="315"/>
      <c r="N28" s="315"/>
      <c r="O28" s="316"/>
      <c r="P28" s="315"/>
      <c r="Q28" s="315"/>
      <c r="R28" s="665"/>
      <c r="S28" s="666"/>
      <c r="T28" s="667"/>
      <c r="U28" s="385"/>
      <c r="V28" s="385"/>
      <c r="W28" s="168"/>
    </row>
    <row r="29" spans="1:23" ht="16.5" customHeight="1" thickTop="1">
      <c r="A29" s="122"/>
      <c r="B29" s="140"/>
      <c r="C29" s="194"/>
      <c r="D29" s="1"/>
      <c r="E29" s="1"/>
      <c r="F29" s="256"/>
      <c r="G29" s="379"/>
      <c r="H29" s="380"/>
      <c r="I29" s="381"/>
      <c r="J29" s="382"/>
      <c r="K29" s="383"/>
      <c r="L29" s="384"/>
      <c r="M29" s="380"/>
      <c r="N29" s="385"/>
      <c r="O29" s="43"/>
      <c r="P29" s="386"/>
      <c r="Q29" s="387"/>
      <c r="R29" s="388"/>
      <c r="S29" s="388"/>
      <c r="T29" s="388"/>
      <c r="U29" s="385"/>
      <c r="V29" s="385"/>
      <c r="W29" s="168"/>
    </row>
    <row r="30" spans="1:23" ht="16.5" customHeight="1" thickBot="1">
      <c r="A30" s="122"/>
      <c r="B30" s="140"/>
      <c r="C30" s="194"/>
      <c r="D30" s="1"/>
      <c r="E30" s="1"/>
      <c r="F30" s="256"/>
      <c r="G30" s="379"/>
      <c r="H30" s="380"/>
      <c r="I30" s="381"/>
      <c r="L30" s="384"/>
      <c r="M30" s="380"/>
      <c r="N30" s="645"/>
      <c r="O30" s="646"/>
      <c r="P30" s="386"/>
      <c r="Q30" s="387"/>
      <c r="R30" s="388"/>
      <c r="S30" s="388"/>
      <c r="T30" s="388"/>
      <c r="U30" s="343"/>
      <c r="V30" s="343"/>
      <c r="W30" s="168"/>
    </row>
    <row r="31" spans="2:23" s="16" customFormat="1" ht="33.75" customHeight="1" thickBot="1" thickTop="1">
      <c r="B31" s="140"/>
      <c r="C31" s="180" t="s">
        <v>74</v>
      </c>
      <c r="D31" s="186" t="s">
        <v>105</v>
      </c>
      <c r="E31" s="1351" t="s">
        <v>43</v>
      </c>
      <c r="F31" s="1353"/>
      <c r="G31" s="187" t="s">
        <v>75</v>
      </c>
      <c r="H31" s="348" t="s">
        <v>79</v>
      </c>
      <c r="I31" s="182" t="s">
        <v>80</v>
      </c>
      <c r="J31" s="184" t="s">
        <v>81</v>
      </c>
      <c r="K31" s="248" t="s">
        <v>82</v>
      </c>
      <c r="L31" s="248" t="s">
        <v>83</v>
      </c>
      <c r="M31" s="185" t="s">
        <v>84</v>
      </c>
      <c r="N31" s="1351" t="s">
        <v>87</v>
      </c>
      <c r="O31" s="1352"/>
      <c r="P31" s="517" t="s">
        <v>78</v>
      </c>
      <c r="Q31" s="505" t="s">
        <v>99</v>
      </c>
      <c r="R31" s="526" t="s">
        <v>117</v>
      </c>
      <c r="S31" s="527"/>
      <c r="T31" s="539" t="s">
        <v>92</v>
      </c>
      <c r="U31" s="187" t="s">
        <v>94</v>
      </c>
      <c r="V31" s="221" t="s">
        <v>95</v>
      </c>
      <c r="W31" s="144"/>
    </row>
    <row r="32" spans="2:23" s="16" customFormat="1" ht="16.5" customHeight="1" thickTop="1">
      <c r="B32" s="140"/>
      <c r="C32" s="20"/>
      <c r="D32" s="79"/>
      <c r="E32" s="1349"/>
      <c r="F32" s="1350"/>
      <c r="G32" s="79"/>
      <c r="H32" s="357"/>
      <c r="I32" s="79"/>
      <c r="J32" s="79"/>
      <c r="K32" s="79"/>
      <c r="L32" s="79"/>
      <c r="M32" s="79"/>
      <c r="N32" s="79"/>
      <c r="O32" s="671"/>
      <c r="P32" s="516"/>
      <c r="Q32" s="521"/>
      <c r="R32" s="530"/>
      <c r="S32" s="531"/>
      <c r="T32" s="536"/>
      <c r="U32" s="79"/>
      <c r="V32" s="249"/>
      <c r="W32" s="144"/>
    </row>
    <row r="33" spans="2:23" s="16" customFormat="1" ht="16.5" customHeight="1">
      <c r="B33" s="140"/>
      <c r="C33" s="20" t="s">
        <v>189</v>
      </c>
      <c r="D33" s="79" t="s">
        <v>181</v>
      </c>
      <c r="E33" s="1349" t="s">
        <v>192</v>
      </c>
      <c r="F33" s="1350"/>
      <c r="G33" s="80">
        <v>500</v>
      </c>
      <c r="H33" s="349">
        <f>IF(G33=500,$M$19,IF(G33=220,$M$20,$M$21))</f>
        <v>30.168</v>
      </c>
      <c r="I33" s="81">
        <v>36978.188888888886</v>
      </c>
      <c r="J33" s="82">
        <v>36978.2875</v>
      </c>
      <c r="K33" s="83">
        <f>IF(D33="","",(J33-I33)*24)</f>
        <v>2.3666666666977108</v>
      </c>
      <c r="L33" s="30">
        <f>IF(D33="","",ROUND((J33-I33)*24*60,0))</f>
        <v>142</v>
      </c>
      <c r="M33" s="27" t="s">
        <v>177</v>
      </c>
      <c r="N33" s="1347" t="str">
        <f>IF(D33="","",IF(OR(M33="P",M33="RP"),"--","NO"))</f>
        <v>--</v>
      </c>
      <c r="O33" s="1348"/>
      <c r="P33" s="518">
        <f>IF(G33=500,$N$19,IF(G33=220,$N$20,$N$21))</f>
        <v>200</v>
      </c>
      <c r="Q33" s="522">
        <f>IF(M33="P",H33*P33*ROUND(L33/60,2)*0.1,"--")</f>
        <v>1429.9632000000001</v>
      </c>
      <c r="R33" s="530" t="str">
        <f>IF(AND(M33="F",N33="NO"),H33*P33,"--")</f>
        <v>--</v>
      </c>
      <c r="S33" s="531" t="str">
        <f>IF(M33="F",H33*P33*ROUND(L33/60,2),"--")</f>
        <v>--</v>
      </c>
      <c r="T33" s="536" t="str">
        <f>IF(M33="RF",H33*P33*ROUND(L33/60,2),"--")</f>
        <v>--</v>
      </c>
      <c r="U33" s="85" t="str">
        <f>IF(D33="","","SI")</f>
        <v>SI</v>
      </c>
      <c r="V33" s="86">
        <f>IF(D33="","",SUM(Q33:T33)*IF(U33="SI",1,2))</f>
        <v>1429.9632000000001</v>
      </c>
      <c r="W33" s="144"/>
    </row>
    <row r="34" spans="2:23" s="16" customFormat="1" ht="16.5" customHeight="1">
      <c r="B34" s="140"/>
      <c r="C34" s="20"/>
      <c r="D34" s="79"/>
      <c r="E34" s="1349"/>
      <c r="F34" s="1350"/>
      <c r="G34" s="80"/>
      <c r="H34" s="349">
        <f>IF(G34=500,$M$19,IF(G34=220,$M$20,$M$21))</f>
        <v>0</v>
      </c>
      <c r="I34" s="81"/>
      <c r="J34" s="82"/>
      <c r="K34" s="83">
        <f>IF(D34="","",(J34-I34)*24)</f>
      </c>
      <c r="L34" s="30">
        <f>IF(D34="","",ROUND((J34-I34)*24*60,0))</f>
      </c>
      <c r="M34" s="27"/>
      <c r="N34" s="1347">
        <f>IF(D34="","",IF(OR(M34="P",M34="RP"),"--","NO"))</f>
      </c>
      <c r="O34" s="1348"/>
      <c r="P34" s="518">
        <f>IF(G34=500,$N$19,IF(G34=220,$N$20,$N$21))</f>
        <v>0</v>
      </c>
      <c r="Q34" s="522" t="str">
        <f>IF(M34="P",H34*P34*ROUND(L34/60,2)*0.1,"--")</f>
        <v>--</v>
      </c>
      <c r="R34" s="530" t="str">
        <f>IF(AND(M34="F",N34="NO"),H34*P34,"--")</f>
        <v>--</v>
      </c>
      <c r="S34" s="531" t="str">
        <f>IF(M34="F",H34*P34*ROUND(L34/60,2),"--")</f>
        <v>--</v>
      </c>
      <c r="T34" s="536" t="str">
        <f>IF(M34="RF",H34*P34*ROUND(L34/60,2),"--")</f>
        <v>--</v>
      </c>
      <c r="U34" s="85">
        <f>IF(D34="","","SI")</f>
      </c>
      <c r="V34" s="86">
        <f>IF(D34="","",SUM(Q34:T34)*IF(U34="SI",1,2))</f>
      </c>
      <c r="W34" s="144"/>
    </row>
    <row r="35" spans="2:23" s="16" customFormat="1" ht="16.5" customHeight="1">
      <c r="B35" s="140"/>
      <c r="C35" s="20"/>
      <c r="D35" s="79"/>
      <c r="E35" s="1349"/>
      <c r="F35" s="1350"/>
      <c r="G35" s="80"/>
      <c r="H35" s="349">
        <f>IF(G35=500,$M$19,IF(G35=220,$M$20,$M$21))</f>
        <v>0</v>
      </c>
      <c r="I35" s="81"/>
      <c r="J35" s="82"/>
      <c r="K35" s="83">
        <f>IF(D35="","",(J35-I35)*24)</f>
      </c>
      <c r="L35" s="30">
        <f>IF(D35="","",ROUND((J35-I35)*24*60,0))</f>
      </c>
      <c r="M35" s="27"/>
      <c r="N35" s="1347">
        <f>IF(D35="","",IF(OR(M35="P",M35="RP"),"--","NO"))</f>
      </c>
      <c r="O35" s="1348"/>
      <c r="P35" s="518">
        <f>IF(G35=500,$N$19,IF(G35=220,$N$20,$N$21))</f>
        <v>0</v>
      </c>
      <c r="Q35" s="522" t="str">
        <f>IF(M35="P",H35*P35*ROUND(L35/60,2)*0.1,"--")</f>
        <v>--</v>
      </c>
      <c r="R35" s="530" t="str">
        <f>IF(AND(M35="F",N35="NO"),H35*P35,"--")</f>
        <v>--</v>
      </c>
      <c r="S35" s="531" t="str">
        <f>IF(M35="F",H35*P35*ROUND(L35/60,2),"--")</f>
        <v>--</v>
      </c>
      <c r="T35" s="536" t="str">
        <f>IF(M35="RF",H35*P35*ROUND(L35/60,2),"--")</f>
        <v>--</v>
      </c>
      <c r="U35" s="85">
        <f>IF(D35="","","SI")</f>
      </c>
      <c r="V35" s="86">
        <f>IF(D35="","",SUM(Q35:T35)*IF(U35="SI",1,2))</f>
      </c>
      <c r="W35" s="144"/>
    </row>
    <row r="36" spans="2:23" s="16" customFormat="1" ht="16.5" customHeight="1">
      <c r="B36" s="140"/>
      <c r="C36" s="20"/>
      <c r="D36" s="79"/>
      <c r="E36" s="1349"/>
      <c r="F36" s="1350"/>
      <c r="G36" s="80"/>
      <c r="H36" s="349">
        <f>IF(G36=500,$M$19,IF(G36=220,$M$20,$M$21))</f>
        <v>0</v>
      </c>
      <c r="I36" s="81"/>
      <c r="J36" s="82"/>
      <c r="K36" s="83">
        <f>IF(D36="","",(J36-I36)*24)</f>
      </c>
      <c r="L36" s="30">
        <f>IF(D36="","",ROUND((J36-I36)*24*60,0))</f>
      </c>
      <c r="M36" s="27"/>
      <c r="N36" s="1347">
        <f>IF(D36="","",IF(OR(M36="P",M36="RP"),"--","NO"))</f>
      </c>
      <c r="O36" s="1348"/>
      <c r="P36" s="518">
        <f>IF(G36=500,$N$19,IF(G36=220,$N$20,$N$21))</f>
        <v>0</v>
      </c>
      <c r="Q36" s="522" t="str">
        <f>IF(M36="P",H36*P36*ROUND(L36/60,2)*0.1,"--")</f>
        <v>--</v>
      </c>
      <c r="R36" s="530" t="str">
        <f>IF(AND(M36="F",N36="NO"),H36*P36,"--")</f>
        <v>--</v>
      </c>
      <c r="S36" s="531" t="str">
        <f>IF(M36="F",H36*P36*ROUND(L36/60,2),"--")</f>
        <v>--</v>
      </c>
      <c r="T36" s="536" t="str">
        <f>IF(M36="RF",H36*P36*ROUND(L36/60,2),"--")</f>
        <v>--</v>
      </c>
      <c r="U36" s="85">
        <f>IF(D36="","","SI")</f>
      </c>
      <c r="V36" s="86">
        <f>IF(D36="","",SUM(Q36:T36)*IF(U36="SI",1,2))</f>
      </c>
      <c r="W36" s="144"/>
    </row>
    <row r="37" spans="2:28" s="16" customFormat="1" ht="16.5" customHeight="1">
      <c r="B37" s="140"/>
      <c r="C37" s="20"/>
      <c r="D37" s="79"/>
      <c r="E37" s="79"/>
      <c r="F37" s="672"/>
      <c r="G37" s="80"/>
      <c r="H37" s="349">
        <f>IF(G37=500,$M$19,IF(G37=220,$M$20,$M$21))</f>
        <v>0</v>
      </c>
      <c r="I37" s="81"/>
      <c r="J37" s="82"/>
      <c r="K37" s="83">
        <f>IF(D37="","",(J37-I37)*24)</f>
      </c>
      <c r="L37" s="30">
        <f>IF(D37="","",ROUND((J37-I37)*24*60,0))</f>
      </c>
      <c r="M37" s="27"/>
      <c r="N37" s="1347">
        <f>IF(D37="","",IF(OR(M37="P",M37="RP"),"--","NO"))</f>
      </c>
      <c r="O37" s="1348"/>
      <c r="P37" s="518">
        <f>IF(G37=500,$N$19,IF(G37=220,$N$20,$N$21))</f>
        <v>0</v>
      </c>
      <c r="Q37" s="522" t="str">
        <f>IF(M37="P",H37*P37*ROUND(L37/60,2)*0.1,"--")</f>
        <v>--</v>
      </c>
      <c r="R37" s="530" t="str">
        <f>IF(AND(M37="F",N37="NO"),H37*P37,"--")</f>
        <v>--</v>
      </c>
      <c r="S37" s="531" t="str">
        <f>IF(M37="F",H37*P37*ROUND(L37/60,2),"--")</f>
        <v>--</v>
      </c>
      <c r="T37" s="536" t="str">
        <f>IF(M37="RF",H37*P37*ROUND(L37/60,2),"--")</f>
        <v>--</v>
      </c>
      <c r="U37" s="85">
        <f>IF(D37="","","SI")</f>
      </c>
      <c r="V37" s="86">
        <f>IF(D37="","",SUM(Q37:T37)*IF(U37="SI",1,2))</f>
      </c>
      <c r="W37" s="144"/>
      <c r="X37"/>
      <c r="Y37"/>
      <c r="Z37"/>
      <c r="AA37"/>
      <c r="AB37"/>
    </row>
    <row r="38" spans="2:28" s="16" customFormat="1" ht="16.5" customHeight="1" thickBot="1">
      <c r="B38" s="140"/>
      <c r="C38" s="673"/>
      <c r="D38" s="674"/>
      <c r="E38" s="674"/>
      <c r="F38" s="675"/>
      <c r="G38" s="676"/>
      <c r="H38" s="677"/>
      <c r="I38" s="678"/>
      <c r="J38" s="679"/>
      <c r="K38" s="680"/>
      <c r="L38" s="681"/>
      <c r="M38" s="682"/>
      <c r="N38" s="683"/>
      <c r="O38" s="682"/>
      <c r="P38" s="684"/>
      <c r="Q38" s="685"/>
      <c r="R38" s="686"/>
      <c r="S38" s="687"/>
      <c r="T38" s="688"/>
      <c r="U38" s="689"/>
      <c r="V38" s="690"/>
      <c r="W38" s="144"/>
      <c r="X38"/>
      <c r="Y38"/>
      <c r="Z38"/>
      <c r="AA38"/>
      <c r="AB38"/>
    </row>
    <row r="39" spans="1:23" ht="17.25" thickBot="1" thickTop="1">
      <c r="A39" s="122"/>
      <c r="B39" s="317"/>
      <c r="C39" s="312"/>
      <c r="D39" s="318"/>
      <c r="E39" s="319"/>
      <c r="F39" s="320"/>
      <c r="G39" s="321"/>
      <c r="H39" s="321"/>
      <c r="I39" s="319"/>
      <c r="J39" s="309"/>
      <c r="K39" s="309"/>
      <c r="L39" s="319"/>
      <c r="M39" s="319"/>
      <c r="N39" s="319"/>
      <c r="O39" s="322"/>
      <c r="P39" s="319"/>
      <c r="Q39" s="319"/>
      <c r="R39" s="323"/>
      <c r="S39" s="324"/>
      <c r="T39" s="324"/>
      <c r="U39" s="325"/>
      <c r="V39" s="389">
        <f>SUM(V33:V38)</f>
        <v>1429.9632000000001</v>
      </c>
      <c r="W39" s="327"/>
    </row>
    <row r="40" spans="1:23" ht="17.25" thickBot="1" thickTop="1">
      <c r="A40" s="122"/>
      <c r="B40" s="317"/>
      <c r="C40" s="312"/>
      <c r="D40" s="318"/>
      <c r="E40" s="319"/>
      <c r="F40" s="320"/>
      <c r="G40" s="321"/>
      <c r="H40" s="321"/>
      <c r="I40" s="643" t="s">
        <v>139</v>
      </c>
      <c r="J40" s="664">
        <f>+V39</f>
        <v>1429.9632000000001</v>
      </c>
      <c r="L40" s="319"/>
      <c r="M40" s="319"/>
      <c r="N40" s="319"/>
      <c r="O40" s="322"/>
      <c r="P40" s="319"/>
      <c r="Q40" s="319"/>
      <c r="R40" s="323"/>
      <c r="S40" s="324"/>
      <c r="T40" s="324"/>
      <c r="U40" s="325"/>
      <c r="W40" s="327"/>
    </row>
    <row r="41" spans="1:23" ht="13.5" customHeight="1" thickTop="1">
      <c r="A41" s="122"/>
      <c r="B41" s="317"/>
      <c r="C41" s="312"/>
      <c r="D41" s="318"/>
      <c r="E41" s="319"/>
      <c r="F41" s="320"/>
      <c r="G41" s="321"/>
      <c r="H41" s="321"/>
      <c r="I41" s="319"/>
      <c r="J41" s="309"/>
      <c r="K41" s="309"/>
      <c r="L41" s="319"/>
      <c r="M41" s="319"/>
      <c r="N41" s="319"/>
      <c r="O41" s="322"/>
      <c r="P41" s="319"/>
      <c r="Q41" s="319"/>
      <c r="R41" s="323"/>
      <c r="S41" s="324"/>
      <c r="T41" s="324"/>
      <c r="U41" s="325"/>
      <c r="W41" s="327"/>
    </row>
    <row r="42" spans="1:23" ht="16.5" customHeight="1">
      <c r="A42" s="122"/>
      <c r="B42" s="317"/>
      <c r="C42" s="328" t="s">
        <v>140</v>
      </c>
      <c r="D42" s="329" t="s">
        <v>141</v>
      </c>
      <c r="E42" s="319"/>
      <c r="F42" s="320"/>
      <c r="G42" s="321"/>
      <c r="H42" s="321"/>
      <c r="I42" s="319"/>
      <c r="J42" s="309"/>
      <c r="K42" s="309"/>
      <c r="L42" s="319"/>
      <c r="M42" s="319"/>
      <c r="N42" s="319"/>
      <c r="O42" s="322"/>
      <c r="P42" s="319"/>
      <c r="Q42" s="319"/>
      <c r="R42" s="323"/>
      <c r="S42" s="324"/>
      <c r="T42" s="324"/>
      <c r="U42" s="325"/>
      <c r="W42" s="327"/>
    </row>
    <row r="43" spans="1:23" ht="16.5" customHeight="1">
      <c r="A43" s="122"/>
      <c r="B43" s="317"/>
      <c r="C43" s="328"/>
      <c r="D43" s="318"/>
      <c r="E43" s="319"/>
      <c r="F43" s="320"/>
      <c r="G43" s="321"/>
      <c r="H43" s="321"/>
      <c r="I43" s="319"/>
      <c r="J43" s="309"/>
      <c r="K43" s="309"/>
      <c r="L43" s="319"/>
      <c r="M43" s="319"/>
      <c r="N43" s="319"/>
      <c r="O43" s="322"/>
      <c r="P43" s="319"/>
      <c r="Q43" s="319"/>
      <c r="R43" s="319"/>
      <c r="S43" s="323"/>
      <c r="T43" s="324"/>
      <c r="W43" s="327"/>
    </row>
    <row r="44" spans="2:23" s="122" customFormat="1" ht="16.5" customHeight="1">
      <c r="B44" s="317"/>
      <c r="C44" s="312"/>
      <c r="D44" s="337"/>
      <c r="E44" s="333" t="s">
        <v>146</v>
      </c>
      <c r="F44" s="315" t="s">
        <v>142</v>
      </c>
      <c r="G44" t="s">
        <v>153</v>
      </c>
      <c r="H44" s="637"/>
      <c r="I44" s="1354" t="s">
        <v>154</v>
      </c>
      <c r="J44" s="1354"/>
      <c r="K44" s="657"/>
      <c r="L44" s="657"/>
      <c r="M44" s="657"/>
      <c r="O44" s="612"/>
      <c r="P44"/>
      <c r="Q44" s="332"/>
      <c r="R44" s="332"/>
      <c r="S44" s="124"/>
      <c r="T44"/>
      <c r="U44"/>
      <c r="V44"/>
      <c r="W44" s="327"/>
    </row>
    <row r="45" spans="2:23" s="122" customFormat="1" ht="16.5" customHeight="1">
      <c r="B45" s="317"/>
      <c r="C45" s="312"/>
      <c r="D45" s="635"/>
      <c r="E45" s="658" t="s">
        <v>193</v>
      </c>
      <c r="F45" s="635">
        <v>500</v>
      </c>
      <c r="G45" s="635">
        <v>1</v>
      </c>
      <c r="H45" s="637"/>
      <c r="I45" s="1355">
        <f>G45*$F$20*$M$19</f>
        <v>22444.992</v>
      </c>
      <c r="J45" s="1355"/>
      <c r="K45" s="657"/>
      <c r="L45" s="657"/>
      <c r="M45" s="657"/>
      <c r="O45" s="1346"/>
      <c r="P45" s="1346"/>
      <c r="Q45" s="1346"/>
      <c r="R45" s="1346"/>
      <c r="S45" s="1346"/>
      <c r="T45" s="1346"/>
      <c r="U45" s="1346"/>
      <c r="V45"/>
      <c r="W45" s="327"/>
    </row>
    <row r="46" spans="2:23" s="122" customFormat="1" ht="16.5" customHeight="1">
      <c r="B46" s="317"/>
      <c r="C46" s="312"/>
      <c r="D46" s="635"/>
      <c r="E46" s="637"/>
      <c r="F46" s="657"/>
      <c r="G46" s="637"/>
      <c r="H46" s="637"/>
      <c r="I46" s="637"/>
      <c r="J46" s="657"/>
      <c r="K46" s="657"/>
      <c r="L46" s="657"/>
      <c r="M46" s="657"/>
      <c r="O46" s="1346"/>
      <c r="P46" s="1346"/>
      <c r="Q46" s="1346"/>
      <c r="R46" s="1346"/>
      <c r="S46" s="1346"/>
      <c r="T46" s="1346"/>
      <c r="U46" s="1346"/>
      <c r="V46"/>
      <c r="W46" s="327"/>
    </row>
    <row r="47" spans="2:23" s="122" customFormat="1" ht="16.5" customHeight="1">
      <c r="B47" s="317"/>
      <c r="C47" s="312"/>
      <c r="D47" s="636"/>
      <c r="E47" s="637"/>
      <c r="F47" s="657"/>
      <c r="G47" s="637"/>
      <c r="H47" s="637"/>
      <c r="I47" s="637"/>
      <c r="J47" s="657"/>
      <c r="K47" s="657"/>
      <c r="L47" s="657"/>
      <c r="M47" s="657"/>
      <c r="O47" s="1346"/>
      <c r="P47" s="1346"/>
      <c r="Q47" s="1346"/>
      <c r="R47" s="1346"/>
      <c r="S47" s="1346"/>
      <c r="T47" s="1346"/>
      <c r="U47" s="1346"/>
      <c r="V47"/>
      <c r="W47" s="327"/>
    </row>
    <row r="48" spans="1:23" ht="16.5" customHeight="1">
      <c r="A48" s="122"/>
      <c r="B48" s="317"/>
      <c r="C48" s="312"/>
      <c r="D48" s="636"/>
      <c r="E48" s="637"/>
      <c r="F48" s="657"/>
      <c r="G48" s="637"/>
      <c r="H48" s="637"/>
      <c r="I48" s="637"/>
      <c r="M48" s="635"/>
      <c r="N48" s="634"/>
      <c r="O48" s="634"/>
      <c r="P48" s="326"/>
      <c r="Q48" s="326"/>
      <c r="R48" s="326"/>
      <c r="S48" s="326"/>
      <c r="W48" s="327"/>
    </row>
    <row r="49" spans="1:23" ht="16.5" customHeight="1" thickBot="1">
      <c r="A49" s="122"/>
      <c r="B49" s="317"/>
      <c r="C49" s="312"/>
      <c r="D49" s="337"/>
      <c r="E49" s="569"/>
      <c r="F49" s="569"/>
      <c r="G49" s="315"/>
      <c r="I49" s="330"/>
      <c r="J49" s="612"/>
      <c r="L49" s="611"/>
      <c r="M49" s="330"/>
      <c r="N49" s="331"/>
      <c r="O49" s="332"/>
      <c r="P49" s="332"/>
      <c r="Q49" s="332"/>
      <c r="R49" s="332"/>
      <c r="S49" s="332"/>
      <c r="W49" s="327"/>
    </row>
    <row r="50" spans="1:23" ht="16.5" customHeight="1" thickBot="1" thickTop="1">
      <c r="A50" s="122"/>
      <c r="B50" s="317"/>
      <c r="C50" s="312"/>
      <c r="D50" s="315"/>
      <c r="E50" s="659"/>
      <c r="F50" s="659"/>
      <c r="G50" s="390"/>
      <c r="H50" s="4"/>
      <c r="I50" s="643" t="s">
        <v>163</v>
      </c>
      <c r="J50" s="664">
        <f>I45</f>
        <v>22444.992</v>
      </c>
      <c r="L50" s="608"/>
      <c r="M50" s="4"/>
      <c r="N50" s="610"/>
      <c r="O50" s="326"/>
      <c r="P50" s="326"/>
      <c r="Q50" s="326"/>
      <c r="R50" s="326"/>
      <c r="S50" s="326"/>
      <c r="W50" s="327"/>
    </row>
    <row r="51" spans="1:23" ht="16.5" customHeight="1" thickTop="1">
      <c r="A51" s="122"/>
      <c r="B51" s="317"/>
      <c r="C51" s="312"/>
      <c r="D51" s="309"/>
      <c r="E51" s="311"/>
      <c r="F51" s="315"/>
      <c r="G51" s="315"/>
      <c r="H51" s="316"/>
      <c r="J51" s="315"/>
      <c r="L51" s="334"/>
      <c r="M51" s="331"/>
      <c r="N51" s="331"/>
      <c r="O51" s="332"/>
      <c r="P51" s="332"/>
      <c r="Q51" s="332"/>
      <c r="R51" s="332"/>
      <c r="S51" s="332"/>
      <c r="W51" s="327"/>
    </row>
    <row r="52" spans="2:23" ht="16.5" customHeight="1">
      <c r="B52" s="317"/>
      <c r="C52" s="328" t="s">
        <v>147</v>
      </c>
      <c r="D52" s="335" t="s">
        <v>148</v>
      </c>
      <c r="E52" s="315"/>
      <c r="F52" s="336"/>
      <c r="G52" s="310"/>
      <c r="H52" s="309"/>
      <c r="I52" s="309"/>
      <c r="J52" s="309"/>
      <c r="K52" s="315"/>
      <c r="L52" s="315"/>
      <c r="M52" s="309"/>
      <c r="N52" s="315"/>
      <c r="O52" s="309"/>
      <c r="P52" s="309"/>
      <c r="Q52" s="309"/>
      <c r="R52" s="309"/>
      <c r="S52" s="309"/>
      <c r="T52" s="309"/>
      <c r="U52" s="309"/>
      <c r="W52" s="327"/>
    </row>
    <row r="53" spans="2:23" s="122" customFormat="1" ht="16.5" customHeight="1">
      <c r="B53" s="317"/>
      <c r="C53" s="312"/>
      <c r="D53" s="337" t="s">
        <v>149</v>
      </c>
      <c r="E53" s="338">
        <f>10*J40*J25/J50</f>
        <v>357.49080000000004</v>
      </c>
      <c r="G53" s="310"/>
      <c r="L53" s="315"/>
      <c r="N53" s="315"/>
      <c r="O53" s="316"/>
      <c r="V53"/>
      <c r="W53" s="327"/>
    </row>
    <row r="54" spans="2:23" s="122" customFormat="1" ht="12.75" customHeight="1">
      <c r="B54" s="317"/>
      <c r="C54" s="312"/>
      <c r="E54" s="607"/>
      <c r="F54" s="314"/>
      <c r="G54" s="310"/>
      <c r="J54" s="310"/>
      <c r="K54" s="340"/>
      <c r="L54" s="315"/>
      <c r="M54" s="315"/>
      <c r="N54" s="315"/>
      <c r="O54" s="316"/>
      <c r="P54" s="315"/>
      <c r="Q54" s="315"/>
      <c r="R54" s="605"/>
      <c r="S54" s="605"/>
      <c r="T54" s="605"/>
      <c r="U54" s="606"/>
      <c r="V54"/>
      <c r="W54" s="327"/>
    </row>
    <row r="55" spans="2:23" ht="16.5" customHeight="1">
      <c r="B55" s="317"/>
      <c r="C55" s="312"/>
      <c r="D55" s="341" t="s">
        <v>194</v>
      </c>
      <c r="E55" s="339"/>
      <c r="F55" s="314"/>
      <c r="G55" s="310"/>
      <c r="H55" s="309"/>
      <c r="I55" s="309"/>
      <c r="N55" s="315"/>
      <c r="O55" s="316"/>
      <c r="P55" s="315"/>
      <c r="Q55" s="315"/>
      <c r="R55" s="330"/>
      <c r="S55" s="330"/>
      <c r="T55" s="330"/>
      <c r="U55" s="331"/>
      <c r="W55" s="327"/>
    </row>
    <row r="56" spans="2:23" ht="13.5" customHeight="1" thickBot="1">
      <c r="B56" s="317"/>
      <c r="C56" s="312"/>
      <c r="D56" s="341"/>
      <c r="E56" s="339"/>
      <c r="F56" s="314"/>
      <c r="G56" s="310"/>
      <c r="H56" s="309"/>
      <c r="I56" s="309"/>
      <c r="N56" s="315"/>
      <c r="O56" s="316"/>
      <c r="P56" s="315"/>
      <c r="Q56" s="315"/>
      <c r="R56" s="330"/>
      <c r="S56" s="330"/>
      <c r="T56" s="330"/>
      <c r="U56" s="331"/>
      <c r="W56" s="327"/>
    </row>
    <row r="57" spans="2:23" s="619" customFormat="1" ht="21" thickBot="1" thickTop="1">
      <c r="B57" s="613"/>
      <c r="C57" s="614"/>
      <c r="D57" s="615"/>
      <c r="E57" s="616"/>
      <c r="F57" s="617"/>
      <c r="G57" s="618"/>
      <c r="I57" s="620" t="s">
        <v>150</v>
      </c>
      <c r="J57" s="621">
        <f>IF(E53&gt;3*J25,J25*3,E53)</f>
        <v>357.49080000000004</v>
      </c>
      <c r="M57" s="622"/>
      <c r="N57" s="622"/>
      <c r="O57" s="623"/>
      <c r="P57" s="622"/>
      <c r="Q57" s="622"/>
      <c r="R57" s="624"/>
      <c r="S57" s="624"/>
      <c r="T57" s="624"/>
      <c r="U57" s="625"/>
      <c r="V57"/>
      <c r="W57" s="626"/>
    </row>
    <row r="58" spans="2:23" ht="16.5" customHeight="1" thickBot="1" thickTop="1">
      <c r="B58" s="147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344"/>
      <c r="W58" s="342"/>
    </row>
    <row r="59" spans="2:23" ht="16.5" customHeight="1" thickTop="1">
      <c r="B59" s="12"/>
      <c r="C59" s="647"/>
      <c r="W59" s="12"/>
    </row>
  </sheetData>
  <sheetProtection password="CC12"/>
  <mergeCells count="17">
    <mergeCell ref="E31:F31"/>
    <mergeCell ref="E32:F32"/>
    <mergeCell ref="E33:F33"/>
    <mergeCell ref="E34:F34"/>
    <mergeCell ref="I45:J45"/>
    <mergeCell ref="N31:O31"/>
    <mergeCell ref="N33:O33"/>
    <mergeCell ref="N34:O34"/>
    <mergeCell ref="N35:O35"/>
    <mergeCell ref="E35:F35"/>
    <mergeCell ref="E36:F36"/>
    <mergeCell ref="N36:O36"/>
    <mergeCell ref="I44:J44"/>
    <mergeCell ref="O46:U46"/>
    <mergeCell ref="O47:U47"/>
    <mergeCell ref="N37:O37"/>
    <mergeCell ref="O45:U4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L114"/>
  <sheetViews>
    <sheetView zoomScale="75" zoomScaleNormal="75" workbookViewId="0" topLeftCell="D82">
      <selection activeCell="L101" sqref="L101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4.7109375" style="16" customWidth="1"/>
    <col min="4" max="4" width="40.7109375" style="16" customWidth="1"/>
    <col min="5" max="5" width="7.7109375" style="16" customWidth="1"/>
    <col min="6" max="6" width="8.710937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722"/>
      <c r="V1" s="713"/>
    </row>
    <row r="2" spans="2:22" s="108" customFormat="1" ht="26.25">
      <c r="B2" s="269" t="str">
        <f>'tot-0103'!B2</f>
        <v>ANEXO a la Resolución E.N.R.E. N°  113  /2002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714"/>
    </row>
    <row r="3" spans="1:22" s="115" customFormat="1" ht="11.25">
      <c r="A3" s="113" t="s">
        <v>53</v>
      </c>
      <c r="B3" s="189"/>
      <c r="U3" s="723"/>
      <c r="V3" s="723"/>
    </row>
    <row r="4" spans="1:22" s="115" customFormat="1" ht="11.25">
      <c r="A4" s="113" t="s">
        <v>54</v>
      </c>
      <c r="B4" s="189"/>
      <c r="U4" s="189"/>
      <c r="V4" s="723"/>
    </row>
    <row r="5" spans="21:22" ht="24" customHeight="1">
      <c r="U5" s="112"/>
      <c r="V5" s="713"/>
    </row>
    <row r="6" spans="2:178" s="724" customFormat="1" ht="23.25">
      <c r="B6" s="391" t="s">
        <v>195</v>
      </c>
      <c r="C6" s="391"/>
      <c r="D6" s="725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726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  <c r="FI6" s="391"/>
      <c r="FJ6" s="391"/>
      <c r="FK6" s="391"/>
      <c r="FL6" s="391"/>
      <c r="FM6" s="391"/>
      <c r="FN6" s="391"/>
      <c r="FO6" s="391"/>
      <c r="FP6" s="391"/>
      <c r="FQ6" s="391"/>
      <c r="FR6" s="391"/>
      <c r="FS6" s="391"/>
      <c r="FT6" s="391"/>
      <c r="FU6" s="391"/>
      <c r="FV6" s="391"/>
    </row>
    <row r="7" spans="2:178" s="122" customFormat="1" ht="14.25" customHeight="1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727"/>
      <c r="V7" s="727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</row>
    <row r="8" spans="2:178" s="728" customFormat="1" ht="23.25">
      <c r="B8" s="391" t="s">
        <v>1</v>
      </c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9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5"/>
      <c r="AR8" s="725"/>
      <c r="AS8" s="725"/>
      <c r="AT8" s="725"/>
      <c r="AU8" s="725"/>
      <c r="AV8" s="725"/>
      <c r="AW8" s="725"/>
      <c r="AX8" s="725"/>
      <c r="AY8" s="725"/>
      <c r="AZ8" s="725"/>
      <c r="BA8" s="725"/>
      <c r="BB8" s="725"/>
      <c r="BC8" s="725"/>
      <c r="BD8" s="725"/>
      <c r="BE8" s="725"/>
      <c r="BF8" s="725"/>
      <c r="BG8" s="725"/>
      <c r="BH8" s="725"/>
      <c r="BI8" s="725"/>
      <c r="BJ8" s="725"/>
      <c r="BK8" s="725"/>
      <c r="BL8" s="725"/>
      <c r="BM8" s="725"/>
      <c r="BN8" s="725"/>
      <c r="BO8" s="725"/>
      <c r="BP8" s="725"/>
      <c r="BQ8" s="725"/>
      <c r="BR8" s="725"/>
      <c r="BS8" s="725"/>
      <c r="BT8" s="725"/>
      <c r="BU8" s="725"/>
      <c r="BV8" s="725"/>
      <c r="BW8" s="725"/>
      <c r="BX8" s="725"/>
      <c r="BY8" s="725"/>
      <c r="BZ8" s="725"/>
      <c r="CA8" s="725"/>
      <c r="CB8" s="725"/>
      <c r="CC8" s="725"/>
      <c r="CD8" s="725"/>
      <c r="CE8" s="725"/>
      <c r="CF8" s="725"/>
      <c r="CG8" s="725"/>
      <c r="CH8" s="725"/>
      <c r="CI8" s="725"/>
      <c r="CJ8" s="725"/>
      <c r="CK8" s="725"/>
      <c r="CL8" s="725"/>
      <c r="CM8" s="725"/>
      <c r="CN8" s="725"/>
      <c r="CO8" s="725"/>
      <c r="CP8" s="725"/>
      <c r="CQ8" s="725"/>
      <c r="CR8" s="725"/>
      <c r="CS8" s="725"/>
      <c r="CT8" s="725"/>
      <c r="CU8" s="725"/>
      <c r="CV8" s="725"/>
      <c r="CW8" s="725"/>
      <c r="CX8" s="725"/>
      <c r="CY8" s="725"/>
      <c r="CZ8" s="725"/>
      <c r="DA8" s="725"/>
      <c r="DB8" s="725"/>
      <c r="DC8" s="725"/>
      <c r="DD8" s="725"/>
      <c r="DE8" s="725"/>
      <c r="DF8" s="725"/>
      <c r="DG8" s="725"/>
      <c r="DH8" s="725"/>
      <c r="DI8" s="725"/>
      <c r="DJ8" s="725"/>
      <c r="DK8" s="725"/>
      <c r="DL8" s="725"/>
      <c r="DM8" s="725"/>
      <c r="DN8" s="725"/>
      <c r="DO8" s="725"/>
      <c r="DP8" s="725"/>
      <c r="DQ8" s="725"/>
      <c r="DR8" s="725"/>
      <c r="DS8" s="725"/>
      <c r="DT8" s="725"/>
      <c r="DU8" s="725"/>
      <c r="DV8" s="725"/>
      <c r="DW8" s="725"/>
      <c r="DX8" s="725"/>
      <c r="DY8" s="725"/>
      <c r="DZ8" s="725"/>
      <c r="EA8" s="725"/>
      <c r="EB8" s="725"/>
      <c r="EC8" s="725"/>
      <c r="ED8" s="725"/>
      <c r="EE8" s="725"/>
      <c r="EF8" s="725"/>
      <c r="EG8" s="725"/>
      <c r="EH8" s="725"/>
      <c r="EI8" s="725"/>
      <c r="EJ8" s="725"/>
      <c r="EK8" s="725"/>
      <c r="EL8" s="725"/>
      <c r="EM8" s="725"/>
      <c r="EN8" s="725"/>
      <c r="EO8" s="725"/>
      <c r="EP8" s="725"/>
      <c r="EQ8" s="725"/>
      <c r="ER8" s="725"/>
      <c r="ES8" s="725"/>
      <c r="ET8" s="725"/>
      <c r="EU8" s="725"/>
      <c r="EV8" s="725"/>
      <c r="EW8" s="725"/>
      <c r="EX8" s="725"/>
      <c r="EY8" s="725"/>
      <c r="EZ8" s="725"/>
      <c r="FA8" s="725"/>
      <c r="FB8" s="725"/>
      <c r="FC8" s="725"/>
      <c r="FD8" s="725"/>
      <c r="FE8" s="725"/>
      <c r="FF8" s="725"/>
      <c r="FG8" s="725"/>
      <c r="FH8" s="725"/>
      <c r="FI8" s="725"/>
      <c r="FJ8" s="725"/>
      <c r="FK8" s="725"/>
      <c r="FL8" s="725"/>
      <c r="FM8" s="725"/>
      <c r="FN8" s="725"/>
      <c r="FO8" s="725"/>
      <c r="FP8" s="725"/>
      <c r="FQ8" s="725"/>
      <c r="FR8" s="725"/>
      <c r="FS8" s="725"/>
      <c r="FT8" s="725"/>
      <c r="FU8" s="725"/>
      <c r="FV8" s="725"/>
    </row>
    <row r="9" spans="2:178" s="122" customFormat="1" ht="15.75"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727"/>
      <c r="V9" s="727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</row>
    <row r="10" spans="2:178" s="728" customFormat="1" ht="23.25">
      <c r="B10" s="391" t="s">
        <v>196</v>
      </c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9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G10" s="725"/>
      <c r="AH10" s="725"/>
      <c r="AI10" s="725"/>
      <c r="AJ10" s="725"/>
      <c r="AK10" s="725"/>
      <c r="AL10" s="725"/>
      <c r="AM10" s="725"/>
      <c r="AN10" s="725"/>
      <c r="AO10" s="725"/>
      <c r="AP10" s="725"/>
      <c r="AQ10" s="725"/>
      <c r="AR10" s="725"/>
      <c r="AS10" s="725"/>
      <c r="AT10" s="725"/>
      <c r="AU10" s="725"/>
      <c r="AV10" s="725"/>
      <c r="AW10" s="725"/>
      <c r="AX10" s="725"/>
      <c r="AY10" s="725"/>
      <c r="AZ10" s="725"/>
      <c r="BA10" s="725"/>
      <c r="BB10" s="725"/>
      <c r="BC10" s="725"/>
      <c r="BD10" s="725"/>
      <c r="BE10" s="725"/>
      <c r="BF10" s="725"/>
      <c r="BG10" s="725"/>
      <c r="BH10" s="725"/>
      <c r="BI10" s="725"/>
      <c r="BJ10" s="725"/>
      <c r="BK10" s="725"/>
      <c r="BL10" s="725"/>
      <c r="BM10" s="725"/>
      <c r="BN10" s="725"/>
      <c r="BO10" s="725"/>
      <c r="BP10" s="725"/>
      <c r="BQ10" s="725"/>
      <c r="BR10" s="725"/>
      <c r="BS10" s="725"/>
      <c r="BT10" s="725"/>
      <c r="BU10" s="725"/>
      <c r="BV10" s="725"/>
      <c r="BW10" s="725"/>
      <c r="BX10" s="725"/>
      <c r="BY10" s="725"/>
      <c r="BZ10" s="725"/>
      <c r="CA10" s="725"/>
      <c r="CB10" s="725"/>
      <c r="CC10" s="725"/>
      <c r="CD10" s="725"/>
      <c r="CE10" s="725"/>
      <c r="CF10" s="725"/>
      <c r="CG10" s="725"/>
      <c r="CH10" s="725"/>
      <c r="CI10" s="725"/>
      <c r="CJ10" s="725"/>
      <c r="CK10" s="725"/>
      <c r="CL10" s="725"/>
      <c r="CM10" s="725"/>
      <c r="CN10" s="725"/>
      <c r="CO10" s="725"/>
      <c r="CP10" s="725"/>
      <c r="CQ10" s="725"/>
      <c r="CR10" s="725"/>
      <c r="CS10" s="725"/>
      <c r="CT10" s="725"/>
      <c r="CU10" s="725"/>
      <c r="CV10" s="725"/>
      <c r="CW10" s="725"/>
      <c r="CX10" s="725"/>
      <c r="CY10" s="725"/>
      <c r="CZ10" s="725"/>
      <c r="DA10" s="725"/>
      <c r="DB10" s="725"/>
      <c r="DC10" s="725"/>
      <c r="DD10" s="725"/>
      <c r="DE10" s="725"/>
      <c r="DF10" s="725"/>
      <c r="DG10" s="725"/>
      <c r="DH10" s="725"/>
      <c r="DI10" s="725"/>
      <c r="DJ10" s="725"/>
      <c r="DK10" s="725"/>
      <c r="DL10" s="725"/>
      <c r="DM10" s="725"/>
      <c r="DN10" s="725"/>
      <c r="DO10" s="725"/>
      <c r="DP10" s="725"/>
      <c r="DQ10" s="725"/>
      <c r="DR10" s="725"/>
      <c r="DS10" s="725"/>
      <c r="DT10" s="725"/>
      <c r="DU10" s="725"/>
      <c r="DV10" s="725"/>
      <c r="DW10" s="725"/>
      <c r="DX10" s="725"/>
      <c r="DY10" s="725"/>
      <c r="DZ10" s="725"/>
      <c r="EA10" s="725"/>
      <c r="EB10" s="725"/>
      <c r="EC10" s="725"/>
      <c r="ED10" s="725"/>
      <c r="EE10" s="725"/>
      <c r="EF10" s="725"/>
      <c r="EG10" s="725"/>
      <c r="EH10" s="725"/>
      <c r="EI10" s="725"/>
      <c r="EJ10" s="725"/>
      <c r="EK10" s="725"/>
      <c r="EL10" s="725"/>
      <c r="EM10" s="725"/>
      <c r="EN10" s="725"/>
      <c r="EO10" s="725"/>
      <c r="EP10" s="725"/>
      <c r="EQ10" s="725"/>
      <c r="ER10" s="725"/>
      <c r="ES10" s="725"/>
      <c r="ET10" s="725"/>
      <c r="EU10" s="725"/>
      <c r="EV10" s="725"/>
      <c r="EW10" s="725"/>
      <c r="EX10" s="725"/>
      <c r="EY10" s="725"/>
      <c r="EZ10" s="725"/>
      <c r="FA10" s="725"/>
      <c r="FB10" s="725"/>
      <c r="FC10" s="725"/>
      <c r="FD10" s="725"/>
      <c r="FE10" s="725"/>
      <c r="FF10" s="725"/>
      <c r="FG10" s="725"/>
      <c r="FH10" s="725"/>
      <c r="FI10" s="725"/>
      <c r="FJ10" s="725"/>
      <c r="FK10" s="725"/>
      <c r="FL10" s="725"/>
      <c r="FM10" s="725"/>
      <c r="FN10" s="725"/>
      <c r="FO10" s="725"/>
      <c r="FP10" s="725"/>
      <c r="FQ10" s="725"/>
      <c r="FR10" s="725"/>
      <c r="FS10" s="725"/>
      <c r="FT10" s="725"/>
      <c r="FU10" s="725"/>
      <c r="FV10" s="725"/>
    </row>
    <row r="11" spans="2:178" s="122" customFormat="1" ht="16.5" thickBot="1"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727"/>
      <c r="V11" s="727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</row>
    <row r="12" spans="2:178" s="122" customFormat="1" ht="16.5" thickTop="1">
      <c r="B12" s="730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2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</row>
    <row r="13" spans="2:178" s="122" customFormat="1" ht="19.5">
      <c r="B13" s="128" t="s">
        <v>205</v>
      </c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4"/>
      <c r="V13" s="727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</row>
    <row r="14" spans="2:21" s="122" customFormat="1" ht="16.5" thickBot="1">
      <c r="B14" s="317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735"/>
    </row>
    <row r="15" spans="2:21" s="392" customFormat="1" ht="33.75" customHeight="1" thickBot="1" thickTop="1">
      <c r="B15" s="393"/>
      <c r="C15" s="180"/>
      <c r="D15" s="180" t="s">
        <v>56</v>
      </c>
      <c r="E15" s="187" t="s">
        <v>75</v>
      </c>
      <c r="F15" s="187" t="s">
        <v>76</v>
      </c>
      <c r="G15" s="736" t="s">
        <v>197</v>
      </c>
      <c r="H15" s="736">
        <f>IF('[1]BASE'!CE15=0,"",'[1]BASE'!CE15)</f>
        <v>36586</v>
      </c>
      <c r="I15" s="736">
        <f>IF('[1]BASE'!CF15=0,"",'[1]BASE'!CF15)</f>
        <v>36617</v>
      </c>
      <c r="J15" s="736">
        <f>IF('[1]BASE'!CG15=0,"",'[1]BASE'!CG15)</f>
        <v>36647</v>
      </c>
      <c r="K15" s="736">
        <f>IF('[1]BASE'!CH15=0,"",'[1]BASE'!CH15)</f>
        <v>36678</v>
      </c>
      <c r="L15" s="736">
        <f>IF('[1]BASE'!CI15=0,"",'[1]BASE'!CI15)</f>
        <v>36708</v>
      </c>
      <c r="M15" s="736">
        <f>IF('[1]BASE'!CJ15=0,"",'[1]BASE'!CJ15)</f>
        <v>36739</v>
      </c>
      <c r="N15" s="736">
        <f>IF('[1]BASE'!CK15=0,"",'[1]BASE'!CK15)</f>
        <v>36770</v>
      </c>
      <c r="O15" s="736">
        <f>IF('[1]BASE'!CL15=0,"",'[1]BASE'!CL15)</f>
        <v>36800</v>
      </c>
      <c r="P15" s="736">
        <f>IF('[1]BASE'!CM15=0,"",'[1]BASE'!CM15)</f>
        <v>36831</v>
      </c>
      <c r="Q15" s="736">
        <f>IF('[1]BASE'!CN15=0,"",'[1]BASE'!CN15)</f>
        <v>36861</v>
      </c>
      <c r="R15" s="736">
        <f>IF('[1]BASE'!CO15=0,"",'[1]BASE'!CO15)</f>
        <v>36892</v>
      </c>
      <c r="S15" s="736">
        <f>IF('[1]BASE'!CP15=0,"",'[1]BASE'!CP15)</f>
        <v>36923</v>
      </c>
      <c r="T15" s="736">
        <f>IF('[1]BASE'!CQ15=0,"",'[1]BASE'!CQ15)</f>
        <v>36951</v>
      </c>
      <c r="U15" s="394"/>
    </row>
    <row r="16" spans="2:21" s="737" customFormat="1" ht="19.5" customHeight="1" thickTop="1">
      <c r="B16" s="738"/>
      <c r="C16" s="739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1"/>
      <c r="U16" s="742"/>
    </row>
    <row r="17" spans="2:21" s="737" customFormat="1" ht="19.5" customHeight="1">
      <c r="B17" s="738"/>
      <c r="C17" s="743">
        <f>IF('[1]BASE'!C17=0,"",'[1]BASE'!C17)</f>
        <v>1</v>
      </c>
      <c r="D17" s="743" t="str">
        <f>IF('[1]BASE'!D17=0,"",'[1]BASE'!D17)</f>
        <v>ABASTO - OLAVARRIA 1</v>
      </c>
      <c r="E17" s="743">
        <f>IF('[1]BASE'!E17=0,"",'[1]BASE'!E17)</f>
        <v>500</v>
      </c>
      <c r="F17" s="743">
        <f>IF('[1]BASE'!F17=0,"",'[1]BASE'!F17)</f>
        <v>291</v>
      </c>
      <c r="G17" s="744" t="str">
        <f>IF('[1]BASE'!G17=0,"",'[1]BASE'!G17)</f>
        <v>B</v>
      </c>
      <c r="H17" s="744">
        <f>IF('[1]BASE'!CE17=0,"",'[1]BASE'!CE17)</f>
      </c>
      <c r="I17" s="744">
        <f>IF('[1]BASE'!CF17=0,"",'[1]BASE'!CF17)</f>
        <v>1</v>
      </c>
      <c r="J17" s="744">
        <f>IF('[1]BASE'!CG17=0,"",'[1]BASE'!CG17)</f>
      </c>
      <c r="K17" s="744">
        <f>IF('[1]BASE'!CH17=0,"",'[1]BASE'!CH17)</f>
      </c>
      <c r="L17" s="744">
        <f>IF('[1]BASE'!CI17=0,"",'[1]BASE'!CI17)</f>
      </c>
      <c r="M17" s="744">
        <f>IF('[1]BASE'!CJ17=0,"",'[1]BASE'!CJ17)</f>
      </c>
      <c r="N17" s="744">
        <f>IF('[1]BASE'!CK17=0,"",'[1]BASE'!CK17)</f>
        <v>1</v>
      </c>
      <c r="O17" s="744">
        <f>IF('[1]BASE'!CL17=0,"",'[1]BASE'!CL17)</f>
      </c>
      <c r="P17" s="744">
        <f>IF('[1]BASE'!CM17=0,"",'[1]BASE'!CM17)</f>
      </c>
      <c r="Q17" s="744">
        <f>IF('[1]BASE'!CN17=0,"",'[1]BASE'!CN17)</f>
        <v>1</v>
      </c>
      <c r="R17" s="744">
        <f>IF('[1]BASE'!CO17=0,"",'[1]BASE'!CO17)</f>
        <v>1</v>
      </c>
      <c r="S17" s="744">
        <f>IF('[1]BASE'!CP17=0,"",'[1]BASE'!CP17)</f>
      </c>
      <c r="T17" s="745"/>
      <c r="U17" s="742"/>
    </row>
    <row r="18" spans="2:21" s="737" customFormat="1" ht="19.5" customHeight="1">
      <c r="B18" s="738"/>
      <c r="C18" s="746">
        <f>IF('[1]BASE'!C18=0,"",'[1]BASE'!C18)</f>
        <v>2</v>
      </c>
      <c r="D18" s="746" t="str">
        <f>IF('[1]BASE'!D18=0,"",'[1]BASE'!D18)</f>
        <v>ABASTO - OLAVARRIA 2</v>
      </c>
      <c r="E18" s="746">
        <f>IF('[1]BASE'!E18=0,"",'[1]BASE'!E18)</f>
        <v>500</v>
      </c>
      <c r="F18" s="746">
        <f>IF('[1]BASE'!F18=0,"",'[1]BASE'!F18)</f>
        <v>301.9</v>
      </c>
      <c r="G18" s="747">
        <f>IF('[1]BASE'!G18=0,"",'[1]BASE'!G18)</f>
      </c>
      <c r="H18" s="747">
        <f>IF('[1]BASE'!CE18=0,"",'[1]BASE'!CE18)</f>
      </c>
      <c r="I18" s="747">
        <f>IF('[1]BASE'!CF18=0,"",'[1]BASE'!CF18)</f>
      </c>
      <c r="J18" s="747">
        <f>IF('[1]BASE'!CG18=0,"",'[1]BASE'!CG18)</f>
      </c>
      <c r="K18" s="747">
        <f>IF('[1]BASE'!CH18=0,"",'[1]BASE'!CH18)</f>
        <v>1</v>
      </c>
      <c r="L18" s="747">
        <f>IF('[1]BASE'!CI18=0,"",'[1]BASE'!CI18)</f>
      </c>
      <c r="M18" s="747">
        <f>IF('[1]BASE'!CJ18=0,"",'[1]BASE'!CJ18)</f>
        <v>1</v>
      </c>
      <c r="N18" s="747">
        <f>IF('[1]BASE'!CK18=0,"",'[1]BASE'!CK18)</f>
      </c>
      <c r="O18" s="747">
        <f>IF('[1]BASE'!CL18=0,"",'[1]BASE'!CL18)</f>
      </c>
      <c r="P18" s="747">
        <f>IF('[1]BASE'!CM18=0,"",'[1]BASE'!CM18)</f>
      </c>
      <c r="Q18" s="747">
        <f>IF('[1]BASE'!CN18=0,"",'[1]BASE'!CN18)</f>
        <v>2</v>
      </c>
      <c r="R18" s="747">
        <f>IF('[1]BASE'!CO18=0,"",'[1]BASE'!CO18)</f>
        <v>1</v>
      </c>
      <c r="S18" s="747">
        <f>IF('[1]BASE'!CP18=0,"",'[1]BASE'!CP18)</f>
      </c>
      <c r="T18" s="745"/>
      <c r="U18" s="742"/>
    </row>
    <row r="19" spans="2:21" s="737" customFormat="1" ht="19.5" customHeight="1">
      <c r="B19" s="738"/>
      <c r="C19" s="748">
        <f>IF('[1]BASE'!C19=0,"",'[1]BASE'!C19)</f>
        <v>3</v>
      </c>
      <c r="D19" s="748" t="str">
        <f>IF('[1]BASE'!D19=0,"",'[1]BASE'!D19)</f>
        <v>AGUA DEL CAJON - CHOCON OESTE</v>
      </c>
      <c r="E19" s="748">
        <f>IF('[1]BASE'!E19=0,"",'[1]BASE'!E19)</f>
        <v>500</v>
      </c>
      <c r="F19" s="748">
        <f>IF('[1]BASE'!F19=0,"",'[1]BASE'!F19)</f>
        <v>52</v>
      </c>
      <c r="G19" s="749">
        <f>IF('[1]BASE'!G19=0,"",'[1]BASE'!G19)</f>
      </c>
      <c r="H19" s="744">
        <f>IF('[1]BASE'!CE19=0,"",'[1]BASE'!CE19)</f>
      </c>
      <c r="I19" s="744">
        <f>IF('[1]BASE'!CF19=0,"",'[1]BASE'!CF19)</f>
      </c>
      <c r="J19" s="744">
        <f>IF('[1]BASE'!CG19=0,"",'[1]BASE'!CG19)</f>
      </c>
      <c r="K19" s="744">
        <f>IF('[1]BASE'!CH19=0,"",'[1]BASE'!CH19)</f>
      </c>
      <c r="L19" s="744">
        <f>IF('[1]BASE'!CI19=0,"",'[1]BASE'!CI19)</f>
      </c>
      <c r="M19" s="744">
        <f>IF('[1]BASE'!CJ19=0,"",'[1]BASE'!CJ19)</f>
        <v>1</v>
      </c>
      <c r="N19" s="744">
        <f>IF('[1]BASE'!CK19=0,"",'[1]BASE'!CK19)</f>
      </c>
      <c r="O19" s="744">
        <f>IF('[1]BASE'!CL19=0,"",'[1]BASE'!CL19)</f>
      </c>
      <c r="P19" s="744">
        <f>IF('[1]BASE'!CM19=0,"",'[1]BASE'!CM19)</f>
      </c>
      <c r="Q19" s="744">
        <f>IF('[1]BASE'!CN19=0,"",'[1]BASE'!CN19)</f>
      </c>
      <c r="R19" s="744">
        <f>IF('[1]BASE'!CO19=0,"",'[1]BASE'!CO19)</f>
      </c>
      <c r="S19" s="744">
        <f>IF('[1]BASE'!CP19=0,"",'[1]BASE'!CP19)</f>
      </c>
      <c r="T19" s="745"/>
      <c r="U19" s="742"/>
    </row>
    <row r="20" spans="2:21" s="737" customFormat="1" ht="19.5" customHeight="1">
      <c r="B20" s="738"/>
      <c r="C20" s="746">
        <f>IF('[1]BASE'!C20=0,"",'[1]BASE'!C20)</f>
        <v>4</v>
      </c>
      <c r="D20" s="746" t="str">
        <f>IF('[1]BASE'!D20=0,"",'[1]BASE'!D20)</f>
        <v>ALICURA - E.T. P.del A. 1 (5LG1)</v>
      </c>
      <c r="E20" s="746">
        <f>IF('[1]BASE'!E20=0,"",'[1]BASE'!E20)</f>
        <v>500</v>
      </c>
      <c r="F20" s="746">
        <f>IF('[1]BASE'!F20=0,"",'[1]BASE'!F20)</f>
        <v>77.2</v>
      </c>
      <c r="G20" s="747" t="str">
        <f>IF('[1]BASE'!G20=0,"",'[1]BASE'!G20)</f>
        <v>C</v>
      </c>
      <c r="H20" s="747">
        <f>IF('[1]BASE'!CE20=0,"",'[1]BASE'!CE20)</f>
      </c>
      <c r="I20" s="747">
        <f>IF('[1]BASE'!CF20=0,"",'[1]BASE'!CF20)</f>
      </c>
      <c r="J20" s="747">
        <f>IF('[1]BASE'!CG20=0,"",'[1]BASE'!CG20)</f>
      </c>
      <c r="K20" s="747">
        <f>IF('[1]BASE'!CH20=0,"",'[1]BASE'!CH20)</f>
      </c>
      <c r="L20" s="747">
        <f>IF('[1]BASE'!CI20=0,"",'[1]BASE'!CI20)</f>
      </c>
      <c r="M20" s="747">
        <f>IF('[1]BASE'!CJ20=0,"",'[1]BASE'!CJ20)</f>
      </c>
      <c r="N20" s="747">
        <f>IF('[1]BASE'!CK20=0,"",'[1]BASE'!CK20)</f>
      </c>
      <c r="O20" s="747">
        <f>IF('[1]BASE'!CL20=0,"",'[1]BASE'!CL20)</f>
      </c>
      <c r="P20" s="747">
        <f>IF('[1]BASE'!CM20=0,"",'[1]BASE'!CM20)</f>
      </c>
      <c r="Q20" s="747">
        <f>IF('[1]BASE'!CN20=0,"",'[1]BASE'!CN20)</f>
      </c>
      <c r="R20" s="747">
        <f>IF('[1]BASE'!CO20=0,"",'[1]BASE'!CO20)</f>
        <v>1</v>
      </c>
      <c r="S20" s="747">
        <f>IF('[1]BASE'!CP20=0,"",'[1]BASE'!CP20)</f>
      </c>
      <c r="T20" s="745"/>
      <c r="U20" s="742"/>
    </row>
    <row r="21" spans="2:21" s="737" customFormat="1" ht="19.5" customHeight="1">
      <c r="B21" s="738"/>
      <c r="C21" s="748">
        <f>IF('[1]BASE'!C21=0,"",'[1]BASE'!C21)</f>
        <v>5</v>
      </c>
      <c r="D21" s="748" t="str">
        <f>IF('[1]BASE'!D21=0,"",'[1]BASE'!D21)</f>
        <v>ALICURA - E.T. P.del A. 2 (5LG2)</v>
      </c>
      <c r="E21" s="748">
        <f>IF('[1]BASE'!E21=0,"",'[1]BASE'!E21)</f>
        <v>500</v>
      </c>
      <c r="F21" s="748">
        <f>IF('[1]BASE'!F21=0,"",'[1]BASE'!F21)</f>
        <v>77.1</v>
      </c>
      <c r="G21" s="749" t="str">
        <f>IF('[1]BASE'!G21=0,"",'[1]BASE'!G21)</f>
        <v>C</v>
      </c>
      <c r="H21" s="749">
        <f>IF('[1]BASE'!CE21=0,"",'[1]BASE'!CE21)</f>
      </c>
      <c r="I21" s="749">
        <f>IF('[1]BASE'!CF21=0,"",'[1]BASE'!CF21)</f>
      </c>
      <c r="J21" s="749">
        <f>IF('[1]BASE'!CG21=0,"",'[1]BASE'!CG21)</f>
      </c>
      <c r="K21" s="749">
        <f>IF('[1]BASE'!CH21=0,"",'[1]BASE'!CH21)</f>
      </c>
      <c r="L21" s="749">
        <f>IF('[1]BASE'!CI21=0,"",'[1]BASE'!CI21)</f>
      </c>
      <c r="M21" s="749">
        <f>IF('[1]BASE'!CJ21=0,"",'[1]BASE'!CJ21)</f>
      </c>
      <c r="N21" s="749">
        <f>IF('[1]BASE'!CK21=0,"",'[1]BASE'!CK21)</f>
      </c>
      <c r="O21" s="749">
        <f>IF('[1]BASE'!CL21=0,"",'[1]BASE'!CL21)</f>
        <v>1</v>
      </c>
      <c r="P21" s="749">
        <f>IF('[1]BASE'!CM21=0,"",'[1]BASE'!CM21)</f>
      </c>
      <c r="Q21" s="749">
        <f>IF('[1]BASE'!CN21=0,"",'[1]BASE'!CN21)</f>
        <v>4</v>
      </c>
      <c r="R21" s="749">
        <f>IF('[1]BASE'!CO21=0,"",'[1]BASE'!CO21)</f>
        <v>2</v>
      </c>
      <c r="S21" s="749">
        <f>IF('[1]BASE'!CP21=0,"",'[1]BASE'!CP21)</f>
      </c>
      <c r="T21" s="745"/>
      <c r="U21" s="742"/>
    </row>
    <row r="22" spans="2:21" s="737" customFormat="1" ht="19.5" customHeight="1">
      <c r="B22" s="738"/>
      <c r="C22" s="746">
        <f>IF('[1]BASE'!C22=0,"",'[1]BASE'!C22)</f>
        <v>6</v>
      </c>
      <c r="D22" s="746" t="str">
        <f>IF('[1]BASE'!D22=0,"",'[1]BASE'!D22)</f>
        <v>ALMAFUERTE - EMBALSE </v>
      </c>
      <c r="E22" s="746">
        <f>IF('[1]BASE'!E22=0,"",'[1]BASE'!E22)</f>
        <v>500</v>
      </c>
      <c r="F22" s="746">
        <f>IF('[1]BASE'!F22=0,"",'[1]BASE'!F22)</f>
        <v>12</v>
      </c>
      <c r="G22" s="747" t="str">
        <f>IF('[1]BASE'!G22=0,"",'[1]BASE'!G22)</f>
        <v>A</v>
      </c>
      <c r="H22" s="747">
        <f>IF('[1]BASE'!CE22=0,"",'[1]BASE'!CE22)</f>
      </c>
      <c r="I22" s="747">
        <f>IF('[1]BASE'!CF22=0,"",'[1]BASE'!CF22)</f>
      </c>
      <c r="J22" s="747">
        <f>IF('[1]BASE'!CG22=0,"",'[1]BASE'!CG22)</f>
      </c>
      <c r="K22" s="747">
        <f>IF('[1]BASE'!CH22=0,"",'[1]BASE'!CH22)</f>
      </c>
      <c r="L22" s="747">
        <f>IF('[1]BASE'!CI22=0,"",'[1]BASE'!CI22)</f>
      </c>
      <c r="M22" s="747">
        <f>IF('[1]BASE'!CJ22=0,"",'[1]BASE'!CJ22)</f>
      </c>
      <c r="N22" s="747">
        <f>IF('[1]BASE'!CK22=0,"",'[1]BASE'!CK22)</f>
      </c>
      <c r="O22" s="747">
        <f>IF('[1]BASE'!CL22=0,"",'[1]BASE'!CL22)</f>
      </c>
      <c r="P22" s="747">
        <f>IF('[1]BASE'!CM22=0,"",'[1]BASE'!CM22)</f>
      </c>
      <c r="Q22" s="747">
        <f>IF('[1]BASE'!CN22=0,"",'[1]BASE'!CN22)</f>
      </c>
      <c r="R22" s="747">
        <f>IF('[1]BASE'!CO22=0,"",'[1]BASE'!CO22)</f>
      </c>
      <c r="S22" s="747">
        <f>IF('[1]BASE'!CP22=0,"",'[1]BASE'!CP22)</f>
      </c>
      <c r="T22" s="745"/>
      <c r="U22" s="742"/>
    </row>
    <row r="23" spans="2:21" s="737" customFormat="1" ht="19.5" customHeight="1">
      <c r="B23" s="738"/>
      <c r="C23" s="748">
        <f>IF('[1]BASE'!C23=0,"",'[1]BASE'!C23)</f>
        <v>7</v>
      </c>
      <c r="D23" s="748" t="str">
        <f>IF('[1]BASE'!D23=0,"",'[1]BASE'!D23)</f>
        <v> ALMAFUERTE - ROSARIO OESTE</v>
      </c>
      <c r="E23" s="748">
        <f>IF('[1]BASE'!E23=0,"",'[1]BASE'!E23)</f>
        <v>500</v>
      </c>
      <c r="F23" s="748">
        <f>IF('[1]BASE'!F23=0,"",'[1]BASE'!F23)</f>
        <v>345</v>
      </c>
      <c r="G23" s="749" t="str">
        <f>IF('[1]BASE'!G23=0,"",'[1]BASE'!G23)</f>
        <v>A</v>
      </c>
      <c r="H23" s="749">
        <f>IF('[1]BASE'!CE23=0,"",'[1]BASE'!CE23)</f>
      </c>
      <c r="I23" s="749">
        <f>IF('[1]BASE'!CF23=0,"",'[1]BASE'!CF23)</f>
      </c>
      <c r="J23" s="749">
        <f>IF('[1]BASE'!CG23=0,"",'[1]BASE'!CG23)</f>
      </c>
      <c r="K23" s="749">
        <f>IF('[1]BASE'!CH23=0,"",'[1]BASE'!CH23)</f>
      </c>
      <c r="L23" s="749">
        <f>IF('[1]BASE'!CI23=0,"",'[1]BASE'!CI23)</f>
      </c>
      <c r="M23" s="749">
        <f>IF('[1]BASE'!CJ23=0,"",'[1]BASE'!CJ23)</f>
      </c>
      <c r="N23" s="749">
        <f>IF('[1]BASE'!CK23=0,"",'[1]BASE'!CK23)</f>
      </c>
      <c r="O23" s="749">
        <f>IF('[1]BASE'!CL23=0,"",'[1]BASE'!CL23)</f>
      </c>
      <c r="P23" s="749">
        <f>IF('[1]BASE'!CM23=0,"",'[1]BASE'!CM23)</f>
      </c>
      <c r="Q23" s="749">
        <f>IF('[1]BASE'!CN23=0,"",'[1]BASE'!CN23)</f>
      </c>
      <c r="R23" s="749">
        <f>IF('[1]BASE'!CO23=0,"",'[1]BASE'!CO23)</f>
      </c>
      <c r="S23" s="749">
        <f>IF('[1]BASE'!CP23=0,"",'[1]BASE'!CP23)</f>
      </c>
      <c r="T23" s="745"/>
      <c r="U23" s="742"/>
    </row>
    <row r="24" spans="2:21" s="737" customFormat="1" ht="19.5" customHeight="1">
      <c r="B24" s="738"/>
      <c r="C24" s="746">
        <f>IF('[1]BASE'!C24=0,"",'[1]BASE'!C24)</f>
        <v>8</v>
      </c>
      <c r="D24" s="746" t="str">
        <f>IF('[1]BASE'!D24=0,"",'[1]BASE'!D24)</f>
        <v>BAHIA BLANCA - CHOELE CHOEL 1</v>
      </c>
      <c r="E24" s="746">
        <f>IF('[1]BASE'!E24=0,"",'[1]BASE'!E24)</f>
        <v>500</v>
      </c>
      <c r="F24" s="746">
        <f>IF('[1]BASE'!F24=0,"",'[1]BASE'!F24)</f>
        <v>348</v>
      </c>
      <c r="G24" s="747" t="str">
        <f>IF('[1]BASE'!G24=0,"",'[1]BASE'!G24)</f>
        <v>B</v>
      </c>
      <c r="H24" s="747">
        <f>IF('[1]BASE'!CE24=0,"",'[1]BASE'!CE24)</f>
      </c>
      <c r="I24" s="747">
        <f>IF('[1]BASE'!CF24=0,"",'[1]BASE'!CF24)</f>
      </c>
      <c r="J24" s="747">
        <f>IF('[1]BASE'!CG24=0,"",'[1]BASE'!CG24)</f>
      </c>
      <c r="K24" s="747">
        <f>IF('[1]BASE'!CH24=0,"",'[1]BASE'!CH24)</f>
      </c>
      <c r="L24" s="747">
        <f>IF('[1]BASE'!CI24=0,"",'[1]BASE'!CI24)</f>
      </c>
      <c r="M24" s="747">
        <f>IF('[1]BASE'!CJ24=0,"",'[1]BASE'!CJ24)</f>
      </c>
      <c r="N24" s="747">
        <f>IF('[1]BASE'!CK24=0,"",'[1]BASE'!CK24)</f>
        <v>1</v>
      </c>
      <c r="O24" s="747">
        <f>IF('[1]BASE'!CL24=0,"",'[1]BASE'!CL24)</f>
      </c>
      <c r="P24" s="747">
        <f>IF('[1]BASE'!CM24=0,"",'[1]BASE'!CM24)</f>
        <v>1</v>
      </c>
      <c r="Q24" s="747">
        <f>IF('[1]BASE'!CN24=0,"",'[1]BASE'!CN24)</f>
      </c>
      <c r="R24" s="747">
        <f>IF('[1]BASE'!CO24=0,"",'[1]BASE'!CO24)</f>
      </c>
      <c r="S24" s="747">
        <f>IF('[1]BASE'!CP24=0,"",'[1]BASE'!CP24)</f>
      </c>
      <c r="T24" s="745"/>
      <c r="U24" s="742"/>
    </row>
    <row r="25" spans="2:21" s="737" customFormat="1" ht="19.5" customHeight="1">
      <c r="B25" s="738"/>
      <c r="C25" s="748">
        <f>IF('[1]BASE'!C25=0,"",'[1]BASE'!C25)</f>
        <v>9</v>
      </c>
      <c r="D25" s="748" t="str">
        <f>IF('[1]BASE'!D25=0,"",'[1]BASE'!D25)</f>
        <v>BAHIA BLANCA - CHOELE CHOEL 2</v>
      </c>
      <c r="E25" s="748">
        <f>IF('[1]BASE'!E25=0,"",'[1]BASE'!E25)</f>
        <v>500</v>
      </c>
      <c r="F25" s="748">
        <f>IF('[1]BASE'!F25=0,"",'[1]BASE'!F25)</f>
        <v>348.4</v>
      </c>
      <c r="G25" s="749">
        <f>IF('[1]BASE'!G25=0,"",'[1]BASE'!G25)</f>
      </c>
      <c r="H25" s="749">
        <f>IF('[1]BASE'!CE25=0,"",'[1]BASE'!CE25)</f>
      </c>
      <c r="I25" s="749">
        <f>IF('[1]BASE'!CF25=0,"",'[1]BASE'!CF25)</f>
      </c>
      <c r="J25" s="749">
        <f>IF('[1]BASE'!CG25=0,"",'[1]BASE'!CG25)</f>
      </c>
      <c r="K25" s="749">
        <f>IF('[1]BASE'!CH25=0,"",'[1]BASE'!CH25)</f>
      </c>
      <c r="L25" s="749">
        <f>IF('[1]BASE'!CI25=0,"",'[1]BASE'!CI25)</f>
      </c>
      <c r="M25" s="749">
        <f>IF('[1]BASE'!CJ25=0,"",'[1]BASE'!CJ25)</f>
      </c>
      <c r="N25" s="749">
        <f>IF('[1]BASE'!CK25=0,"",'[1]BASE'!CK25)</f>
      </c>
      <c r="O25" s="749">
        <f>IF('[1]BASE'!CL25=0,"",'[1]BASE'!CL25)</f>
      </c>
      <c r="P25" s="749">
        <f>IF('[1]BASE'!CM25=0,"",'[1]BASE'!CM25)</f>
        <v>1</v>
      </c>
      <c r="Q25" s="749">
        <f>IF('[1]BASE'!CN25=0,"",'[1]BASE'!CN25)</f>
      </c>
      <c r="R25" s="749">
        <f>IF('[1]BASE'!CO25=0,"",'[1]BASE'!CO25)</f>
        <v>1</v>
      </c>
      <c r="S25" s="749">
        <f>IF('[1]BASE'!CP25=0,"",'[1]BASE'!CP25)</f>
      </c>
      <c r="T25" s="745"/>
      <c r="U25" s="742"/>
    </row>
    <row r="26" spans="2:21" s="737" customFormat="1" ht="19.5" customHeight="1">
      <c r="B26" s="738"/>
      <c r="C26" s="746">
        <f>IF('[1]BASE'!C26=0,"",'[1]BASE'!C26)</f>
        <v>10</v>
      </c>
      <c r="D26" s="746" t="str">
        <f>IF('[1]BASE'!D26=0,"",'[1]BASE'!D26)</f>
        <v>CERR. de la CTA - P.BAND. (A3)</v>
      </c>
      <c r="E26" s="746">
        <f>IF('[1]BASE'!E26=0,"",'[1]BASE'!E26)</f>
        <v>500</v>
      </c>
      <c r="F26" s="746">
        <f>IF('[1]BASE'!F26=0,"",'[1]BASE'!F26)</f>
        <v>27</v>
      </c>
      <c r="G26" s="747" t="str">
        <f>IF('[1]BASE'!G26=0,"",'[1]BASE'!G26)</f>
        <v>C</v>
      </c>
      <c r="H26" s="747">
        <f>IF('[1]BASE'!CE26=0,"",'[1]BASE'!CE26)</f>
        <v>3</v>
      </c>
      <c r="I26" s="747">
        <f>IF('[1]BASE'!CF26=0,"",'[1]BASE'!CF26)</f>
      </c>
      <c r="J26" s="747">
        <f>IF('[1]BASE'!CG26=0,"",'[1]BASE'!CG26)</f>
      </c>
      <c r="K26" s="747">
        <f>IF('[1]BASE'!CH26=0,"",'[1]BASE'!CH26)</f>
      </c>
      <c r="L26" s="747">
        <f>IF('[1]BASE'!CI26=0,"",'[1]BASE'!CI26)</f>
      </c>
      <c r="M26" s="747">
        <f>IF('[1]BASE'!CJ26=0,"",'[1]BASE'!CJ26)</f>
      </c>
      <c r="N26" s="747">
        <f>IF('[1]BASE'!CK26=0,"",'[1]BASE'!CK26)</f>
      </c>
      <c r="O26" s="747">
        <f>IF('[1]BASE'!CL26=0,"",'[1]BASE'!CL26)</f>
      </c>
      <c r="P26" s="747">
        <f>IF('[1]BASE'!CM26=0,"",'[1]BASE'!CM26)</f>
        <v>1</v>
      </c>
      <c r="Q26" s="747">
        <f>IF('[1]BASE'!CN26=0,"",'[1]BASE'!CN26)</f>
      </c>
      <c r="R26" s="747">
        <f>IF('[1]BASE'!CO26=0,"",'[1]BASE'!CO26)</f>
        <v>1</v>
      </c>
      <c r="S26" s="747">
        <f>IF('[1]BASE'!CP26=0,"",'[1]BASE'!CP26)</f>
      </c>
      <c r="T26" s="745"/>
      <c r="U26" s="742"/>
    </row>
    <row r="27" spans="2:21" s="737" customFormat="1" ht="19.5" customHeight="1">
      <c r="B27" s="738"/>
      <c r="C27" s="748">
        <f>IF('[1]BASE'!C27=0,"",'[1]BASE'!C27)</f>
        <v>11</v>
      </c>
      <c r="D27" s="748" t="str">
        <f>IF('[1]BASE'!D27=0,"",'[1]BASE'!D27)</f>
        <v>COLONIA ELIA - CAMPANA</v>
      </c>
      <c r="E27" s="748">
        <f>IF('[1]BASE'!E27=0,"",'[1]BASE'!E27)</f>
        <v>500</v>
      </c>
      <c r="F27" s="748">
        <f>IF('[1]BASE'!F27=0,"",'[1]BASE'!F27)</f>
        <v>166</v>
      </c>
      <c r="G27" s="749" t="str">
        <f>IF('[1]BASE'!G27=0,"",'[1]BASE'!G27)</f>
        <v>A</v>
      </c>
      <c r="H27" s="749">
        <f>IF('[1]BASE'!CE27=0,"",'[1]BASE'!CE27)</f>
        <v>1</v>
      </c>
      <c r="I27" s="749">
        <f>IF('[1]BASE'!CF27=0,"",'[1]BASE'!CF27)</f>
      </c>
      <c r="J27" s="749">
        <f>IF('[1]BASE'!CG27=0,"",'[1]BASE'!CG27)</f>
      </c>
      <c r="K27" s="749">
        <f>IF('[1]BASE'!CH27=0,"",'[1]BASE'!CH27)</f>
      </c>
      <c r="L27" s="749">
        <f>IF('[1]BASE'!CI27=0,"",'[1]BASE'!CI27)</f>
      </c>
      <c r="M27" s="749">
        <f>IF('[1]BASE'!CJ27=0,"",'[1]BASE'!CJ27)</f>
      </c>
      <c r="N27" s="749">
        <f>IF('[1]BASE'!CK27=0,"",'[1]BASE'!CK27)</f>
      </c>
      <c r="O27" s="749">
        <f>IF('[1]BASE'!CL27=0,"",'[1]BASE'!CL27)</f>
      </c>
      <c r="P27" s="749">
        <f>IF('[1]BASE'!CM27=0,"",'[1]BASE'!CM27)</f>
      </c>
      <c r="Q27" s="749">
        <f>IF('[1]BASE'!CN27=0,"",'[1]BASE'!CN27)</f>
      </c>
      <c r="R27" s="749">
        <f>IF('[1]BASE'!CO27=0,"",'[1]BASE'!CO27)</f>
      </c>
      <c r="S27" s="749">
        <f>IF('[1]BASE'!CP27=0,"",'[1]BASE'!CP27)</f>
      </c>
      <c r="T27" s="745"/>
      <c r="U27" s="742"/>
    </row>
    <row r="28" spans="2:21" s="737" customFormat="1" ht="19.5" customHeight="1">
      <c r="B28" s="738"/>
      <c r="C28" s="746">
        <f>IF('[1]BASE'!C28=0,"",'[1]BASE'!C28)</f>
        <v>12</v>
      </c>
      <c r="D28" s="746" t="str">
        <f>IF('[1]BASE'!D28=0,"",'[1]BASE'!D28)</f>
        <v>CHO. W. - CHOELE CHOEL (5WH1)</v>
      </c>
      <c r="E28" s="746">
        <f>IF('[1]BASE'!E28=0,"",'[1]BASE'!E28)</f>
        <v>500</v>
      </c>
      <c r="F28" s="746">
        <f>IF('[1]BASE'!F28=0,"",'[1]BASE'!F28)</f>
        <v>269</v>
      </c>
      <c r="G28" s="747" t="str">
        <f>IF('[1]BASE'!G28=0,"",'[1]BASE'!G28)</f>
        <v>B</v>
      </c>
      <c r="H28" s="747">
        <f>IF('[1]BASE'!CE28=0,"",'[1]BASE'!CE28)</f>
      </c>
      <c r="I28" s="747">
        <f>IF('[1]BASE'!CF28=0,"",'[1]BASE'!CF28)</f>
      </c>
      <c r="J28" s="747">
        <f>IF('[1]BASE'!CG28=0,"",'[1]BASE'!CG28)</f>
      </c>
      <c r="K28" s="747">
        <f>IF('[1]BASE'!CH28=0,"",'[1]BASE'!CH28)</f>
      </c>
      <c r="L28" s="747">
        <f>IF('[1]BASE'!CI28=0,"",'[1]BASE'!CI28)</f>
      </c>
      <c r="M28" s="747">
        <f>IF('[1]BASE'!CJ28=0,"",'[1]BASE'!CJ28)</f>
      </c>
      <c r="N28" s="747">
        <f>IF('[1]BASE'!CK28=0,"",'[1]BASE'!CK28)</f>
        <v>1</v>
      </c>
      <c r="O28" s="747">
        <f>IF('[1]BASE'!CL28=0,"",'[1]BASE'!CL28)</f>
      </c>
      <c r="P28" s="747">
        <f>IF('[1]BASE'!CM28=0,"",'[1]BASE'!CM28)</f>
        <v>1</v>
      </c>
      <c r="Q28" s="747">
        <f>IF('[1]BASE'!CN28=0,"",'[1]BASE'!CN28)</f>
      </c>
      <c r="R28" s="747">
        <f>IF('[1]BASE'!CO28=0,"",'[1]BASE'!CO28)</f>
      </c>
      <c r="S28" s="747">
        <f>IF('[1]BASE'!CP28=0,"",'[1]BASE'!CP28)</f>
      </c>
      <c r="T28" s="745"/>
      <c r="U28" s="742"/>
    </row>
    <row r="29" spans="2:21" s="737" customFormat="1" ht="19.5" customHeight="1">
      <c r="B29" s="738"/>
      <c r="C29" s="748">
        <f>IF('[1]BASE'!C29=0,"",'[1]BASE'!C29)</f>
        <v>13</v>
      </c>
      <c r="D29" s="748" t="str">
        <f>IF('[1]BASE'!D29=0,"",'[1]BASE'!D29)</f>
        <v>CHO.W. - CHO. 1 (5WC1)</v>
      </c>
      <c r="E29" s="748">
        <f>IF('[1]BASE'!E29=0,"",'[1]BASE'!E29)</f>
        <v>500</v>
      </c>
      <c r="F29" s="748">
        <f>IF('[1]BASE'!F29=0,"",'[1]BASE'!F29)</f>
        <v>4.5</v>
      </c>
      <c r="G29" s="749" t="str">
        <f>IF('[1]BASE'!G29=0,"",'[1]BASE'!G29)</f>
        <v>C</v>
      </c>
      <c r="H29" s="749">
        <f>IF('[1]BASE'!CE29=0,"",'[1]BASE'!CE29)</f>
      </c>
      <c r="I29" s="749">
        <f>IF('[1]BASE'!CF29=0,"",'[1]BASE'!CF29)</f>
      </c>
      <c r="J29" s="749">
        <f>IF('[1]BASE'!CG29=0,"",'[1]BASE'!CG29)</f>
      </c>
      <c r="K29" s="749">
        <f>IF('[1]BASE'!CH29=0,"",'[1]BASE'!CH29)</f>
      </c>
      <c r="L29" s="749">
        <f>IF('[1]BASE'!CI29=0,"",'[1]BASE'!CI29)</f>
      </c>
      <c r="M29" s="749">
        <f>IF('[1]BASE'!CJ29=0,"",'[1]BASE'!CJ29)</f>
      </c>
      <c r="N29" s="749">
        <f>IF('[1]BASE'!CK29=0,"",'[1]BASE'!CK29)</f>
      </c>
      <c r="O29" s="749">
        <f>IF('[1]BASE'!CL29=0,"",'[1]BASE'!CL29)</f>
      </c>
      <c r="P29" s="749">
        <f>IF('[1]BASE'!CM29=0,"",'[1]BASE'!CM29)</f>
      </c>
      <c r="Q29" s="749">
        <f>IF('[1]BASE'!CN29=0,"",'[1]BASE'!CN29)</f>
      </c>
      <c r="R29" s="749">
        <f>IF('[1]BASE'!CO29=0,"",'[1]BASE'!CO29)</f>
      </c>
      <c r="S29" s="749">
        <f>IF('[1]BASE'!CP29=0,"",'[1]BASE'!CP29)</f>
      </c>
      <c r="T29" s="745"/>
      <c r="U29" s="742"/>
    </row>
    <row r="30" spans="2:21" s="737" customFormat="1" ht="19.5" customHeight="1">
      <c r="B30" s="738"/>
      <c r="C30" s="746">
        <f>IF('[1]BASE'!C30=0,"",'[1]BASE'!C30)</f>
        <v>14</v>
      </c>
      <c r="D30" s="746" t="str">
        <f>IF('[1]BASE'!D30=0,"",'[1]BASE'!D30)</f>
        <v>CHO.W. - CHO. 2 (5WC2)</v>
      </c>
      <c r="E30" s="746">
        <f>IF('[1]BASE'!E30=0,"",'[1]BASE'!E30)</f>
        <v>500</v>
      </c>
      <c r="F30" s="746">
        <f>IF('[1]BASE'!F30=0,"",'[1]BASE'!F30)</f>
        <v>4.5</v>
      </c>
      <c r="G30" s="747" t="str">
        <f>IF('[1]BASE'!G30=0,"",'[1]BASE'!G30)</f>
        <v>C</v>
      </c>
      <c r="H30" s="747">
        <f>IF('[1]BASE'!CE30=0,"",'[1]BASE'!CE30)</f>
      </c>
      <c r="I30" s="747">
        <f>IF('[1]BASE'!CF30=0,"",'[1]BASE'!CF30)</f>
      </c>
      <c r="J30" s="747">
        <f>IF('[1]BASE'!CG30=0,"",'[1]BASE'!CG30)</f>
      </c>
      <c r="K30" s="747">
        <f>IF('[1]BASE'!CH30=0,"",'[1]BASE'!CH30)</f>
      </c>
      <c r="L30" s="747">
        <f>IF('[1]BASE'!CI30=0,"",'[1]BASE'!CI30)</f>
      </c>
      <c r="M30" s="747">
        <f>IF('[1]BASE'!CJ30=0,"",'[1]BASE'!CJ30)</f>
      </c>
      <c r="N30" s="747">
        <f>IF('[1]BASE'!CK30=0,"",'[1]BASE'!CK30)</f>
      </c>
      <c r="O30" s="747">
        <f>IF('[1]BASE'!CL30=0,"",'[1]BASE'!CL30)</f>
      </c>
      <c r="P30" s="747">
        <f>IF('[1]BASE'!CM30=0,"",'[1]BASE'!CM30)</f>
      </c>
      <c r="Q30" s="747">
        <f>IF('[1]BASE'!CN30=0,"",'[1]BASE'!CN30)</f>
      </c>
      <c r="R30" s="747">
        <f>IF('[1]BASE'!CO30=0,"",'[1]BASE'!CO30)</f>
      </c>
      <c r="S30" s="747">
        <f>IF('[1]BASE'!CP30=0,"",'[1]BASE'!CP30)</f>
      </c>
      <c r="T30" s="745"/>
      <c r="U30" s="742"/>
    </row>
    <row r="31" spans="2:21" s="737" customFormat="1" ht="19.5" customHeight="1">
      <c r="B31" s="738"/>
      <c r="C31" s="748">
        <f>IF('[1]BASE'!C31=0,"",'[1]BASE'!C31)</f>
        <v>15</v>
      </c>
      <c r="D31" s="748" t="str">
        <f>IF('[1]BASE'!D31=0,"",'[1]BASE'!D31)</f>
        <v>CHOCON - C.H. CHOCON 1</v>
      </c>
      <c r="E31" s="748">
        <f>IF('[1]BASE'!E31=0,"",'[1]BASE'!E31)</f>
        <v>500</v>
      </c>
      <c r="F31" s="748">
        <f>IF('[1]BASE'!F31=0,"",'[1]BASE'!F31)</f>
        <v>3</v>
      </c>
      <c r="G31" s="749" t="str">
        <f>IF('[1]BASE'!G31=0,"",'[1]BASE'!G31)</f>
        <v>C</v>
      </c>
      <c r="H31" s="749">
        <f>IF('[1]BASE'!CE31=0,"",'[1]BASE'!CE31)</f>
      </c>
      <c r="I31" s="749">
        <f>IF('[1]BASE'!CF31=0,"",'[1]BASE'!CF31)</f>
      </c>
      <c r="J31" s="749">
        <f>IF('[1]BASE'!CG31=0,"",'[1]BASE'!CG31)</f>
      </c>
      <c r="K31" s="749">
        <f>IF('[1]BASE'!CH31=0,"",'[1]BASE'!CH31)</f>
      </c>
      <c r="L31" s="749">
        <f>IF('[1]BASE'!CI31=0,"",'[1]BASE'!CI31)</f>
        <v>3</v>
      </c>
      <c r="M31" s="749">
        <f>IF('[1]BASE'!CJ31=0,"",'[1]BASE'!CJ31)</f>
      </c>
      <c r="N31" s="749">
        <f>IF('[1]BASE'!CK31=0,"",'[1]BASE'!CK31)</f>
      </c>
      <c r="O31" s="749">
        <f>IF('[1]BASE'!CL31=0,"",'[1]BASE'!CL31)</f>
      </c>
      <c r="P31" s="749">
        <f>IF('[1]BASE'!CM31=0,"",'[1]BASE'!CM31)</f>
      </c>
      <c r="Q31" s="749">
        <f>IF('[1]BASE'!CN31=0,"",'[1]BASE'!CN31)</f>
      </c>
      <c r="R31" s="749">
        <f>IF('[1]BASE'!CO31=0,"",'[1]BASE'!CO31)</f>
      </c>
      <c r="S31" s="749">
        <f>IF('[1]BASE'!CP31=0,"",'[1]BASE'!CP31)</f>
      </c>
      <c r="T31" s="745"/>
      <c r="U31" s="742"/>
    </row>
    <row r="32" spans="2:21" s="737" customFormat="1" ht="19.5" customHeight="1">
      <c r="B32" s="738"/>
      <c r="C32" s="746">
        <f>IF('[1]BASE'!C32=0,"",'[1]BASE'!C32)</f>
        <v>16</v>
      </c>
      <c r="D32" s="746" t="str">
        <f>IF('[1]BASE'!D32=0,"",'[1]BASE'!D32)</f>
        <v>CHOCON - C.H. CHOCON 2</v>
      </c>
      <c r="E32" s="746">
        <f>IF('[1]BASE'!E32=0,"",'[1]BASE'!E32)</f>
        <v>500</v>
      </c>
      <c r="F32" s="746">
        <f>IF('[1]BASE'!F32=0,"",'[1]BASE'!F32)</f>
        <v>3</v>
      </c>
      <c r="G32" s="747" t="str">
        <f>IF('[1]BASE'!G32=0,"",'[1]BASE'!G32)</f>
        <v>C</v>
      </c>
      <c r="H32" s="747">
        <f>IF('[1]BASE'!CE32=0,"",'[1]BASE'!CE32)</f>
      </c>
      <c r="I32" s="747">
        <f>IF('[1]BASE'!CF32=0,"",'[1]BASE'!CF32)</f>
      </c>
      <c r="J32" s="747">
        <f>IF('[1]BASE'!CG32=0,"",'[1]BASE'!CG32)</f>
      </c>
      <c r="K32" s="747">
        <f>IF('[1]BASE'!CH32=0,"",'[1]BASE'!CH32)</f>
      </c>
      <c r="L32" s="747">
        <f>IF('[1]BASE'!CI32=0,"",'[1]BASE'!CI32)</f>
      </c>
      <c r="M32" s="747">
        <f>IF('[1]BASE'!CJ32=0,"",'[1]BASE'!CJ32)</f>
      </c>
      <c r="N32" s="747">
        <f>IF('[1]BASE'!CK32=0,"",'[1]BASE'!CK32)</f>
      </c>
      <c r="O32" s="747">
        <f>IF('[1]BASE'!CL32=0,"",'[1]BASE'!CL32)</f>
      </c>
      <c r="P32" s="747">
        <f>IF('[1]BASE'!CM32=0,"",'[1]BASE'!CM32)</f>
      </c>
      <c r="Q32" s="747">
        <f>IF('[1]BASE'!CN32=0,"",'[1]BASE'!CN32)</f>
      </c>
      <c r="R32" s="747">
        <f>IF('[1]BASE'!CO32=0,"",'[1]BASE'!CO32)</f>
      </c>
      <c r="S32" s="747">
        <f>IF('[1]BASE'!CP32=0,"",'[1]BASE'!CP32)</f>
      </c>
      <c r="T32" s="745"/>
      <c r="U32" s="742"/>
    </row>
    <row r="33" spans="2:21" s="737" customFormat="1" ht="19.5" customHeight="1">
      <c r="B33" s="738"/>
      <c r="C33" s="748">
        <f>IF('[1]BASE'!C33=0,"",'[1]BASE'!C33)</f>
        <v>17</v>
      </c>
      <c r="D33" s="748" t="str">
        <f>IF('[1]BASE'!D33=0,"",'[1]BASE'!D33)</f>
        <v>CHOCON - C.H. CHOCON 3</v>
      </c>
      <c r="E33" s="748">
        <f>IF('[1]BASE'!E33=0,"",'[1]BASE'!E33)</f>
        <v>500</v>
      </c>
      <c r="F33" s="748">
        <f>IF('[1]BASE'!F33=0,"",'[1]BASE'!F33)</f>
        <v>3</v>
      </c>
      <c r="G33" s="749" t="str">
        <f>IF('[1]BASE'!G33=0,"",'[1]BASE'!G33)</f>
        <v>C</v>
      </c>
      <c r="H33" s="749">
        <f>IF('[1]BASE'!CE33=0,"",'[1]BASE'!CE33)</f>
      </c>
      <c r="I33" s="749">
        <f>IF('[1]BASE'!CF33=0,"",'[1]BASE'!CF33)</f>
      </c>
      <c r="J33" s="749">
        <f>IF('[1]BASE'!CG33=0,"",'[1]BASE'!CG33)</f>
      </c>
      <c r="K33" s="749">
        <f>IF('[1]BASE'!CH33=0,"",'[1]BASE'!CH33)</f>
      </c>
      <c r="L33" s="749">
        <f>IF('[1]BASE'!CI33=0,"",'[1]BASE'!CI33)</f>
      </c>
      <c r="M33" s="749">
        <f>IF('[1]BASE'!CJ33=0,"",'[1]BASE'!CJ33)</f>
      </c>
      <c r="N33" s="749">
        <f>IF('[1]BASE'!CK33=0,"",'[1]BASE'!CK33)</f>
      </c>
      <c r="O33" s="749">
        <f>IF('[1]BASE'!CL33=0,"",'[1]BASE'!CL33)</f>
      </c>
      <c r="P33" s="749">
        <f>IF('[1]BASE'!CM33=0,"",'[1]BASE'!CM33)</f>
      </c>
      <c r="Q33" s="749">
        <f>IF('[1]BASE'!CN33=0,"",'[1]BASE'!CN33)</f>
      </c>
      <c r="R33" s="749">
        <f>IF('[1]BASE'!CO33=0,"",'[1]BASE'!CO33)</f>
      </c>
      <c r="S33" s="749">
        <f>IF('[1]BASE'!CP33=0,"",'[1]BASE'!CP33)</f>
      </c>
      <c r="T33" s="745"/>
      <c r="U33" s="742"/>
    </row>
    <row r="34" spans="2:21" s="737" customFormat="1" ht="19.5" customHeight="1">
      <c r="B34" s="738"/>
      <c r="C34" s="746">
        <f>IF('[1]BASE'!C34=0,"",'[1]BASE'!C34)</f>
        <v>18</v>
      </c>
      <c r="D34" s="746" t="str">
        <f>IF('[1]BASE'!D34=0,"",'[1]BASE'!D34)</f>
        <v>CHOCON - PUELCHES 1</v>
      </c>
      <c r="E34" s="746">
        <f>IF('[1]BASE'!E34=0,"",'[1]BASE'!E34)</f>
        <v>500</v>
      </c>
      <c r="F34" s="746">
        <f>IF('[1]BASE'!F34=0,"",'[1]BASE'!F34)</f>
        <v>304</v>
      </c>
      <c r="G34" s="747" t="str">
        <f>IF('[1]BASE'!G34=0,"",'[1]BASE'!G34)</f>
        <v>A</v>
      </c>
      <c r="H34" s="747">
        <f>IF('[1]BASE'!CE34=0,"",'[1]BASE'!CE34)</f>
      </c>
      <c r="I34" s="747">
        <f>IF('[1]BASE'!CF34=0,"",'[1]BASE'!CF34)</f>
      </c>
      <c r="J34" s="747">
        <f>IF('[1]BASE'!CG34=0,"",'[1]BASE'!CG34)</f>
      </c>
      <c r="K34" s="747">
        <f>IF('[1]BASE'!CH34=0,"",'[1]BASE'!CH34)</f>
      </c>
      <c r="L34" s="747">
        <f>IF('[1]BASE'!CI34=0,"",'[1]BASE'!CI34)</f>
      </c>
      <c r="M34" s="747">
        <f>IF('[1]BASE'!CJ34=0,"",'[1]BASE'!CJ34)</f>
      </c>
      <c r="N34" s="747">
        <f>IF('[1]BASE'!CK34=0,"",'[1]BASE'!CK34)</f>
      </c>
      <c r="O34" s="747">
        <f>IF('[1]BASE'!CL34=0,"",'[1]BASE'!CL34)</f>
      </c>
      <c r="P34" s="747">
        <f>IF('[1]BASE'!CM34=0,"",'[1]BASE'!CM34)</f>
        <v>1</v>
      </c>
      <c r="Q34" s="747">
        <f>IF('[1]BASE'!CN34=0,"",'[1]BASE'!CN34)</f>
      </c>
      <c r="R34" s="747">
        <f>IF('[1]BASE'!CO34=0,"",'[1]BASE'!CO34)</f>
      </c>
      <c r="S34" s="747">
        <f>IF('[1]BASE'!CP34=0,"",'[1]BASE'!CP34)</f>
      </c>
      <c r="T34" s="745"/>
      <c r="U34" s="742"/>
    </row>
    <row r="35" spans="2:21" s="737" customFormat="1" ht="19.5" customHeight="1">
      <c r="B35" s="738"/>
      <c r="C35" s="748">
        <f>IF('[1]BASE'!C35=0,"",'[1]BASE'!C35)</f>
        <v>19</v>
      </c>
      <c r="D35" s="748" t="str">
        <f>IF('[1]BASE'!D35=0,"",'[1]BASE'!D35)</f>
        <v>CHOCON - PUELCHES 2</v>
      </c>
      <c r="E35" s="748">
        <f>IF('[1]BASE'!E35=0,"",'[1]BASE'!E35)</f>
        <v>500</v>
      </c>
      <c r="F35" s="748">
        <f>IF('[1]BASE'!F35=0,"",'[1]BASE'!F35)</f>
        <v>304</v>
      </c>
      <c r="G35" s="749" t="str">
        <f>IF('[1]BASE'!G35=0,"",'[1]BASE'!G35)</f>
        <v>A</v>
      </c>
      <c r="H35" s="749">
        <f>IF('[1]BASE'!CE35=0,"",'[1]BASE'!CE35)</f>
      </c>
      <c r="I35" s="749">
        <f>IF('[1]BASE'!CF35=0,"",'[1]BASE'!CF35)</f>
      </c>
      <c r="J35" s="749">
        <f>IF('[1]BASE'!CG35=0,"",'[1]BASE'!CG35)</f>
      </c>
      <c r="K35" s="749">
        <f>IF('[1]BASE'!CH35=0,"",'[1]BASE'!CH35)</f>
      </c>
      <c r="L35" s="749">
        <f>IF('[1]BASE'!CI35=0,"",'[1]BASE'!CI35)</f>
      </c>
      <c r="M35" s="749">
        <f>IF('[1]BASE'!CJ35=0,"",'[1]BASE'!CJ35)</f>
      </c>
      <c r="N35" s="749">
        <f>IF('[1]BASE'!CK35=0,"",'[1]BASE'!CK35)</f>
      </c>
      <c r="O35" s="749">
        <f>IF('[1]BASE'!CL35=0,"",'[1]BASE'!CL35)</f>
      </c>
      <c r="P35" s="749">
        <f>IF('[1]BASE'!CM35=0,"",'[1]BASE'!CM35)</f>
        <v>1</v>
      </c>
      <c r="Q35" s="749">
        <f>IF('[1]BASE'!CN35=0,"",'[1]BASE'!CN35)</f>
      </c>
      <c r="R35" s="749">
        <f>IF('[1]BASE'!CO35=0,"",'[1]BASE'!CO35)</f>
        <v>1</v>
      </c>
      <c r="S35" s="749">
        <f>IF('[1]BASE'!CP35=0,"",'[1]BASE'!CP35)</f>
      </c>
      <c r="T35" s="745"/>
      <c r="U35" s="742"/>
    </row>
    <row r="36" spans="2:21" s="737" customFormat="1" ht="19.5" customHeight="1">
      <c r="B36" s="738"/>
      <c r="C36" s="746">
        <f>IF('[1]BASE'!C36=0,"",'[1]BASE'!C36)</f>
        <v>20</v>
      </c>
      <c r="D36" s="746" t="str">
        <f>IF('[1]BASE'!D36=0,"",'[1]BASE'!D36)</f>
        <v>E.T.P.del AGUILA - CENTRAL P.del A. 1</v>
      </c>
      <c r="E36" s="746">
        <f>IF('[1]BASE'!E36=0,"",'[1]BASE'!E36)</f>
        <v>500</v>
      </c>
      <c r="F36" s="746">
        <f>IF('[1]BASE'!F36=0,"",'[1]BASE'!F36)</f>
        <v>5.4</v>
      </c>
      <c r="G36" s="747" t="str">
        <f>IF('[1]BASE'!G36=0,"",'[1]BASE'!G36)</f>
        <v>C</v>
      </c>
      <c r="H36" s="747">
        <f>IF('[1]BASE'!CE36=0,"",'[1]BASE'!CE36)</f>
      </c>
      <c r="I36" s="747">
        <f>IF('[1]BASE'!CF36=0,"",'[1]BASE'!CF36)</f>
      </c>
      <c r="J36" s="747">
        <f>IF('[1]BASE'!CG36=0,"",'[1]BASE'!CG36)</f>
      </c>
      <c r="K36" s="747">
        <f>IF('[1]BASE'!CH36=0,"",'[1]BASE'!CH36)</f>
      </c>
      <c r="L36" s="747">
        <f>IF('[1]BASE'!CI36=0,"",'[1]BASE'!CI36)</f>
      </c>
      <c r="M36" s="747">
        <f>IF('[1]BASE'!CJ36=0,"",'[1]BASE'!CJ36)</f>
      </c>
      <c r="N36" s="747">
        <f>IF('[1]BASE'!CK36=0,"",'[1]BASE'!CK36)</f>
      </c>
      <c r="O36" s="747">
        <f>IF('[1]BASE'!CL36=0,"",'[1]BASE'!CL36)</f>
      </c>
      <c r="P36" s="747">
        <f>IF('[1]BASE'!CM36=0,"",'[1]BASE'!CM36)</f>
      </c>
      <c r="Q36" s="747">
        <f>IF('[1]BASE'!CN36=0,"",'[1]BASE'!CN36)</f>
      </c>
      <c r="R36" s="747">
        <f>IF('[1]BASE'!CO36=0,"",'[1]BASE'!CO36)</f>
      </c>
      <c r="S36" s="747">
        <f>IF('[1]BASE'!CP36=0,"",'[1]BASE'!CP36)</f>
      </c>
      <c r="T36" s="745"/>
      <c r="U36" s="742"/>
    </row>
    <row r="37" spans="2:21" s="737" customFormat="1" ht="19.5" customHeight="1">
      <c r="B37" s="738"/>
      <c r="C37" s="748">
        <f>IF('[1]BASE'!C37=0,"",'[1]BASE'!C37)</f>
        <v>21</v>
      </c>
      <c r="D37" s="748" t="str">
        <f>IF('[1]BASE'!D37=0,"",'[1]BASE'!D37)</f>
        <v>E.T.P.del AGUILA - CENTRAL P.del A. 2</v>
      </c>
      <c r="E37" s="748">
        <f>IF('[1]BASE'!E37=0,"",'[1]BASE'!E37)</f>
        <v>500</v>
      </c>
      <c r="F37" s="748">
        <f>IF('[1]BASE'!F37=0,"",'[1]BASE'!F37)</f>
        <v>5.3</v>
      </c>
      <c r="G37" s="749" t="str">
        <f>IF('[1]BASE'!G37=0,"",'[1]BASE'!G37)</f>
        <v>C</v>
      </c>
      <c r="H37" s="749">
        <f>IF('[1]BASE'!CE37=0,"",'[1]BASE'!CE37)</f>
      </c>
      <c r="I37" s="749">
        <f>IF('[1]BASE'!CF37=0,"",'[1]BASE'!CF37)</f>
      </c>
      <c r="J37" s="749">
        <f>IF('[1]BASE'!CG37=0,"",'[1]BASE'!CG37)</f>
      </c>
      <c r="K37" s="749">
        <f>IF('[1]BASE'!CH37=0,"",'[1]BASE'!CH37)</f>
      </c>
      <c r="L37" s="749">
        <f>IF('[1]BASE'!CI37=0,"",'[1]BASE'!CI37)</f>
      </c>
      <c r="M37" s="749">
        <f>IF('[1]BASE'!CJ37=0,"",'[1]BASE'!CJ37)</f>
      </c>
      <c r="N37" s="749">
        <f>IF('[1]BASE'!CK37=0,"",'[1]BASE'!CK37)</f>
      </c>
      <c r="O37" s="749">
        <f>IF('[1]BASE'!CL37=0,"",'[1]BASE'!CL37)</f>
      </c>
      <c r="P37" s="749">
        <f>IF('[1]BASE'!CM37=0,"",'[1]BASE'!CM37)</f>
      </c>
      <c r="Q37" s="749">
        <f>IF('[1]BASE'!CN37=0,"",'[1]BASE'!CN37)</f>
      </c>
      <c r="R37" s="749">
        <f>IF('[1]BASE'!CO37=0,"",'[1]BASE'!CO37)</f>
      </c>
      <c r="S37" s="749">
        <f>IF('[1]BASE'!CP37=0,"",'[1]BASE'!CP37)</f>
      </c>
      <c r="T37" s="745"/>
      <c r="U37" s="742"/>
    </row>
    <row r="38" spans="2:21" s="737" customFormat="1" ht="19.5" customHeight="1">
      <c r="B38" s="738"/>
      <c r="C38" s="746">
        <f>IF('[1]BASE'!C38=0,"",'[1]BASE'!C38)</f>
        <v>22</v>
      </c>
      <c r="D38" s="746" t="str">
        <f>IF('[1]BASE'!D38=0,"",'[1]BASE'!D38)</f>
        <v>EL BRACHO - RECREO(5)</v>
      </c>
      <c r="E38" s="746">
        <f>IF('[1]BASE'!E38=0,"",'[1]BASE'!E38)</f>
        <v>500</v>
      </c>
      <c r="F38" s="746">
        <f>IF('[1]BASE'!F38=0,"",'[1]BASE'!F38)</f>
        <v>255</v>
      </c>
      <c r="G38" s="747" t="str">
        <f>IF('[1]BASE'!G38=0,"",'[1]BASE'!G38)</f>
        <v>C</v>
      </c>
      <c r="H38" s="747">
        <f>IF('[1]BASE'!CE38=0,"",'[1]BASE'!CE38)</f>
        <v>1</v>
      </c>
      <c r="I38" s="747">
        <f>IF('[1]BASE'!CF38=0,"",'[1]BASE'!CF38)</f>
        <v>1</v>
      </c>
      <c r="J38" s="747">
        <f>IF('[1]BASE'!CG38=0,"",'[1]BASE'!CG38)</f>
      </c>
      <c r="K38" s="747">
        <f>IF('[1]BASE'!CH38=0,"",'[1]BASE'!CH38)</f>
      </c>
      <c r="L38" s="747">
        <f>IF('[1]BASE'!CI38=0,"",'[1]BASE'!CI38)</f>
        <v>1</v>
      </c>
      <c r="M38" s="747">
        <f>IF('[1]BASE'!CJ38=0,"",'[1]BASE'!CJ38)</f>
      </c>
      <c r="N38" s="747">
        <f>IF('[1]BASE'!CK38=0,"",'[1]BASE'!CK38)</f>
        <v>2</v>
      </c>
      <c r="O38" s="747">
        <f>IF('[1]BASE'!CL38=0,"",'[1]BASE'!CL38)</f>
      </c>
      <c r="P38" s="747">
        <f>IF('[1]BASE'!CM38=0,"",'[1]BASE'!CM38)</f>
      </c>
      <c r="Q38" s="747">
        <f>IF('[1]BASE'!CN38=0,"",'[1]BASE'!CN38)</f>
      </c>
      <c r="R38" s="747">
        <f>IF('[1]BASE'!CO38=0,"",'[1]BASE'!CO38)</f>
      </c>
      <c r="S38" s="747">
        <f>IF('[1]BASE'!CP38=0,"",'[1]BASE'!CP38)</f>
      </c>
      <c r="T38" s="745"/>
      <c r="U38" s="742"/>
    </row>
    <row r="39" spans="2:21" s="737" customFormat="1" ht="19.5" customHeight="1">
      <c r="B39" s="738"/>
      <c r="C39" s="748">
        <f>IF('[1]BASE'!C39=0,"",'[1]BASE'!C39)</f>
        <v>23</v>
      </c>
      <c r="D39" s="748" t="str">
        <f>IF('[1]BASE'!D39=0,"",'[1]BASE'!D39)</f>
        <v>EZEIZA - ABASTO 1</v>
      </c>
      <c r="E39" s="748">
        <f>IF('[1]BASE'!E39=0,"",'[1]BASE'!E39)</f>
        <v>500</v>
      </c>
      <c r="F39" s="748">
        <f>IF('[1]BASE'!F39=0,"",'[1]BASE'!F39)</f>
        <v>58</v>
      </c>
      <c r="G39" s="749" t="str">
        <f>IF('[1]BASE'!G39=0,"",'[1]BASE'!G39)</f>
        <v>C</v>
      </c>
      <c r="H39" s="749">
        <f>IF('[1]BASE'!CE39=0,"",'[1]BASE'!CE39)</f>
      </c>
      <c r="I39" s="749">
        <f>IF('[1]BASE'!CF39=0,"",'[1]BASE'!CF39)</f>
      </c>
      <c r="J39" s="749">
        <f>IF('[1]BASE'!CG39=0,"",'[1]BASE'!CG39)</f>
      </c>
      <c r="K39" s="749">
        <f>IF('[1]BASE'!CH39=0,"",'[1]BASE'!CH39)</f>
      </c>
      <c r="L39" s="749">
        <f>IF('[1]BASE'!CI39=0,"",'[1]BASE'!CI39)</f>
      </c>
      <c r="M39" s="749">
        <f>IF('[1]BASE'!CJ39=0,"",'[1]BASE'!CJ39)</f>
      </c>
      <c r="N39" s="749">
        <f>IF('[1]BASE'!CK39=0,"",'[1]BASE'!CK39)</f>
      </c>
      <c r="O39" s="749">
        <f>IF('[1]BASE'!CL39=0,"",'[1]BASE'!CL39)</f>
      </c>
      <c r="P39" s="749">
        <f>IF('[1]BASE'!CM39=0,"",'[1]BASE'!CM39)</f>
      </c>
      <c r="Q39" s="749">
        <f>IF('[1]BASE'!CN39=0,"",'[1]BASE'!CN39)</f>
      </c>
      <c r="R39" s="749">
        <f>IF('[1]BASE'!CO39=0,"",'[1]BASE'!CO39)</f>
        <v>1</v>
      </c>
      <c r="S39" s="749">
        <f>IF('[1]BASE'!CP39=0,"",'[1]BASE'!CP39)</f>
      </c>
      <c r="T39" s="745"/>
      <c r="U39" s="742"/>
    </row>
    <row r="40" spans="2:21" s="737" customFormat="1" ht="19.5" customHeight="1">
      <c r="B40" s="738"/>
      <c r="C40" s="746">
        <f>IF('[1]BASE'!C40=0,"",'[1]BASE'!C40)</f>
        <v>24</v>
      </c>
      <c r="D40" s="746" t="str">
        <f>IF('[1]BASE'!D40=0,"",'[1]BASE'!D40)</f>
        <v>EZEIZA - ABASTO 2</v>
      </c>
      <c r="E40" s="746">
        <f>IF('[1]BASE'!E40=0,"",'[1]BASE'!E40)</f>
        <v>500</v>
      </c>
      <c r="F40" s="746">
        <f>IF('[1]BASE'!F40=0,"",'[1]BASE'!F40)</f>
        <v>58</v>
      </c>
      <c r="G40" s="747" t="str">
        <f>IF('[1]BASE'!G40=0,"",'[1]BASE'!G40)</f>
        <v>C</v>
      </c>
      <c r="H40" s="747">
        <f>IF('[1]BASE'!CE40=0,"",'[1]BASE'!CE40)</f>
      </c>
      <c r="I40" s="747">
        <f>IF('[1]BASE'!CF40=0,"",'[1]BASE'!CF40)</f>
      </c>
      <c r="J40" s="747">
        <f>IF('[1]BASE'!CG40=0,"",'[1]BASE'!CG40)</f>
      </c>
      <c r="K40" s="747">
        <f>IF('[1]BASE'!CH40=0,"",'[1]BASE'!CH40)</f>
      </c>
      <c r="L40" s="747">
        <f>IF('[1]BASE'!CI40=0,"",'[1]BASE'!CI40)</f>
      </c>
      <c r="M40" s="747">
        <f>IF('[1]BASE'!CJ40=0,"",'[1]BASE'!CJ40)</f>
      </c>
      <c r="N40" s="747">
        <f>IF('[1]BASE'!CK40=0,"",'[1]BASE'!CK40)</f>
      </c>
      <c r="O40" s="747">
        <f>IF('[1]BASE'!CL40=0,"",'[1]BASE'!CL40)</f>
      </c>
      <c r="P40" s="747">
        <f>IF('[1]BASE'!CM40=0,"",'[1]BASE'!CM40)</f>
      </c>
      <c r="Q40" s="747">
        <f>IF('[1]BASE'!CN40=0,"",'[1]BASE'!CN40)</f>
      </c>
      <c r="R40" s="747">
        <f>IF('[1]BASE'!CO40=0,"",'[1]BASE'!CO40)</f>
        <v>1</v>
      </c>
      <c r="S40" s="747">
        <f>IF('[1]BASE'!CP40=0,"",'[1]BASE'!CP40)</f>
      </c>
      <c r="T40" s="745"/>
      <c r="U40" s="742"/>
    </row>
    <row r="41" spans="2:21" s="737" customFormat="1" ht="19.5" customHeight="1">
      <c r="B41" s="738"/>
      <c r="C41" s="748">
        <f>IF('[1]BASE'!C41=0,"",'[1]BASE'!C41)</f>
        <v>25</v>
      </c>
      <c r="D41" s="748" t="str">
        <f>IF('[1]BASE'!D41=0,"",'[1]BASE'!D41)</f>
        <v>EZEIZA - RODRIGUEZ 1</v>
      </c>
      <c r="E41" s="748">
        <f>IF('[1]BASE'!E41=0,"",'[1]BASE'!E41)</f>
        <v>500</v>
      </c>
      <c r="F41" s="748">
        <f>IF('[1]BASE'!F41=0,"",'[1]BASE'!F41)</f>
        <v>53</v>
      </c>
      <c r="G41" s="749" t="str">
        <f>IF('[1]BASE'!G41=0,"",'[1]BASE'!G41)</f>
        <v>C</v>
      </c>
      <c r="H41" s="749">
        <f>IF('[1]BASE'!CE41=0,"",'[1]BASE'!CE41)</f>
      </c>
      <c r="I41" s="749">
        <f>IF('[1]BASE'!CF41=0,"",'[1]BASE'!CF41)</f>
      </c>
      <c r="J41" s="749">
        <f>IF('[1]BASE'!CG41=0,"",'[1]BASE'!CG41)</f>
      </c>
      <c r="K41" s="749">
        <f>IF('[1]BASE'!CH41=0,"",'[1]BASE'!CH41)</f>
      </c>
      <c r="L41" s="749">
        <f>IF('[1]BASE'!CI41=0,"",'[1]BASE'!CI41)</f>
      </c>
      <c r="M41" s="749">
        <f>IF('[1]BASE'!CJ41=0,"",'[1]BASE'!CJ41)</f>
      </c>
      <c r="N41" s="749">
        <f>IF('[1]BASE'!CK41=0,"",'[1]BASE'!CK41)</f>
      </c>
      <c r="O41" s="749">
        <f>IF('[1]BASE'!CL41=0,"",'[1]BASE'!CL41)</f>
      </c>
      <c r="P41" s="749">
        <f>IF('[1]BASE'!CM41=0,"",'[1]BASE'!CM41)</f>
      </c>
      <c r="Q41" s="749">
        <f>IF('[1]BASE'!CN41=0,"",'[1]BASE'!CN41)</f>
      </c>
      <c r="R41" s="749">
        <f>IF('[1]BASE'!CO41=0,"",'[1]BASE'!CO41)</f>
      </c>
      <c r="S41" s="749">
        <f>IF('[1]BASE'!CP41=0,"",'[1]BASE'!CP41)</f>
      </c>
      <c r="T41" s="745"/>
      <c r="U41" s="742"/>
    </row>
    <row r="42" spans="2:21" s="737" customFormat="1" ht="19.5" customHeight="1">
      <c r="B42" s="738"/>
      <c r="C42" s="746">
        <f>IF('[1]BASE'!C42=0,"",'[1]BASE'!C42)</f>
        <v>26</v>
      </c>
      <c r="D42" s="746" t="str">
        <f>IF('[1]BASE'!D42=0,"",'[1]BASE'!D42)</f>
        <v>EZEIZA - RODRIGUEZ 2</v>
      </c>
      <c r="E42" s="746">
        <f>IF('[1]BASE'!E42=0,"",'[1]BASE'!E42)</f>
        <v>500</v>
      </c>
      <c r="F42" s="746">
        <f>IF('[1]BASE'!F42=0,"",'[1]BASE'!F42)</f>
        <v>53</v>
      </c>
      <c r="G42" s="747" t="str">
        <f>IF('[1]BASE'!G42=0,"",'[1]BASE'!G42)</f>
        <v>C</v>
      </c>
      <c r="H42" s="747">
        <f>IF('[1]BASE'!CE42=0,"",'[1]BASE'!CE42)</f>
      </c>
      <c r="I42" s="747">
        <f>IF('[1]BASE'!CF42=0,"",'[1]BASE'!CF42)</f>
      </c>
      <c r="J42" s="747">
        <f>IF('[1]BASE'!CG42=0,"",'[1]BASE'!CG42)</f>
      </c>
      <c r="K42" s="747">
        <f>IF('[1]BASE'!CH42=0,"",'[1]BASE'!CH42)</f>
      </c>
      <c r="L42" s="747">
        <f>IF('[1]BASE'!CI42=0,"",'[1]BASE'!CI42)</f>
      </c>
      <c r="M42" s="747">
        <f>IF('[1]BASE'!CJ42=0,"",'[1]BASE'!CJ42)</f>
      </c>
      <c r="N42" s="747">
        <f>IF('[1]BASE'!CK42=0,"",'[1]BASE'!CK42)</f>
      </c>
      <c r="O42" s="747">
        <f>IF('[1]BASE'!CL42=0,"",'[1]BASE'!CL42)</f>
      </c>
      <c r="P42" s="747">
        <f>IF('[1]BASE'!CM42=0,"",'[1]BASE'!CM42)</f>
      </c>
      <c r="Q42" s="747">
        <f>IF('[1]BASE'!CN42=0,"",'[1]BASE'!CN42)</f>
      </c>
      <c r="R42" s="747">
        <f>IF('[1]BASE'!CO42=0,"",'[1]BASE'!CO42)</f>
      </c>
      <c r="S42" s="747">
        <f>IF('[1]BASE'!CP42=0,"",'[1]BASE'!CP42)</f>
      </c>
      <c r="T42" s="745"/>
      <c r="U42" s="742"/>
    </row>
    <row r="43" spans="2:21" s="737" customFormat="1" ht="19.5" customHeight="1">
      <c r="B43" s="738"/>
      <c r="C43" s="748">
        <f>IF('[1]BASE'!C43=0,"",'[1]BASE'!C43)</f>
        <v>27</v>
      </c>
      <c r="D43" s="748" t="str">
        <f>IF('[1]BASE'!D43=0,"",'[1]BASE'!D43)</f>
        <v>EZEIZA- HENDERSON 1</v>
      </c>
      <c r="E43" s="748">
        <f>IF('[1]BASE'!E43=0,"",'[1]BASE'!E43)</f>
        <v>500</v>
      </c>
      <c r="F43" s="748">
        <f>IF('[1]BASE'!F43=0,"",'[1]BASE'!F43)</f>
        <v>313</v>
      </c>
      <c r="G43" s="749" t="str">
        <f>IF('[1]BASE'!G43=0,"",'[1]BASE'!G43)</f>
        <v>A</v>
      </c>
      <c r="H43" s="749">
        <f>IF('[1]BASE'!CE43=0,"",'[1]BASE'!CE43)</f>
      </c>
      <c r="I43" s="749">
        <f>IF('[1]BASE'!CF43=0,"",'[1]BASE'!CF43)</f>
      </c>
      <c r="J43" s="749">
        <f>IF('[1]BASE'!CG43=0,"",'[1]BASE'!CG43)</f>
      </c>
      <c r="K43" s="749">
        <f>IF('[1]BASE'!CH43=0,"",'[1]BASE'!CH43)</f>
      </c>
      <c r="L43" s="749">
        <f>IF('[1]BASE'!CI43=0,"",'[1]BASE'!CI43)</f>
        <v>1</v>
      </c>
      <c r="M43" s="749">
        <f>IF('[1]BASE'!CJ43=0,"",'[1]BASE'!CJ43)</f>
      </c>
      <c r="N43" s="749">
        <f>IF('[1]BASE'!CK43=0,"",'[1]BASE'!CK43)</f>
      </c>
      <c r="O43" s="749">
        <f>IF('[1]BASE'!CL43=0,"",'[1]BASE'!CL43)</f>
      </c>
      <c r="P43" s="749">
        <f>IF('[1]BASE'!CM43=0,"",'[1]BASE'!CM43)</f>
      </c>
      <c r="Q43" s="749">
        <f>IF('[1]BASE'!CN43=0,"",'[1]BASE'!CN43)</f>
      </c>
      <c r="R43" s="749">
        <f>IF('[1]BASE'!CO43=0,"",'[1]BASE'!CO43)</f>
      </c>
      <c r="S43" s="749">
        <f>IF('[1]BASE'!CP43=0,"",'[1]BASE'!CP43)</f>
      </c>
      <c r="T43" s="745"/>
      <c r="U43" s="742"/>
    </row>
    <row r="44" spans="2:21" s="737" customFormat="1" ht="19.5" customHeight="1">
      <c r="B44" s="738"/>
      <c r="C44" s="746">
        <f>IF('[1]BASE'!C44=0,"",'[1]BASE'!C44)</f>
        <v>28</v>
      </c>
      <c r="D44" s="746" t="str">
        <f>IF('[1]BASE'!D44=0,"",'[1]BASE'!D44)</f>
        <v>EZEIZA - HENDERSON 2</v>
      </c>
      <c r="E44" s="746">
        <f>IF('[1]BASE'!E44=0,"",'[1]BASE'!E44)</f>
        <v>500</v>
      </c>
      <c r="F44" s="746">
        <f>IF('[1]BASE'!F44=0,"",'[1]BASE'!F44)</f>
        <v>313</v>
      </c>
      <c r="G44" s="747" t="str">
        <f>IF('[1]BASE'!G44=0,"",'[1]BASE'!G44)</f>
        <v>A</v>
      </c>
      <c r="H44" s="747">
        <f>IF('[1]BASE'!CE44=0,"",'[1]BASE'!CE44)</f>
      </c>
      <c r="I44" s="747">
        <f>IF('[1]BASE'!CF44=0,"",'[1]BASE'!CF44)</f>
      </c>
      <c r="J44" s="747">
        <f>IF('[1]BASE'!CG44=0,"",'[1]BASE'!CG44)</f>
      </c>
      <c r="K44" s="747">
        <f>IF('[1]BASE'!CH44=0,"",'[1]BASE'!CH44)</f>
      </c>
      <c r="L44" s="747">
        <f>IF('[1]BASE'!CI44=0,"",'[1]BASE'!CI44)</f>
        <v>1</v>
      </c>
      <c r="M44" s="747">
        <f>IF('[1]BASE'!CJ44=0,"",'[1]BASE'!CJ44)</f>
      </c>
      <c r="N44" s="747">
        <f>IF('[1]BASE'!CK44=0,"",'[1]BASE'!CK44)</f>
      </c>
      <c r="O44" s="747">
        <f>IF('[1]BASE'!CL44=0,"",'[1]BASE'!CL44)</f>
      </c>
      <c r="P44" s="747">
        <f>IF('[1]BASE'!CM44=0,"",'[1]BASE'!CM44)</f>
      </c>
      <c r="Q44" s="747">
        <f>IF('[1]BASE'!CN44=0,"",'[1]BASE'!CN44)</f>
      </c>
      <c r="R44" s="747">
        <f>IF('[1]BASE'!CO44=0,"",'[1]BASE'!CO44)</f>
      </c>
      <c r="S44" s="747">
        <f>IF('[1]BASE'!CP44=0,"",'[1]BASE'!CP44)</f>
      </c>
      <c r="T44" s="745"/>
      <c r="U44" s="742"/>
    </row>
    <row r="45" spans="2:21" s="737" customFormat="1" ht="19.5" customHeight="1">
      <c r="B45" s="738"/>
      <c r="C45" s="748">
        <f>IF('[1]BASE'!C45=0,"",'[1]BASE'!C45)</f>
        <v>29</v>
      </c>
      <c r="D45" s="748" t="str">
        <f>IF('[1]BASE'!D45=0,"",'[1]BASE'!D45)</f>
        <v>GRAL. RODRIGUEZ - CAMPANA </v>
      </c>
      <c r="E45" s="748">
        <f>IF('[1]BASE'!E45=0,"",'[1]BASE'!E45)</f>
        <v>500</v>
      </c>
      <c r="F45" s="748">
        <f>IF('[1]BASE'!F45=0,"",'[1]BASE'!F45)</f>
        <v>70</v>
      </c>
      <c r="G45" s="749" t="str">
        <f>IF('[1]BASE'!G45=0,"",'[1]BASE'!G45)</f>
        <v>A</v>
      </c>
      <c r="H45" s="749">
        <f>IF('[1]BASE'!CE45=0,"",'[1]BASE'!CE45)</f>
      </c>
      <c r="I45" s="749">
        <f>IF('[1]BASE'!CF45=0,"",'[1]BASE'!CF45)</f>
      </c>
      <c r="J45" s="749">
        <f>IF('[1]BASE'!CG45=0,"",'[1]BASE'!CG45)</f>
      </c>
      <c r="K45" s="749">
        <f>IF('[1]BASE'!CH45=0,"",'[1]BASE'!CH45)</f>
      </c>
      <c r="L45" s="749">
        <f>IF('[1]BASE'!CI45=0,"",'[1]BASE'!CI45)</f>
      </c>
      <c r="M45" s="749">
        <f>IF('[1]BASE'!CJ45=0,"",'[1]BASE'!CJ45)</f>
      </c>
      <c r="N45" s="749">
        <f>IF('[1]BASE'!CK45=0,"",'[1]BASE'!CK45)</f>
      </c>
      <c r="O45" s="749">
        <f>IF('[1]BASE'!CL45=0,"",'[1]BASE'!CL45)</f>
      </c>
      <c r="P45" s="749">
        <f>IF('[1]BASE'!CM45=0,"",'[1]BASE'!CM45)</f>
      </c>
      <c r="Q45" s="749">
        <f>IF('[1]BASE'!CN45=0,"",'[1]BASE'!CN45)</f>
      </c>
      <c r="R45" s="749">
        <f>IF('[1]BASE'!CO45=0,"",'[1]BASE'!CO45)</f>
        <v>1</v>
      </c>
      <c r="S45" s="749">
        <f>IF('[1]BASE'!CP45=0,"",'[1]BASE'!CP45)</f>
      </c>
      <c r="T45" s="745"/>
      <c r="U45" s="742"/>
    </row>
    <row r="46" spans="2:21" s="737" customFormat="1" ht="19.5" customHeight="1">
      <c r="B46" s="738"/>
      <c r="C46" s="746">
        <f>IF('[1]BASE'!C46=0,"",'[1]BASE'!C46)</f>
        <v>30</v>
      </c>
      <c r="D46" s="746" t="str">
        <f>IF('[1]BASE'!D46=0,"",'[1]BASE'!D46)</f>
        <v>GRAL. RODRIGUEZ- ROSARIO OESTE </v>
      </c>
      <c r="E46" s="746">
        <f>IF('[1]BASE'!E46=0,"",'[1]BASE'!E46)</f>
        <v>500</v>
      </c>
      <c r="F46" s="746">
        <f>IF('[1]BASE'!F46=0,"",'[1]BASE'!F46)</f>
        <v>258</v>
      </c>
      <c r="G46" s="747" t="str">
        <f>IF('[1]BASE'!G46=0,"",'[1]BASE'!G46)</f>
        <v>C</v>
      </c>
      <c r="H46" s="747">
        <f>IF('[1]BASE'!CE46=0,"",'[1]BASE'!CE46)</f>
      </c>
      <c r="I46" s="747">
        <f>IF('[1]BASE'!CF46=0,"",'[1]BASE'!CF46)</f>
      </c>
      <c r="J46" s="747">
        <f>IF('[1]BASE'!CG46=0,"",'[1]BASE'!CG46)</f>
      </c>
      <c r="K46" s="747">
        <f>IF('[1]BASE'!CH46=0,"",'[1]BASE'!CH46)</f>
      </c>
      <c r="L46" s="747">
        <f>IF('[1]BASE'!CI46=0,"",'[1]BASE'!CI46)</f>
      </c>
      <c r="M46" s="747">
        <f>IF('[1]BASE'!CJ46=0,"",'[1]BASE'!CJ46)</f>
      </c>
      <c r="N46" s="747">
        <f>IF('[1]BASE'!CK46=0,"",'[1]BASE'!CK46)</f>
      </c>
      <c r="O46" s="747">
        <f>IF('[1]BASE'!CL46=0,"",'[1]BASE'!CL46)</f>
        <v>3</v>
      </c>
      <c r="P46" s="747" t="str">
        <f>IF('[1]BASE'!CM46=0,"",'[1]BASE'!CM46)</f>
        <v>XXXX</v>
      </c>
      <c r="Q46" s="747" t="str">
        <f>IF('[1]BASE'!CN46=0,"",'[1]BASE'!CN46)</f>
        <v>XXXX</v>
      </c>
      <c r="R46" s="747" t="str">
        <f>IF('[1]BASE'!CO46=0,"",'[1]BASE'!CO46)</f>
        <v>XXXX</v>
      </c>
      <c r="S46" s="747" t="str">
        <f>IF('[1]BASE'!CP46=0,"",'[1]BASE'!CP46)</f>
        <v>XXXX</v>
      </c>
      <c r="T46" s="745"/>
      <c r="U46" s="742"/>
    </row>
    <row r="47" spans="2:21" s="737" customFormat="1" ht="19.5" customHeight="1">
      <c r="B47" s="738"/>
      <c r="C47" s="748">
        <f>IF('[1]BASE'!C47=0,"",'[1]BASE'!C47)</f>
        <v>31</v>
      </c>
      <c r="D47" s="748" t="str">
        <f>IF('[1]BASE'!D47=0,"",'[1]BASE'!D47)</f>
        <v>MALVINAS ARG. - ALMAFUERTE </v>
      </c>
      <c r="E47" s="748">
        <f>IF('[1]BASE'!E47=0,"",'[1]BASE'!E47)</f>
        <v>500</v>
      </c>
      <c r="F47" s="748">
        <f>IF('[1]BASE'!F47=0,"",'[1]BASE'!F47)</f>
        <v>105</v>
      </c>
      <c r="G47" s="749" t="str">
        <f>IF('[1]BASE'!G47=0,"",'[1]BASE'!G47)</f>
        <v>B</v>
      </c>
      <c r="H47" s="749">
        <f>IF('[1]BASE'!CE47=0,"",'[1]BASE'!CE47)</f>
      </c>
      <c r="I47" s="749">
        <f>IF('[1]BASE'!CF47=0,"",'[1]BASE'!CF47)</f>
      </c>
      <c r="J47" s="749">
        <f>IF('[1]BASE'!CG47=0,"",'[1]BASE'!CG47)</f>
      </c>
      <c r="K47" s="749">
        <f>IF('[1]BASE'!CH47=0,"",'[1]BASE'!CH47)</f>
      </c>
      <c r="L47" s="749">
        <f>IF('[1]BASE'!CI47=0,"",'[1]BASE'!CI47)</f>
      </c>
      <c r="M47" s="749">
        <f>IF('[1]BASE'!CJ47=0,"",'[1]BASE'!CJ47)</f>
      </c>
      <c r="N47" s="749">
        <f>IF('[1]BASE'!CK47=0,"",'[1]BASE'!CK47)</f>
      </c>
      <c r="O47" s="749">
        <f>IF('[1]BASE'!CL47=0,"",'[1]BASE'!CL47)</f>
      </c>
      <c r="P47" s="749">
        <f>IF('[1]BASE'!CM47=0,"",'[1]BASE'!CM47)</f>
      </c>
      <c r="Q47" s="749">
        <f>IF('[1]BASE'!CN47=0,"",'[1]BASE'!CN47)</f>
      </c>
      <c r="R47" s="749">
        <f>IF('[1]BASE'!CO47=0,"",'[1]BASE'!CO47)</f>
      </c>
      <c r="S47" s="749">
        <f>IF('[1]BASE'!CP47=0,"",'[1]BASE'!CP47)</f>
      </c>
      <c r="T47" s="745"/>
      <c r="U47" s="742"/>
    </row>
    <row r="48" spans="2:21" s="737" customFormat="1" ht="19.5" customHeight="1">
      <c r="B48" s="738"/>
      <c r="C48" s="746">
        <f>IF('[1]BASE'!C48=0,"",'[1]BASE'!C48)</f>
        <v>32</v>
      </c>
      <c r="D48" s="746" t="str">
        <f>IF('[1]BASE'!D48=0,"",'[1]BASE'!D48)</f>
        <v>OLAVARRIA - BAHIA BLANCA 1</v>
      </c>
      <c r="E48" s="746">
        <f>IF('[1]BASE'!E48=0,"",'[1]BASE'!E48)</f>
        <v>500</v>
      </c>
      <c r="F48" s="746">
        <f>IF('[1]BASE'!F48=0,"",'[1]BASE'!F48)</f>
        <v>255</v>
      </c>
      <c r="G48" s="747" t="str">
        <f>IF('[1]BASE'!G48=0,"",'[1]BASE'!G48)</f>
        <v>B</v>
      </c>
      <c r="H48" s="747">
        <f>IF('[1]BASE'!CE48=0,"",'[1]BASE'!CE48)</f>
      </c>
      <c r="I48" s="747">
        <f>IF('[1]BASE'!CF48=0,"",'[1]BASE'!CF48)</f>
      </c>
      <c r="J48" s="747">
        <f>IF('[1]BASE'!CG48=0,"",'[1]BASE'!CG48)</f>
      </c>
      <c r="K48" s="747">
        <f>IF('[1]BASE'!CH48=0,"",'[1]BASE'!CH48)</f>
        <v>1</v>
      </c>
      <c r="L48" s="747">
        <f>IF('[1]BASE'!CI48=0,"",'[1]BASE'!CI48)</f>
      </c>
      <c r="M48" s="747">
        <f>IF('[1]BASE'!CJ48=0,"",'[1]BASE'!CJ48)</f>
      </c>
      <c r="N48" s="747">
        <f>IF('[1]BASE'!CK48=0,"",'[1]BASE'!CK48)</f>
      </c>
      <c r="O48" s="747">
        <f>IF('[1]BASE'!CL48=0,"",'[1]BASE'!CL48)</f>
      </c>
      <c r="P48" s="747">
        <f>IF('[1]BASE'!CM48=0,"",'[1]BASE'!CM48)</f>
      </c>
      <c r="Q48" s="747">
        <f>IF('[1]BASE'!CN48=0,"",'[1]BASE'!CN48)</f>
      </c>
      <c r="R48" s="747">
        <f>IF('[1]BASE'!CO48=0,"",'[1]BASE'!CO48)</f>
      </c>
      <c r="S48" s="747">
        <f>IF('[1]BASE'!CP48=0,"",'[1]BASE'!CP48)</f>
      </c>
      <c r="T48" s="745"/>
      <c r="U48" s="742"/>
    </row>
    <row r="49" spans="2:21" s="737" customFormat="1" ht="19.5" customHeight="1">
      <c r="B49" s="738"/>
      <c r="C49" s="748">
        <f>IF('[1]BASE'!C49=0,"",'[1]BASE'!C49)</f>
        <v>33</v>
      </c>
      <c r="D49" s="748" t="str">
        <f>IF('[1]BASE'!D49=0,"",'[1]BASE'!D49)</f>
        <v>OLAVARRIA - BAHIA BLANCA 2</v>
      </c>
      <c r="E49" s="748">
        <f>IF('[1]BASE'!E49=0,"",'[1]BASE'!E49)</f>
        <v>500</v>
      </c>
      <c r="F49" s="748">
        <f>IF('[1]BASE'!F49=0,"",'[1]BASE'!F49)</f>
        <v>254.8</v>
      </c>
      <c r="G49" s="749">
        <f>IF('[1]BASE'!G49=0,"",'[1]BASE'!G49)</f>
      </c>
      <c r="H49" s="749">
        <f>IF('[1]BASE'!CE49=0,"",'[1]BASE'!CE49)</f>
      </c>
      <c r="I49" s="749">
        <f>IF('[1]BASE'!CF49=0,"",'[1]BASE'!CF49)</f>
      </c>
      <c r="J49" s="749">
        <f>IF('[1]BASE'!CG49=0,"",'[1]BASE'!CG49)</f>
      </c>
      <c r="K49" s="749">
        <f>IF('[1]BASE'!CH49=0,"",'[1]BASE'!CH49)</f>
      </c>
      <c r="L49" s="749">
        <f>IF('[1]BASE'!CI49=0,"",'[1]BASE'!CI49)</f>
      </c>
      <c r="M49" s="749">
        <f>IF('[1]BASE'!CJ49=0,"",'[1]BASE'!CJ49)</f>
      </c>
      <c r="N49" s="749">
        <f>IF('[1]BASE'!CK49=0,"",'[1]BASE'!CK49)</f>
      </c>
      <c r="O49" s="749">
        <f>IF('[1]BASE'!CL49=0,"",'[1]BASE'!CL49)</f>
      </c>
      <c r="P49" s="749">
        <f>IF('[1]BASE'!CM49=0,"",'[1]BASE'!CM49)</f>
      </c>
      <c r="Q49" s="749">
        <f>IF('[1]BASE'!CN49=0,"",'[1]BASE'!CN49)</f>
      </c>
      <c r="R49" s="749">
        <f>IF('[1]BASE'!CO49=0,"",'[1]BASE'!CO49)</f>
      </c>
      <c r="S49" s="749">
        <f>IF('[1]BASE'!CP49=0,"",'[1]BASE'!CP49)</f>
      </c>
      <c r="T49" s="745"/>
      <c r="U49" s="742"/>
    </row>
    <row r="50" spans="2:21" s="737" customFormat="1" ht="19.5" customHeight="1">
      <c r="B50" s="738"/>
      <c r="C50" s="746">
        <f>IF('[1]BASE'!C50=0,"",'[1]BASE'!C50)</f>
        <v>34</v>
      </c>
      <c r="D50" s="746" t="str">
        <f>IF('[1]BASE'!D50=0,"",'[1]BASE'!D50)</f>
        <v>P.del AGUILA  - CHOELE CHOEL</v>
      </c>
      <c r="E50" s="746">
        <f>IF('[1]BASE'!E50=0,"",'[1]BASE'!E50)</f>
        <v>500</v>
      </c>
      <c r="F50" s="746">
        <f>IF('[1]BASE'!F50=0,"",'[1]BASE'!F50)</f>
        <v>386.7</v>
      </c>
      <c r="G50" s="747">
        <f>IF('[1]BASE'!G50=0,"",'[1]BASE'!G50)</f>
      </c>
      <c r="H50" s="747">
        <f>IF('[1]BASE'!CE50=0,"",'[1]BASE'!CE50)</f>
      </c>
      <c r="I50" s="747">
        <f>IF('[1]BASE'!CF50=0,"",'[1]BASE'!CF50)</f>
      </c>
      <c r="J50" s="747">
        <f>IF('[1]BASE'!CG50=0,"",'[1]BASE'!CG50)</f>
      </c>
      <c r="K50" s="747">
        <f>IF('[1]BASE'!CH50=0,"",'[1]BASE'!CH50)</f>
      </c>
      <c r="L50" s="747">
        <f>IF('[1]BASE'!CI50=0,"",'[1]BASE'!CI50)</f>
      </c>
      <c r="M50" s="747">
        <f>IF('[1]BASE'!CJ50=0,"",'[1]BASE'!CJ50)</f>
      </c>
      <c r="N50" s="747">
        <f>IF('[1]BASE'!CK50=0,"",'[1]BASE'!CK50)</f>
      </c>
      <c r="O50" s="747">
        <f>IF('[1]BASE'!CL50=0,"",'[1]BASE'!CL50)</f>
      </c>
      <c r="P50" s="747">
        <f>IF('[1]BASE'!CM50=0,"",'[1]BASE'!CM50)</f>
      </c>
      <c r="Q50" s="747">
        <f>IF('[1]BASE'!CN50=0,"",'[1]BASE'!CN50)</f>
      </c>
      <c r="R50" s="747">
        <f>IF('[1]BASE'!CO50=0,"",'[1]BASE'!CO50)</f>
        <v>1</v>
      </c>
      <c r="S50" s="747">
        <f>IF('[1]BASE'!CP50=0,"",'[1]BASE'!CP50)</f>
      </c>
      <c r="T50" s="745"/>
      <c r="U50" s="742"/>
    </row>
    <row r="51" spans="2:21" s="737" customFormat="1" ht="19.5" customHeight="1">
      <c r="B51" s="738"/>
      <c r="C51" s="748">
        <f>IF('[1]BASE'!C51=0,"",'[1]BASE'!C51)</f>
        <v>35</v>
      </c>
      <c r="D51" s="748" t="str">
        <f>IF('[1]BASE'!D51=0,"",'[1]BASE'!D51)</f>
        <v>P.del AGUILA  - CHO. W. 1 (5GW1)</v>
      </c>
      <c r="E51" s="748">
        <f>IF('[1]BASE'!E51=0,"",'[1]BASE'!E51)</f>
        <v>500</v>
      </c>
      <c r="F51" s="748">
        <f>IF('[1]BASE'!F51=0,"",'[1]BASE'!F51)</f>
        <v>163.9</v>
      </c>
      <c r="G51" s="749" t="str">
        <f>IF('[1]BASE'!G51=0,"",'[1]BASE'!G51)</f>
        <v>A</v>
      </c>
      <c r="H51" s="749">
        <f>IF('[1]BASE'!CE51=0,"",'[1]BASE'!CE51)</f>
      </c>
      <c r="I51" s="749">
        <f>IF('[1]BASE'!CF51=0,"",'[1]BASE'!CF51)</f>
      </c>
      <c r="J51" s="749">
        <f>IF('[1]BASE'!CG51=0,"",'[1]BASE'!CG51)</f>
      </c>
      <c r="K51" s="749">
        <f>IF('[1]BASE'!CH51=0,"",'[1]BASE'!CH51)</f>
      </c>
      <c r="L51" s="749">
        <f>IF('[1]BASE'!CI51=0,"",'[1]BASE'!CI51)</f>
      </c>
      <c r="M51" s="749">
        <f>IF('[1]BASE'!CJ51=0,"",'[1]BASE'!CJ51)</f>
      </c>
      <c r="N51" s="749">
        <f>IF('[1]BASE'!CK51=0,"",'[1]BASE'!CK51)</f>
      </c>
      <c r="O51" s="749">
        <f>IF('[1]BASE'!CL51=0,"",'[1]BASE'!CL51)</f>
      </c>
      <c r="P51" s="749">
        <f>IF('[1]BASE'!CM51=0,"",'[1]BASE'!CM51)</f>
      </c>
      <c r="Q51" s="749">
        <f>IF('[1]BASE'!CN51=0,"",'[1]BASE'!CN51)</f>
      </c>
      <c r="R51" s="749">
        <f>IF('[1]BASE'!CO51=0,"",'[1]BASE'!CO51)</f>
        <v>1</v>
      </c>
      <c r="S51" s="749">
        <f>IF('[1]BASE'!CP51=0,"",'[1]BASE'!CP51)</f>
      </c>
      <c r="T51" s="745"/>
      <c r="U51" s="742"/>
    </row>
    <row r="52" spans="2:21" s="737" customFormat="1" ht="19.5" customHeight="1">
      <c r="B52" s="738"/>
      <c r="C52" s="746">
        <f>IF('[1]BASE'!C52=0,"",'[1]BASE'!C52)</f>
        <v>36</v>
      </c>
      <c r="D52" s="746" t="str">
        <f>IF('[1]BASE'!D52=0,"",'[1]BASE'!D52)</f>
        <v>P.del AGUILA  - CHO. W. 2 (5GW2)</v>
      </c>
      <c r="E52" s="746">
        <f>IF('[1]BASE'!E52=0,"",'[1]BASE'!E52)</f>
        <v>500</v>
      </c>
      <c r="F52" s="746">
        <f>IF('[1]BASE'!F52=0,"",'[1]BASE'!F52)</f>
        <v>164.1</v>
      </c>
      <c r="G52" s="747" t="str">
        <f>IF('[1]BASE'!G52=0,"",'[1]BASE'!G52)</f>
        <v>A</v>
      </c>
      <c r="H52" s="747">
        <f>IF('[1]BASE'!CE52=0,"",'[1]BASE'!CE52)</f>
      </c>
      <c r="I52" s="747">
        <f>IF('[1]BASE'!CF52=0,"",'[1]BASE'!CF52)</f>
      </c>
      <c r="J52" s="747">
        <f>IF('[1]BASE'!CG52=0,"",'[1]BASE'!CG52)</f>
      </c>
      <c r="K52" s="747">
        <f>IF('[1]BASE'!CH52=0,"",'[1]BASE'!CH52)</f>
      </c>
      <c r="L52" s="747">
        <f>IF('[1]BASE'!CI52=0,"",'[1]BASE'!CI52)</f>
      </c>
      <c r="M52" s="747">
        <f>IF('[1]BASE'!CJ52=0,"",'[1]BASE'!CJ52)</f>
      </c>
      <c r="N52" s="747">
        <f>IF('[1]BASE'!CK52=0,"",'[1]BASE'!CK52)</f>
        <v>1</v>
      </c>
      <c r="O52" s="747">
        <f>IF('[1]BASE'!CL52=0,"",'[1]BASE'!CL52)</f>
      </c>
      <c r="P52" s="747">
        <f>IF('[1]BASE'!CM52=0,"",'[1]BASE'!CM52)</f>
        <v>1</v>
      </c>
      <c r="Q52" s="747">
        <f>IF('[1]BASE'!CN52=0,"",'[1]BASE'!CN52)</f>
      </c>
      <c r="R52" s="747">
        <f>IF('[1]BASE'!CO52=0,"",'[1]BASE'!CO52)</f>
      </c>
      <c r="S52" s="747">
        <f>IF('[1]BASE'!CP52=0,"",'[1]BASE'!CP52)</f>
      </c>
      <c r="T52" s="745"/>
      <c r="U52" s="742"/>
    </row>
    <row r="53" spans="2:21" s="737" customFormat="1" ht="19.5" customHeight="1">
      <c r="B53" s="738"/>
      <c r="C53" s="748">
        <f>IF('[1]BASE'!C53=0,"",'[1]BASE'!C53)</f>
        <v>37</v>
      </c>
      <c r="D53" s="748" t="str">
        <f>IF('[1]BASE'!D53=0,"",'[1]BASE'!D53)</f>
        <v>PUELCHES - HENDERSON 1 (B1)</v>
      </c>
      <c r="E53" s="748">
        <f>IF('[1]BASE'!E53=0,"",'[1]BASE'!E53)</f>
        <v>500</v>
      </c>
      <c r="F53" s="748">
        <f>IF('[1]BASE'!F53=0,"",'[1]BASE'!F53)</f>
        <v>421</v>
      </c>
      <c r="G53" s="749" t="str">
        <f>IF('[1]BASE'!G53=0,"",'[1]BASE'!G53)</f>
        <v>A</v>
      </c>
      <c r="H53" s="749">
        <f>IF('[1]BASE'!CE53=0,"",'[1]BASE'!CE53)</f>
      </c>
      <c r="I53" s="749">
        <f>IF('[1]BASE'!CF53=0,"",'[1]BASE'!CF53)</f>
      </c>
      <c r="J53" s="749">
        <f>IF('[1]BASE'!CG53=0,"",'[1]BASE'!CG53)</f>
      </c>
      <c r="K53" s="749">
        <f>IF('[1]BASE'!CH53=0,"",'[1]BASE'!CH53)</f>
      </c>
      <c r="L53" s="749">
        <f>IF('[1]BASE'!CI53=0,"",'[1]BASE'!CI53)</f>
      </c>
      <c r="M53" s="749">
        <f>IF('[1]BASE'!CJ53=0,"",'[1]BASE'!CJ53)</f>
      </c>
      <c r="N53" s="749">
        <f>IF('[1]BASE'!CK53=0,"",'[1]BASE'!CK53)</f>
        <v>1</v>
      </c>
      <c r="O53" s="749">
        <f>IF('[1]BASE'!CL53=0,"",'[1]BASE'!CL53)</f>
        <v>1</v>
      </c>
      <c r="P53" s="749">
        <f>IF('[1]BASE'!CM53=0,"",'[1]BASE'!CM53)</f>
        <v>1</v>
      </c>
      <c r="Q53" s="749">
        <f>IF('[1]BASE'!CN53=0,"",'[1]BASE'!CN53)</f>
      </c>
      <c r="R53" s="749">
        <f>IF('[1]BASE'!CO53=0,"",'[1]BASE'!CO53)</f>
      </c>
      <c r="S53" s="749">
        <f>IF('[1]BASE'!CP53=0,"",'[1]BASE'!CP53)</f>
      </c>
      <c r="T53" s="745"/>
      <c r="U53" s="742"/>
    </row>
    <row r="54" spans="2:21" s="737" customFormat="1" ht="19.5" customHeight="1">
      <c r="B54" s="738"/>
      <c r="C54" s="746">
        <f>IF('[1]BASE'!C54=0,"",'[1]BASE'!C54)</f>
        <v>38</v>
      </c>
      <c r="D54" s="746" t="str">
        <f>IF('[1]BASE'!D54=0,"",'[1]BASE'!D54)</f>
        <v>PUELCHES - HENDERSON 2 (B2)</v>
      </c>
      <c r="E54" s="746">
        <f>IF('[1]BASE'!E54=0,"",'[1]BASE'!E54)</f>
        <v>500</v>
      </c>
      <c r="F54" s="746">
        <f>IF('[1]BASE'!F54=0,"",'[1]BASE'!F54)</f>
        <v>421</v>
      </c>
      <c r="G54" s="747" t="str">
        <f>IF('[1]BASE'!G54=0,"",'[1]BASE'!G54)</f>
        <v>A</v>
      </c>
      <c r="H54" s="747">
        <f>IF('[1]BASE'!CE54=0,"",'[1]BASE'!CE54)</f>
      </c>
      <c r="I54" s="747">
        <f>IF('[1]BASE'!CF54=0,"",'[1]BASE'!CF54)</f>
      </c>
      <c r="J54" s="747">
        <f>IF('[1]BASE'!CG54=0,"",'[1]BASE'!CG54)</f>
      </c>
      <c r="K54" s="747">
        <f>IF('[1]BASE'!CH54=0,"",'[1]BASE'!CH54)</f>
      </c>
      <c r="L54" s="747">
        <f>IF('[1]BASE'!CI54=0,"",'[1]BASE'!CI54)</f>
      </c>
      <c r="M54" s="747">
        <f>IF('[1]BASE'!CJ54=0,"",'[1]BASE'!CJ54)</f>
        <v>1</v>
      </c>
      <c r="N54" s="747">
        <f>IF('[1]BASE'!CK54=0,"",'[1]BASE'!CK54)</f>
      </c>
      <c r="O54" s="747">
        <f>IF('[1]BASE'!CL54=0,"",'[1]BASE'!CL54)</f>
      </c>
      <c r="P54" s="747">
        <f>IF('[1]BASE'!CM54=0,"",'[1]BASE'!CM54)</f>
        <v>1</v>
      </c>
      <c r="Q54" s="747">
        <f>IF('[1]BASE'!CN54=0,"",'[1]BASE'!CN54)</f>
      </c>
      <c r="R54" s="747">
        <f>IF('[1]BASE'!CO54=0,"",'[1]BASE'!CO54)</f>
      </c>
      <c r="S54" s="747">
        <f>IF('[1]BASE'!CP54=0,"",'[1]BASE'!CP54)</f>
      </c>
      <c r="T54" s="745"/>
      <c r="U54" s="742"/>
    </row>
    <row r="55" spans="2:21" s="737" customFormat="1" ht="19.5" customHeight="1">
      <c r="B55" s="738"/>
      <c r="C55" s="748">
        <f>IF('[1]BASE'!C55=0,"",'[1]BASE'!C55)</f>
        <v>39</v>
      </c>
      <c r="D55" s="748" t="str">
        <f>IF('[1]BASE'!D55=0,"",'[1]BASE'!D55)</f>
        <v>RECREO - MALVINAS ARG. </v>
      </c>
      <c r="E55" s="748">
        <f>IF('[1]BASE'!E55=0,"",'[1]BASE'!E55)</f>
        <v>500</v>
      </c>
      <c r="F55" s="748">
        <f>IF('[1]BASE'!F55=0,"",'[1]BASE'!F55)</f>
        <v>259</v>
      </c>
      <c r="G55" s="749" t="str">
        <f>IF('[1]BASE'!G55=0,"",'[1]BASE'!G55)</f>
        <v>C</v>
      </c>
      <c r="H55" s="749">
        <f>IF('[1]BASE'!CE55=0,"",'[1]BASE'!CE55)</f>
      </c>
      <c r="I55" s="749">
        <f>IF('[1]BASE'!CF55=0,"",'[1]BASE'!CF55)</f>
      </c>
      <c r="J55" s="749">
        <f>IF('[1]BASE'!CG55=0,"",'[1]BASE'!CG55)</f>
      </c>
      <c r="K55" s="749">
        <f>IF('[1]BASE'!CH55=0,"",'[1]BASE'!CH55)</f>
      </c>
      <c r="L55" s="749">
        <f>IF('[1]BASE'!CI55=0,"",'[1]BASE'!CI55)</f>
      </c>
      <c r="M55" s="749">
        <f>IF('[1]BASE'!CJ55=0,"",'[1]BASE'!CJ55)</f>
      </c>
      <c r="N55" s="749">
        <f>IF('[1]BASE'!CK55=0,"",'[1]BASE'!CK55)</f>
      </c>
      <c r="O55" s="749">
        <f>IF('[1]BASE'!CL55=0,"",'[1]BASE'!CL55)</f>
      </c>
      <c r="P55" s="749">
        <f>IF('[1]BASE'!CM55=0,"",'[1]BASE'!CM55)</f>
      </c>
      <c r="Q55" s="749">
        <f>IF('[1]BASE'!CN55=0,"",'[1]BASE'!CN55)</f>
      </c>
      <c r="R55" s="749">
        <f>IF('[1]BASE'!CO55=0,"",'[1]BASE'!CO55)</f>
      </c>
      <c r="S55" s="749">
        <f>IF('[1]BASE'!CP55=0,"",'[1]BASE'!CP55)</f>
      </c>
      <c r="T55" s="745"/>
      <c r="U55" s="742"/>
    </row>
    <row r="56" spans="2:21" s="737" customFormat="1" ht="19.5" customHeight="1">
      <c r="B56" s="738"/>
      <c r="C56" s="746">
        <f>IF('[1]BASE'!C56=0,"",'[1]BASE'!C56)</f>
        <v>40</v>
      </c>
      <c r="D56" s="746" t="str">
        <f>IF('[1]BASE'!D56=0,"",'[1]BASE'!D56)</f>
        <v>RIO GRANDE - EMBALSE</v>
      </c>
      <c r="E56" s="746">
        <f>IF('[1]BASE'!E56=0,"",'[1]BASE'!E56)</f>
        <v>500</v>
      </c>
      <c r="F56" s="746">
        <f>IF('[1]BASE'!F56=0,"",'[1]BASE'!F56)</f>
        <v>30</v>
      </c>
      <c r="G56" s="747" t="str">
        <f>IF('[1]BASE'!G56=0,"",'[1]BASE'!G56)</f>
        <v>B</v>
      </c>
      <c r="H56" s="747">
        <f>IF('[1]BASE'!CE56=0,"",'[1]BASE'!CE56)</f>
        <v>1</v>
      </c>
      <c r="I56" s="747">
        <f>IF('[1]BASE'!CF56=0,"",'[1]BASE'!CF56)</f>
      </c>
      <c r="J56" s="747">
        <f>IF('[1]BASE'!CG56=0,"",'[1]BASE'!CG56)</f>
      </c>
      <c r="K56" s="747">
        <f>IF('[1]BASE'!CH56=0,"",'[1]BASE'!CH56)</f>
      </c>
      <c r="L56" s="747">
        <f>IF('[1]BASE'!CI56=0,"",'[1]BASE'!CI56)</f>
      </c>
      <c r="M56" s="747">
        <f>IF('[1]BASE'!CJ56=0,"",'[1]BASE'!CJ56)</f>
      </c>
      <c r="N56" s="747">
        <f>IF('[1]BASE'!CK56=0,"",'[1]BASE'!CK56)</f>
      </c>
      <c r="O56" s="747">
        <f>IF('[1]BASE'!CL56=0,"",'[1]BASE'!CL56)</f>
      </c>
      <c r="P56" s="747">
        <f>IF('[1]BASE'!CM56=0,"",'[1]BASE'!CM56)</f>
      </c>
      <c r="Q56" s="747">
        <f>IF('[1]BASE'!CN56=0,"",'[1]BASE'!CN56)</f>
      </c>
      <c r="R56" s="747">
        <f>IF('[1]BASE'!CO56=0,"",'[1]BASE'!CO56)</f>
      </c>
      <c r="S56" s="747">
        <f>IF('[1]BASE'!CP56=0,"",'[1]BASE'!CP56)</f>
      </c>
      <c r="T56" s="745"/>
      <c r="U56" s="742"/>
    </row>
    <row r="57" spans="2:21" s="737" customFormat="1" ht="19.5" customHeight="1">
      <c r="B57" s="738"/>
      <c r="C57" s="748">
        <f>IF('[1]BASE'!C57=0,"",'[1]BASE'!C57)</f>
        <v>41</v>
      </c>
      <c r="D57" s="748" t="str">
        <f>IF('[1]BASE'!D57=0,"",'[1]BASE'!D57)</f>
        <v>RIO GRANDE - GRAN MENDOZA</v>
      </c>
      <c r="E57" s="748">
        <f>IF('[1]BASE'!E57=0,"",'[1]BASE'!E57)</f>
        <v>500</v>
      </c>
      <c r="F57" s="748">
        <f>IF('[1]BASE'!F57=0,"",'[1]BASE'!F57)</f>
        <v>407</v>
      </c>
      <c r="G57" s="749" t="str">
        <f>IF('[1]BASE'!G57=0,"",'[1]BASE'!G57)</f>
        <v>B</v>
      </c>
      <c r="H57" s="749" t="str">
        <f>IF('[1]BASE'!CE57=0,"",'[1]BASE'!CE57)</f>
        <v>XXXX</v>
      </c>
      <c r="I57" s="749" t="str">
        <f>IF('[1]BASE'!CF57=0,"",'[1]BASE'!CF57)</f>
        <v>XXXX</v>
      </c>
      <c r="J57" s="749" t="str">
        <f>IF('[1]BASE'!CG57=0,"",'[1]BASE'!CG57)</f>
        <v>XXXX</v>
      </c>
      <c r="K57" s="749" t="str">
        <f>IF('[1]BASE'!CH57=0,"",'[1]BASE'!CH57)</f>
        <v>XXXX</v>
      </c>
      <c r="L57" s="749" t="str">
        <f>IF('[1]BASE'!CI57=0,"",'[1]BASE'!CI57)</f>
        <v>XXXX</v>
      </c>
      <c r="M57" s="749" t="str">
        <f>IF('[1]BASE'!CJ57=0,"",'[1]BASE'!CJ57)</f>
        <v>XXXX</v>
      </c>
      <c r="N57" s="749" t="str">
        <f>IF('[1]BASE'!CK57=0,"",'[1]BASE'!CK57)</f>
        <v>XXXX</v>
      </c>
      <c r="O57" s="749" t="str">
        <f>IF('[1]BASE'!CL57=0,"",'[1]BASE'!CL57)</f>
        <v>XXXX</v>
      </c>
      <c r="P57" s="749" t="str">
        <f>IF('[1]BASE'!CM57=0,"",'[1]BASE'!CM57)</f>
        <v>XXXX</v>
      </c>
      <c r="Q57" s="749" t="str">
        <f>IF('[1]BASE'!CN57=0,"",'[1]BASE'!CN57)</f>
        <v>XXXX</v>
      </c>
      <c r="R57" s="749" t="str">
        <f>IF('[1]BASE'!CO57=0,"",'[1]BASE'!CO57)</f>
        <v>XXXX</v>
      </c>
      <c r="S57" s="749" t="str">
        <f>IF('[1]BASE'!CP57=0,"",'[1]BASE'!CP57)</f>
        <v>XXXX</v>
      </c>
      <c r="T57" s="745"/>
      <c r="U57" s="742"/>
    </row>
    <row r="58" spans="2:21" s="737" customFormat="1" ht="19.5" customHeight="1">
      <c r="B58" s="738"/>
      <c r="C58" s="746">
        <f>IF('[1]BASE'!C58=0,"",'[1]BASE'!C58)</f>
        <v>42</v>
      </c>
      <c r="D58" s="746" t="str">
        <f>IF('[1]BASE'!D58=0,"",'[1]BASE'!D58)</f>
        <v>RIO GRANDE - LUJAN</v>
      </c>
      <c r="E58" s="746">
        <f>IF('[1]BASE'!E58=0,"",'[1]BASE'!E58)</f>
        <v>500</v>
      </c>
      <c r="F58" s="746">
        <f>IF('[1]BASE'!F58=0,"",'[1]BASE'!F58)</f>
        <v>149</v>
      </c>
      <c r="G58" s="747" t="str">
        <f>IF('[1]BASE'!G58=0,"",'[1]BASE'!G58)</f>
        <v>A</v>
      </c>
      <c r="H58" s="747">
        <f>IF('[1]BASE'!CE58=0,"",'[1]BASE'!CE58)</f>
      </c>
      <c r="I58" s="747">
        <f>IF('[1]BASE'!CF58=0,"",'[1]BASE'!CF58)</f>
      </c>
      <c r="J58" s="747">
        <f>IF('[1]BASE'!CG58=0,"",'[1]BASE'!CG58)</f>
        <v>4</v>
      </c>
      <c r="K58" s="747">
        <f>IF('[1]BASE'!CH58=0,"",'[1]BASE'!CH58)</f>
      </c>
      <c r="L58" s="747">
        <f>IF('[1]BASE'!CI58=0,"",'[1]BASE'!CI58)</f>
      </c>
      <c r="M58" s="747">
        <f>IF('[1]BASE'!CJ58=0,"",'[1]BASE'!CJ58)</f>
      </c>
      <c r="N58" s="747">
        <f>IF('[1]BASE'!CK58=0,"",'[1]BASE'!CK58)</f>
      </c>
      <c r="O58" s="747">
        <f>IF('[1]BASE'!CL58=0,"",'[1]BASE'!CL58)</f>
      </c>
      <c r="P58" s="747">
        <f>IF('[1]BASE'!CM58=0,"",'[1]BASE'!CM58)</f>
      </c>
      <c r="Q58" s="747">
        <f>IF('[1]BASE'!CN58=0,"",'[1]BASE'!CN58)</f>
      </c>
      <c r="R58" s="747">
        <f>IF('[1]BASE'!CO58=0,"",'[1]BASE'!CO58)</f>
      </c>
      <c r="S58" s="747">
        <f>IF('[1]BASE'!CP58=0,"",'[1]BASE'!CP58)</f>
      </c>
      <c r="T58" s="745"/>
      <c r="U58" s="742"/>
    </row>
    <row r="59" spans="2:21" s="737" customFormat="1" ht="19.5" customHeight="1">
      <c r="B59" s="738"/>
      <c r="C59" s="748">
        <f>IF('[1]BASE'!C59=0,"",'[1]BASE'!C59)</f>
        <v>43</v>
      </c>
      <c r="D59" s="748" t="str">
        <f>IF('[1]BASE'!D59=0,"",'[1]BASE'!D59)</f>
        <v>LUJAN - GRAN MENDOZA</v>
      </c>
      <c r="E59" s="748">
        <f>IF('[1]BASE'!E59=0,"",'[1]BASE'!E59)</f>
        <v>500</v>
      </c>
      <c r="F59" s="748">
        <f>IF('[1]BASE'!F59=0,"",'[1]BASE'!F59)</f>
        <v>258</v>
      </c>
      <c r="G59" s="749" t="str">
        <f>IF('[1]BASE'!G59=0,"",'[1]BASE'!G59)</f>
        <v>B</v>
      </c>
      <c r="H59" s="749">
        <f>IF('[1]BASE'!CE59=0,"",'[1]BASE'!CE59)</f>
      </c>
      <c r="I59" s="749">
        <f>IF('[1]BASE'!CF59=0,"",'[1]BASE'!CF59)</f>
      </c>
      <c r="J59" s="749">
        <f>IF('[1]BASE'!CG59=0,"",'[1]BASE'!CG59)</f>
      </c>
      <c r="K59" s="749">
        <f>IF('[1]BASE'!CH59=0,"",'[1]BASE'!CH59)</f>
      </c>
      <c r="L59" s="749">
        <f>IF('[1]BASE'!CI59=0,"",'[1]BASE'!CI59)</f>
      </c>
      <c r="M59" s="749">
        <f>IF('[1]BASE'!CJ59=0,"",'[1]BASE'!CJ59)</f>
      </c>
      <c r="N59" s="749">
        <f>IF('[1]BASE'!CK59=0,"",'[1]BASE'!CK59)</f>
      </c>
      <c r="O59" s="749">
        <f>IF('[1]BASE'!CL59=0,"",'[1]BASE'!CL59)</f>
      </c>
      <c r="P59" s="749">
        <f>IF('[1]BASE'!CM59=0,"",'[1]BASE'!CM59)</f>
      </c>
      <c r="Q59" s="749">
        <f>IF('[1]BASE'!CN59=0,"",'[1]BASE'!CN59)</f>
      </c>
      <c r="R59" s="749">
        <f>IF('[1]BASE'!CO59=0,"",'[1]BASE'!CO59)</f>
      </c>
      <c r="S59" s="749">
        <f>IF('[1]BASE'!CP59=0,"",'[1]BASE'!CP59)</f>
      </c>
      <c r="T59" s="745"/>
      <c r="U59" s="742"/>
    </row>
    <row r="60" spans="2:21" s="737" customFormat="1" ht="19.5" customHeight="1">
      <c r="B60" s="738"/>
      <c r="C60" s="746">
        <f>IF('[1]BASE'!C60=0,"",'[1]BASE'!C60)</f>
        <v>44</v>
      </c>
      <c r="D60" s="746" t="str">
        <f>IF('[1]BASE'!D60=0,"",'[1]BASE'!D60)</f>
        <v>ROMANG - RESISTENCIA</v>
      </c>
      <c r="E60" s="746">
        <f>IF('[1]BASE'!E60=0,"",'[1]BASE'!E60)</f>
        <v>500</v>
      </c>
      <c r="F60" s="746">
        <f>IF('[1]BASE'!F60=0,"",'[1]BASE'!F60)</f>
        <v>256</v>
      </c>
      <c r="G60" s="747" t="str">
        <f>IF('[1]BASE'!G60=0,"",'[1]BASE'!G60)</f>
        <v>A</v>
      </c>
      <c r="H60" s="747">
        <f>IF('[1]BASE'!CE60=0,"",'[1]BASE'!CE60)</f>
      </c>
      <c r="I60" s="747">
        <f>IF('[1]BASE'!CF60=0,"",'[1]BASE'!CF60)</f>
      </c>
      <c r="J60" s="747">
        <f>IF('[1]BASE'!CG60=0,"",'[1]BASE'!CG60)</f>
      </c>
      <c r="K60" s="747">
        <f>IF('[1]BASE'!CH60=0,"",'[1]BASE'!CH60)</f>
      </c>
      <c r="L60" s="747">
        <f>IF('[1]BASE'!CI60=0,"",'[1]BASE'!CI60)</f>
      </c>
      <c r="M60" s="747">
        <f>IF('[1]BASE'!CJ60=0,"",'[1]BASE'!CJ60)</f>
      </c>
      <c r="N60" s="747">
        <f>IF('[1]BASE'!CK60=0,"",'[1]BASE'!CK60)</f>
      </c>
      <c r="O60" s="747">
        <f>IF('[1]BASE'!CL60=0,"",'[1]BASE'!CL60)</f>
      </c>
      <c r="P60" s="747">
        <f>IF('[1]BASE'!CM60=0,"",'[1]BASE'!CM60)</f>
      </c>
      <c r="Q60" s="747">
        <f>IF('[1]BASE'!CN60=0,"",'[1]BASE'!CN60)</f>
        <v>1</v>
      </c>
      <c r="R60" s="747">
        <f>IF('[1]BASE'!CO60=0,"",'[1]BASE'!CO60)</f>
      </c>
      <c r="S60" s="747">
        <f>IF('[1]BASE'!CP60=0,"",'[1]BASE'!CP60)</f>
      </c>
      <c r="T60" s="745"/>
      <c r="U60" s="742"/>
    </row>
    <row r="61" spans="2:21" s="737" customFormat="1" ht="19.5" customHeight="1">
      <c r="B61" s="738"/>
      <c r="C61" s="748">
        <f>IF('[1]BASE'!C61=0,"",'[1]BASE'!C61)</f>
        <v>45</v>
      </c>
      <c r="D61" s="748" t="str">
        <f>IF('[1]BASE'!D61=0,"",'[1]BASE'!D61)</f>
        <v>ROSARIO OESTE -SANTO TOME</v>
      </c>
      <c r="E61" s="748">
        <f>IF('[1]BASE'!E61=0,"",'[1]BASE'!E61)</f>
        <v>500</v>
      </c>
      <c r="F61" s="748">
        <f>IF('[1]BASE'!F61=0,"",'[1]BASE'!F61)</f>
        <v>159</v>
      </c>
      <c r="G61" s="749" t="str">
        <f>IF('[1]BASE'!G61=0,"",'[1]BASE'!G61)</f>
        <v>C</v>
      </c>
      <c r="H61" s="749">
        <f>IF('[1]BASE'!CE61=0,"",'[1]BASE'!CE61)</f>
      </c>
      <c r="I61" s="749">
        <f>IF('[1]BASE'!CF61=0,"",'[1]BASE'!CF61)</f>
      </c>
      <c r="J61" s="749">
        <f>IF('[1]BASE'!CG61=0,"",'[1]BASE'!CG61)</f>
      </c>
      <c r="K61" s="749">
        <f>IF('[1]BASE'!CH61=0,"",'[1]BASE'!CH61)</f>
      </c>
      <c r="L61" s="749">
        <f>IF('[1]BASE'!CI61=0,"",'[1]BASE'!CI61)</f>
      </c>
      <c r="M61" s="749">
        <f>IF('[1]BASE'!CJ61=0,"",'[1]BASE'!CJ61)</f>
      </c>
      <c r="N61" s="749">
        <f>IF('[1]BASE'!CK61=0,"",'[1]BASE'!CK61)</f>
      </c>
      <c r="O61" s="749">
        <f>IF('[1]BASE'!CL61=0,"",'[1]BASE'!CL61)</f>
      </c>
      <c r="P61" s="749">
        <f>IF('[1]BASE'!CM61=0,"",'[1]BASE'!CM61)</f>
      </c>
      <c r="Q61" s="749">
        <f>IF('[1]BASE'!CN61=0,"",'[1]BASE'!CN61)</f>
      </c>
      <c r="R61" s="749">
        <f>IF('[1]BASE'!CO61=0,"",'[1]BASE'!CO61)</f>
      </c>
      <c r="S61" s="749">
        <f>IF('[1]BASE'!CP61=0,"",'[1]BASE'!CP61)</f>
      </c>
      <c r="T61" s="745"/>
      <c r="U61" s="742"/>
    </row>
    <row r="62" spans="2:21" s="737" customFormat="1" ht="19.5" customHeight="1">
      <c r="B62" s="738"/>
      <c r="C62" s="746">
        <f>IF('[1]BASE'!C62=0,"",'[1]BASE'!C62)</f>
        <v>46</v>
      </c>
      <c r="D62" s="746" t="str">
        <f>IF('[1]BASE'!D62=0,"",'[1]BASE'!D62)</f>
        <v>SALTO GRANDE - SANTO TOME </v>
      </c>
      <c r="E62" s="746">
        <f>IF('[1]BASE'!E62=0,"",'[1]BASE'!E62)</f>
        <v>500</v>
      </c>
      <c r="F62" s="746">
        <f>IF('[1]BASE'!F62=0,"",'[1]BASE'!F62)</f>
        <v>289</v>
      </c>
      <c r="G62" s="747" t="str">
        <f>IF('[1]BASE'!G62=0,"",'[1]BASE'!G62)</f>
        <v>C</v>
      </c>
      <c r="H62" s="747">
        <f>IF('[1]BASE'!CE62=0,"",'[1]BASE'!CE62)</f>
      </c>
      <c r="I62" s="747">
        <f>IF('[1]BASE'!CF62=0,"",'[1]BASE'!CF62)</f>
      </c>
      <c r="J62" s="747">
        <f>IF('[1]BASE'!CG62=0,"",'[1]BASE'!CG62)</f>
        <v>1</v>
      </c>
      <c r="K62" s="747">
        <f>IF('[1]BASE'!CH62=0,"",'[1]BASE'!CH62)</f>
      </c>
      <c r="L62" s="747">
        <f>IF('[1]BASE'!CI62=0,"",'[1]BASE'!CI62)</f>
      </c>
      <c r="M62" s="747">
        <f>IF('[1]BASE'!CJ62=0,"",'[1]BASE'!CJ62)</f>
      </c>
      <c r="N62" s="747">
        <f>IF('[1]BASE'!CK62=0,"",'[1]BASE'!CK62)</f>
      </c>
      <c r="O62" s="747">
        <f>IF('[1]BASE'!CL62=0,"",'[1]BASE'!CL62)</f>
      </c>
      <c r="P62" s="747">
        <f>IF('[1]BASE'!CM62=0,"",'[1]BASE'!CM62)</f>
      </c>
      <c r="Q62" s="747">
        <f>IF('[1]BASE'!CN62=0,"",'[1]BASE'!CN62)</f>
      </c>
      <c r="R62" s="747">
        <f>IF('[1]BASE'!CO62=0,"",'[1]BASE'!CO62)</f>
      </c>
      <c r="S62" s="747">
        <f>IF('[1]BASE'!CP62=0,"",'[1]BASE'!CP62)</f>
      </c>
      <c r="T62" s="745"/>
      <c r="U62" s="742"/>
    </row>
    <row r="63" spans="2:21" s="737" customFormat="1" ht="19.5" customHeight="1">
      <c r="B63" s="738"/>
      <c r="C63" s="748">
        <f>IF('[1]BASE'!C63=0,"",'[1]BASE'!C63)</f>
        <v>47</v>
      </c>
      <c r="D63" s="748" t="str">
        <f>IF('[1]BASE'!D63=0,"",'[1]BASE'!D63)</f>
        <v>SANTO TOME - ROMANG </v>
      </c>
      <c r="E63" s="748">
        <f>IF('[1]BASE'!E63=0,"",'[1]BASE'!E63)</f>
        <v>500</v>
      </c>
      <c r="F63" s="748">
        <f>IF('[1]BASE'!F63=0,"",'[1]BASE'!F63)</f>
        <v>270</v>
      </c>
      <c r="G63" s="749" t="str">
        <f>IF('[1]BASE'!G63=0,"",'[1]BASE'!G63)</f>
        <v>A</v>
      </c>
      <c r="H63" s="749">
        <f>IF('[1]BASE'!CE63=0,"",'[1]BASE'!CE63)</f>
      </c>
      <c r="I63" s="749">
        <f>IF('[1]BASE'!CF63=0,"",'[1]BASE'!CF63)</f>
      </c>
      <c r="J63" s="749">
        <f>IF('[1]BASE'!CG63=0,"",'[1]BASE'!CG63)</f>
      </c>
      <c r="K63" s="749">
        <f>IF('[1]BASE'!CH63=0,"",'[1]BASE'!CH63)</f>
      </c>
      <c r="L63" s="749">
        <f>IF('[1]BASE'!CI63=0,"",'[1]BASE'!CI63)</f>
      </c>
      <c r="M63" s="749">
        <f>IF('[1]BASE'!CJ63=0,"",'[1]BASE'!CJ63)</f>
      </c>
      <c r="N63" s="749">
        <f>IF('[1]BASE'!CK63=0,"",'[1]BASE'!CK63)</f>
      </c>
      <c r="O63" s="749">
        <f>IF('[1]BASE'!CL63=0,"",'[1]BASE'!CL63)</f>
        <v>1</v>
      </c>
      <c r="P63" s="749">
        <f>IF('[1]BASE'!CM63=0,"",'[1]BASE'!CM63)</f>
      </c>
      <c r="Q63" s="749">
        <f>IF('[1]BASE'!CN63=0,"",'[1]BASE'!CN63)</f>
      </c>
      <c r="R63" s="749">
        <f>IF('[1]BASE'!CO63=0,"",'[1]BASE'!CO63)</f>
      </c>
      <c r="S63" s="749">
        <f>IF('[1]BASE'!CP63=0,"",'[1]BASE'!CP63)</f>
      </c>
      <c r="T63" s="745"/>
      <c r="U63" s="742"/>
    </row>
    <row r="64" spans="2:21" s="737" customFormat="1" ht="19.5" customHeight="1">
      <c r="B64" s="738"/>
      <c r="C64" s="746">
        <f>IF('[1]BASE'!C64=0,"",'[1]BASE'!C64)</f>
      </c>
      <c r="D64" s="746">
        <f>IF('[1]BASE'!D64=0,"",'[1]BASE'!D64)</f>
      </c>
      <c r="E64" s="746">
        <f>IF('[1]BASE'!E64=0,"",'[1]BASE'!E64)</f>
      </c>
      <c r="F64" s="746">
        <f>IF('[1]BASE'!F64=0,"",'[1]BASE'!F64)</f>
      </c>
      <c r="G64" s="747">
        <f>IF('[1]BASE'!G64=0,"",'[1]BASE'!G64)</f>
      </c>
      <c r="H64" s="747">
        <f>IF('[1]BASE'!CE64=0,"",'[1]BASE'!CE64)</f>
      </c>
      <c r="I64" s="747">
        <f>IF('[1]BASE'!CF64=0,"",'[1]BASE'!CF64)</f>
      </c>
      <c r="J64" s="747">
        <f>IF('[1]BASE'!CG64=0,"",'[1]BASE'!CG64)</f>
      </c>
      <c r="K64" s="747">
        <f>IF('[1]BASE'!CH64=0,"",'[1]BASE'!CH64)</f>
      </c>
      <c r="L64" s="747">
        <f>IF('[1]BASE'!CI64=0,"",'[1]BASE'!CI64)</f>
      </c>
      <c r="M64" s="747">
        <f>IF('[1]BASE'!CJ64=0,"",'[1]BASE'!CJ64)</f>
      </c>
      <c r="N64" s="747">
        <f>IF('[1]BASE'!CK64=0,"",'[1]BASE'!CK64)</f>
      </c>
      <c r="O64" s="747">
        <f>IF('[1]BASE'!CL64=0,"",'[1]BASE'!CL64)</f>
      </c>
      <c r="P64" s="747">
        <f>IF('[1]BASE'!CM64=0,"",'[1]BASE'!CM64)</f>
      </c>
      <c r="Q64" s="747">
        <f>IF('[1]BASE'!CN64=0,"",'[1]BASE'!CN64)</f>
      </c>
      <c r="R64" s="747">
        <f>IF('[1]BASE'!CO64=0,"",'[1]BASE'!CO64)</f>
      </c>
      <c r="S64" s="747">
        <f>IF('[1]BASE'!CP64=0,"",'[1]BASE'!CP64)</f>
      </c>
      <c r="T64" s="745"/>
      <c r="U64" s="742"/>
    </row>
    <row r="65" spans="2:21" s="737" customFormat="1" ht="19.5" customHeight="1">
      <c r="B65" s="738"/>
      <c r="C65" s="748">
        <f>IF('[1]BASE'!C65=0,"",'[1]BASE'!C65)</f>
        <v>48</v>
      </c>
      <c r="D65" s="748" t="str">
        <f>IF('[1]BASE'!D65=0,"",'[1]BASE'!D65)</f>
        <v>GRAL. RODRIGUEZ - VILLA  LIA 1</v>
      </c>
      <c r="E65" s="748">
        <f>IF('[1]BASE'!E65=0,"",'[1]BASE'!E65)</f>
        <v>220</v>
      </c>
      <c r="F65" s="748">
        <f>IF('[1]BASE'!F65=0,"",'[1]BASE'!F65)</f>
        <v>61</v>
      </c>
      <c r="G65" s="749" t="str">
        <f>IF('[1]BASE'!G65=0,"",'[1]BASE'!G65)</f>
        <v>C</v>
      </c>
      <c r="H65" s="749">
        <f>IF('[1]BASE'!CE65=0,"",'[1]BASE'!CE65)</f>
      </c>
      <c r="I65" s="749">
        <f>IF('[1]BASE'!CF65=0,"",'[1]BASE'!CF65)</f>
      </c>
      <c r="J65" s="749">
        <f>IF('[1]BASE'!CG65=0,"",'[1]BASE'!CG65)</f>
        <v>1</v>
      </c>
      <c r="K65" s="749">
        <f>IF('[1]BASE'!CH65=0,"",'[1]BASE'!CH65)</f>
        <v>1</v>
      </c>
      <c r="L65" s="749">
        <f>IF('[1]BASE'!CI65=0,"",'[1]BASE'!CI65)</f>
      </c>
      <c r="M65" s="749">
        <f>IF('[1]BASE'!CJ65=0,"",'[1]BASE'!CJ65)</f>
      </c>
      <c r="N65" s="749">
        <f>IF('[1]BASE'!CK65=0,"",'[1]BASE'!CK65)</f>
      </c>
      <c r="O65" s="749">
        <f>IF('[1]BASE'!CL65=0,"",'[1]BASE'!CL65)</f>
      </c>
      <c r="P65" s="749">
        <f>IF('[1]BASE'!CM65=0,"",'[1]BASE'!CM65)</f>
      </c>
      <c r="Q65" s="749">
        <f>IF('[1]BASE'!CN65=0,"",'[1]BASE'!CN65)</f>
      </c>
      <c r="R65" s="749">
        <f>IF('[1]BASE'!CO65=0,"",'[1]BASE'!CO65)</f>
      </c>
      <c r="S65" s="749">
        <f>IF('[1]BASE'!CP65=0,"",'[1]BASE'!CP65)</f>
      </c>
      <c r="T65" s="745"/>
      <c r="U65" s="742"/>
    </row>
    <row r="66" spans="2:21" s="737" customFormat="1" ht="19.5" customHeight="1">
      <c r="B66" s="738"/>
      <c r="C66" s="746">
        <f>IF('[1]BASE'!C66=0,"",'[1]BASE'!C66)</f>
        <v>49</v>
      </c>
      <c r="D66" s="746" t="str">
        <f>IF('[1]BASE'!D66=0,"",'[1]BASE'!D66)</f>
        <v>GRAL. RODRIGUEZ - VILLA  LIA 2</v>
      </c>
      <c r="E66" s="746">
        <f>IF('[1]BASE'!E66=0,"",'[1]BASE'!E66)</f>
        <v>220</v>
      </c>
      <c r="F66" s="746">
        <f>IF('[1]BASE'!F66=0,"",'[1]BASE'!F66)</f>
        <v>61</v>
      </c>
      <c r="G66" s="747" t="str">
        <f>IF('[1]BASE'!G66=0,"",'[1]BASE'!G66)</f>
        <v>C</v>
      </c>
      <c r="H66" s="747">
        <f>IF('[1]BASE'!CE66=0,"",'[1]BASE'!CE66)</f>
      </c>
      <c r="I66" s="747">
        <f>IF('[1]BASE'!CF66=0,"",'[1]BASE'!CF66)</f>
      </c>
      <c r="J66" s="747">
        <f>IF('[1]BASE'!CG66=0,"",'[1]BASE'!CG66)</f>
      </c>
      <c r="K66" s="747">
        <f>IF('[1]BASE'!CH66=0,"",'[1]BASE'!CH66)</f>
      </c>
      <c r="L66" s="747">
        <f>IF('[1]BASE'!CI66=0,"",'[1]BASE'!CI66)</f>
      </c>
      <c r="M66" s="747">
        <f>IF('[1]BASE'!CJ66=0,"",'[1]BASE'!CJ66)</f>
      </c>
      <c r="N66" s="747">
        <f>IF('[1]BASE'!CK66=0,"",'[1]BASE'!CK66)</f>
      </c>
      <c r="O66" s="747">
        <f>IF('[1]BASE'!CL66=0,"",'[1]BASE'!CL66)</f>
      </c>
      <c r="P66" s="747">
        <f>IF('[1]BASE'!CM66=0,"",'[1]BASE'!CM66)</f>
      </c>
      <c r="Q66" s="747">
        <f>IF('[1]BASE'!CN66=0,"",'[1]BASE'!CN66)</f>
      </c>
      <c r="R66" s="747">
        <f>IF('[1]BASE'!CO66=0,"",'[1]BASE'!CO66)</f>
      </c>
      <c r="S66" s="747">
        <f>IF('[1]BASE'!CP66=0,"",'[1]BASE'!CP66)</f>
      </c>
      <c r="T66" s="745"/>
      <c r="U66" s="742"/>
    </row>
    <row r="67" spans="2:21" s="737" customFormat="1" ht="19.5" customHeight="1">
      <c r="B67" s="738"/>
      <c r="C67" s="748">
        <f>IF('[1]BASE'!C67=0,"",'[1]BASE'!C67)</f>
        <v>50</v>
      </c>
      <c r="D67" s="748" t="str">
        <f>IF('[1]BASE'!D67=0,"",'[1]BASE'!D67)</f>
        <v>RAMALLO - SAN NICOLAS (2)</v>
      </c>
      <c r="E67" s="748">
        <f>IF('[1]BASE'!E67=0,"",'[1]BASE'!E67)</f>
        <v>220</v>
      </c>
      <c r="F67" s="748">
        <f>IF('[1]BASE'!F67=0,"",'[1]BASE'!F67)</f>
        <v>6</v>
      </c>
      <c r="G67" s="749" t="str">
        <f>IF('[1]BASE'!G67=0,"",'[1]BASE'!G67)</f>
        <v>C</v>
      </c>
      <c r="H67" s="749">
        <f>IF('[1]BASE'!CE67=0,"",'[1]BASE'!CE67)</f>
      </c>
      <c r="I67" s="749">
        <f>IF('[1]BASE'!CF67=0,"",'[1]BASE'!CF67)</f>
      </c>
      <c r="J67" s="749">
        <f>IF('[1]BASE'!CG67=0,"",'[1]BASE'!CG67)</f>
      </c>
      <c r="K67" s="749">
        <f>IF('[1]BASE'!CH67=0,"",'[1]BASE'!CH67)</f>
      </c>
      <c r="L67" s="749">
        <f>IF('[1]BASE'!CI67=0,"",'[1]BASE'!CI67)</f>
      </c>
      <c r="M67" s="749">
        <f>IF('[1]BASE'!CJ67=0,"",'[1]BASE'!CJ67)</f>
        <v>1</v>
      </c>
      <c r="N67" s="749">
        <f>IF('[1]BASE'!CK67=0,"",'[1]BASE'!CK67)</f>
      </c>
      <c r="O67" s="749">
        <f>IF('[1]BASE'!CL67=0,"",'[1]BASE'!CL67)</f>
      </c>
      <c r="P67" s="749">
        <f>IF('[1]BASE'!CM67=0,"",'[1]BASE'!CM67)</f>
      </c>
      <c r="Q67" s="749">
        <f>IF('[1]BASE'!CN67=0,"",'[1]BASE'!CN67)</f>
      </c>
      <c r="R67" s="749">
        <f>IF('[1]BASE'!CO67=0,"",'[1]BASE'!CO67)</f>
      </c>
      <c r="S67" s="749">
        <f>IF('[1]BASE'!CP67=0,"",'[1]BASE'!CP67)</f>
      </c>
      <c r="T67" s="745"/>
      <c r="U67" s="742"/>
    </row>
    <row r="68" spans="2:21" s="737" customFormat="1" ht="19.5" customHeight="1">
      <c r="B68" s="738"/>
      <c r="C68" s="746">
        <f>IF('[1]BASE'!C68=0,"",'[1]BASE'!C68)</f>
        <v>51</v>
      </c>
      <c r="D68" s="746" t="str">
        <f>IF('[1]BASE'!D68=0,"",'[1]BASE'!D68)</f>
        <v>RAMALLO - SAN NICOLAS (1)</v>
      </c>
      <c r="E68" s="746">
        <f>IF('[1]BASE'!E68=0,"",'[1]BASE'!E68)</f>
        <v>220</v>
      </c>
      <c r="F68" s="746">
        <f>IF('[1]BASE'!F68=0,"",'[1]BASE'!F68)</f>
        <v>6</v>
      </c>
      <c r="G68" s="747" t="str">
        <f>IF('[1]BASE'!G68=0,"",'[1]BASE'!G68)</f>
        <v>C</v>
      </c>
      <c r="H68" s="747">
        <f>IF('[1]BASE'!CE68=0,"",'[1]BASE'!CE68)</f>
      </c>
      <c r="I68" s="747">
        <f>IF('[1]BASE'!CF68=0,"",'[1]BASE'!CF68)</f>
      </c>
      <c r="J68" s="747">
        <f>IF('[1]BASE'!CG68=0,"",'[1]BASE'!CG68)</f>
      </c>
      <c r="K68" s="747">
        <f>IF('[1]BASE'!CH68=0,"",'[1]BASE'!CH68)</f>
      </c>
      <c r="L68" s="747">
        <f>IF('[1]BASE'!CI68=0,"",'[1]BASE'!CI68)</f>
      </c>
      <c r="M68" s="747">
        <f>IF('[1]BASE'!CJ68=0,"",'[1]BASE'!CJ68)</f>
      </c>
      <c r="N68" s="747">
        <f>IF('[1]BASE'!CK68=0,"",'[1]BASE'!CK68)</f>
      </c>
      <c r="O68" s="747">
        <f>IF('[1]BASE'!CL68=0,"",'[1]BASE'!CL68)</f>
      </c>
      <c r="P68" s="747">
        <f>IF('[1]BASE'!CM68=0,"",'[1]BASE'!CM68)</f>
      </c>
      <c r="Q68" s="747">
        <f>IF('[1]BASE'!CN68=0,"",'[1]BASE'!CN68)</f>
      </c>
      <c r="R68" s="747">
        <f>IF('[1]BASE'!CO68=0,"",'[1]BASE'!CO68)</f>
      </c>
      <c r="S68" s="747">
        <f>IF('[1]BASE'!CP68=0,"",'[1]BASE'!CP68)</f>
      </c>
      <c r="T68" s="745"/>
      <c r="U68" s="742"/>
    </row>
    <row r="69" spans="2:21" s="737" customFormat="1" ht="19.5" customHeight="1">
      <c r="B69" s="738"/>
      <c r="C69" s="748">
        <f>IF('[1]BASE'!C69=0,"",'[1]BASE'!C69)</f>
        <v>52</v>
      </c>
      <c r="D69" s="748" t="str">
        <f>IF('[1]BASE'!D69=0,"",'[1]BASE'!D69)</f>
        <v>RAMALLO - VILLA LIA  1</v>
      </c>
      <c r="E69" s="748">
        <f>IF('[1]BASE'!E69=0,"",'[1]BASE'!E69)</f>
        <v>220</v>
      </c>
      <c r="F69" s="749">
        <f>IF('[1]BASE'!F69=0,"",'[1]BASE'!F69)</f>
        <v>114</v>
      </c>
      <c r="G69" s="749" t="str">
        <f>IF('[1]BASE'!G69=0,"",'[1]BASE'!G69)</f>
        <v>C</v>
      </c>
      <c r="H69" s="749">
        <f>IF('[1]BASE'!CE69=0,"",'[1]BASE'!CE69)</f>
      </c>
      <c r="I69" s="749">
        <f>IF('[1]BASE'!CF69=0,"",'[1]BASE'!CF69)</f>
      </c>
      <c r="J69" s="749">
        <f>IF('[1]BASE'!CG69=0,"",'[1]BASE'!CG69)</f>
      </c>
      <c r="K69" s="749">
        <f>IF('[1]BASE'!CH69=0,"",'[1]BASE'!CH69)</f>
      </c>
      <c r="L69" s="749">
        <f>IF('[1]BASE'!CI69=0,"",'[1]BASE'!CI69)</f>
      </c>
      <c r="M69" s="749">
        <f>IF('[1]BASE'!CJ69=0,"",'[1]BASE'!CJ69)</f>
      </c>
      <c r="N69" s="749">
        <f>IF('[1]BASE'!CK69=0,"",'[1]BASE'!CK69)</f>
      </c>
      <c r="O69" s="749">
        <f>IF('[1]BASE'!CL69=0,"",'[1]BASE'!CL69)</f>
        <v>1</v>
      </c>
      <c r="P69" s="749">
        <f>IF('[1]BASE'!CM69=0,"",'[1]BASE'!CM69)</f>
        <v>1</v>
      </c>
      <c r="Q69" s="749">
        <f>IF('[1]BASE'!CN69=0,"",'[1]BASE'!CN69)</f>
      </c>
      <c r="R69" s="749">
        <f>IF('[1]BASE'!CO69=0,"",'[1]BASE'!CO69)</f>
        <v>1</v>
      </c>
      <c r="S69" s="749">
        <f>IF('[1]BASE'!CP69=0,"",'[1]BASE'!CP69)</f>
      </c>
      <c r="T69" s="745"/>
      <c r="U69" s="742"/>
    </row>
    <row r="70" spans="2:21" s="737" customFormat="1" ht="19.5" customHeight="1">
      <c r="B70" s="738"/>
      <c r="C70" s="746">
        <f>IF('[1]BASE'!C70=0,"",'[1]BASE'!C70)</f>
        <v>53</v>
      </c>
      <c r="D70" s="746" t="str">
        <f>IF('[1]BASE'!D70=0,"",'[1]BASE'!D70)</f>
        <v>RAMALLO - VILLA LIA  2</v>
      </c>
      <c r="E70" s="746">
        <f>IF('[1]BASE'!E70=0,"",'[1]BASE'!E70)</f>
        <v>220</v>
      </c>
      <c r="F70" s="747">
        <f>IF('[1]BASE'!F70=0,"",'[1]BASE'!F70)</f>
        <v>114</v>
      </c>
      <c r="G70" s="747" t="str">
        <f>IF('[1]BASE'!G70=0,"",'[1]BASE'!G70)</f>
        <v>C</v>
      </c>
      <c r="H70" s="747">
        <f>IF('[1]BASE'!CE70=0,"",'[1]BASE'!CE70)</f>
      </c>
      <c r="I70" s="747">
        <f>IF('[1]BASE'!CF70=0,"",'[1]BASE'!CF70)</f>
      </c>
      <c r="J70" s="747">
        <f>IF('[1]BASE'!CG70=0,"",'[1]BASE'!CG70)</f>
        <v>1</v>
      </c>
      <c r="K70" s="747">
        <f>IF('[1]BASE'!CH70=0,"",'[1]BASE'!CH70)</f>
      </c>
      <c r="L70" s="747">
        <f>IF('[1]BASE'!CI70=0,"",'[1]BASE'!CI70)</f>
      </c>
      <c r="M70" s="747">
        <f>IF('[1]BASE'!CJ70=0,"",'[1]BASE'!CJ70)</f>
      </c>
      <c r="N70" s="747">
        <f>IF('[1]BASE'!CK70=0,"",'[1]BASE'!CK70)</f>
      </c>
      <c r="O70" s="747">
        <f>IF('[1]BASE'!CL70=0,"",'[1]BASE'!CL70)</f>
        <v>1</v>
      </c>
      <c r="P70" s="747">
        <f>IF('[1]BASE'!CM70=0,"",'[1]BASE'!CM70)</f>
      </c>
      <c r="Q70" s="747">
        <f>IF('[1]BASE'!CN70=0,"",'[1]BASE'!CN70)</f>
      </c>
      <c r="R70" s="747">
        <f>IF('[1]BASE'!CO70=0,"",'[1]BASE'!CO70)</f>
      </c>
      <c r="S70" s="747">
        <f>IF('[1]BASE'!CP70=0,"",'[1]BASE'!CP70)</f>
      </c>
      <c r="T70" s="745"/>
      <c r="U70" s="742"/>
    </row>
    <row r="71" spans="2:21" s="737" customFormat="1" ht="19.5" customHeight="1">
      <c r="B71" s="738"/>
      <c r="C71" s="748">
        <f>IF('[1]BASE'!C71=0,"",'[1]BASE'!C71)</f>
        <v>54</v>
      </c>
      <c r="D71" s="748" t="str">
        <f>IF('[1]BASE'!D71=0,"",'[1]BASE'!D71)</f>
        <v>ROSARIO OESTE - RAMALLO  1</v>
      </c>
      <c r="E71" s="748">
        <f>IF('[1]BASE'!E71=0,"",'[1]BASE'!E71)</f>
        <v>220</v>
      </c>
      <c r="F71" s="749">
        <f>IF('[1]BASE'!F71=0,"",'[1]BASE'!F71)</f>
        <v>77</v>
      </c>
      <c r="G71" s="749" t="str">
        <f>IF('[1]BASE'!G71=0,"",'[1]BASE'!G71)</f>
        <v>C</v>
      </c>
      <c r="H71" s="749">
        <f>IF('[1]BASE'!CE71=0,"",'[1]BASE'!CE71)</f>
      </c>
      <c r="I71" s="749">
        <f>IF('[1]BASE'!CF71=0,"",'[1]BASE'!CF71)</f>
      </c>
      <c r="J71" s="749">
        <f>IF('[1]BASE'!CG71=0,"",'[1]BASE'!CG71)</f>
      </c>
      <c r="K71" s="749">
        <f>IF('[1]BASE'!CH71=0,"",'[1]BASE'!CH71)</f>
      </c>
      <c r="L71" s="749">
        <f>IF('[1]BASE'!CI71=0,"",'[1]BASE'!CI71)</f>
      </c>
      <c r="M71" s="749">
        <f>IF('[1]BASE'!CJ71=0,"",'[1]BASE'!CJ71)</f>
      </c>
      <c r="N71" s="749">
        <f>IF('[1]BASE'!CK71=0,"",'[1]BASE'!CK71)</f>
        <v>1</v>
      </c>
      <c r="O71" s="749">
        <f>IF('[1]BASE'!CL71=0,"",'[1]BASE'!CL71)</f>
        <v>1</v>
      </c>
      <c r="P71" s="749">
        <f>IF('[1]BASE'!CM71=0,"",'[1]BASE'!CM71)</f>
        <v>1</v>
      </c>
      <c r="Q71" s="749">
        <f>IF('[1]BASE'!CN71=0,"",'[1]BASE'!CN71)</f>
        <v>1</v>
      </c>
      <c r="R71" s="749">
        <f>IF('[1]BASE'!CO71=0,"",'[1]BASE'!CO71)</f>
        <v>1</v>
      </c>
      <c r="S71" s="749">
        <f>IF('[1]BASE'!CP71=0,"",'[1]BASE'!CP71)</f>
      </c>
      <c r="T71" s="745"/>
      <c r="U71" s="742"/>
    </row>
    <row r="72" spans="2:21" s="737" customFormat="1" ht="19.5" customHeight="1">
      <c r="B72" s="738"/>
      <c r="C72" s="746">
        <f>IF('[1]BASE'!C72=0,"",'[1]BASE'!C72)</f>
        <v>55</v>
      </c>
      <c r="D72" s="746" t="str">
        <f>IF('[1]BASE'!D72=0,"",'[1]BASE'!D72)</f>
        <v>ROSARIO OESTE - RAMALLO  2</v>
      </c>
      <c r="E72" s="746">
        <f>IF('[1]BASE'!E72=0,"",'[1]BASE'!E72)</f>
        <v>220</v>
      </c>
      <c r="F72" s="747">
        <f>IF('[1]BASE'!F72=0,"",'[1]BASE'!F72)</f>
        <v>77</v>
      </c>
      <c r="G72" s="747" t="str">
        <f>IF('[1]BASE'!G72=0,"",'[1]BASE'!G72)</f>
        <v>C</v>
      </c>
      <c r="H72" s="747">
        <f>IF('[1]BASE'!CE72=0,"",'[1]BASE'!CE72)</f>
      </c>
      <c r="I72" s="747">
        <f>IF('[1]BASE'!CF72=0,"",'[1]BASE'!CF72)</f>
      </c>
      <c r="J72" s="747">
        <f>IF('[1]BASE'!CG72=0,"",'[1]BASE'!CG72)</f>
      </c>
      <c r="K72" s="747">
        <f>IF('[1]BASE'!CH72=0,"",'[1]BASE'!CH72)</f>
      </c>
      <c r="L72" s="747">
        <f>IF('[1]BASE'!CI72=0,"",'[1]BASE'!CI72)</f>
      </c>
      <c r="M72" s="747">
        <f>IF('[1]BASE'!CJ72=0,"",'[1]BASE'!CJ72)</f>
      </c>
      <c r="N72" s="747">
        <f>IF('[1]BASE'!CK72=0,"",'[1]BASE'!CK72)</f>
      </c>
      <c r="O72" s="747">
        <f>IF('[1]BASE'!CL72=0,"",'[1]BASE'!CL72)</f>
      </c>
      <c r="P72" s="747">
        <f>IF('[1]BASE'!CM72=0,"",'[1]BASE'!CM72)</f>
      </c>
      <c r="Q72" s="747">
        <f>IF('[1]BASE'!CN72=0,"",'[1]BASE'!CN72)</f>
      </c>
      <c r="R72" s="747">
        <f>IF('[1]BASE'!CO72=0,"",'[1]BASE'!CO72)</f>
      </c>
      <c r="S72" s="747">
        <f>IF('[1]BASE'!CP72=0,"",'[1]BASE'!CP72)</f>
      </c>
      <c r="T72" s="745"/>
      <c r="U72" s="742"/>
    </row>
    <row r="73" spans="2:21" s="737" customFormat="1" ht="19.5" customHeight="1">
      <c r="B73" s="738"/>
      <c r="C73" s="748">
        <f>IF('[1]BASE'!C73=0,"",'[1]BASE'!C73)</f>
        <v>56</v>
      </c>
      <c r="D73" s="748" t="str">
        <f>IF('[1]BASE'!D73=0,"",'[1]BASE'!D73)</f>
        <v>VILLA LIA - ATUCHA 1</v>
      </c>
      <c r="E73" s="748">
        <f>IF('[1]BASE'!E73=0,"",'[1]BASE'!E73)</f>
        <v>220</v>
      </c>
      <c r="F73" s="748">
        <f>IF('[1]BASE'!F73=0,"",'[1]BASE'!F73)</f>
        <v>26</v>
      </c>
      <c r="G73" s="749" t="str">
        <f>IF('[1]BASE'!G73=0,"",'[1]BASE'!G73)</f>
        <v>C</v>
      </c>
      <c r="H73" s="749">
        <f>IF('[1]BASE'!CE73=0,"",'[1]BASE'!CE73)</f>
      </c>
      <c r="I73" s="749">
        <f>IF('[1]BASE'!CF73=0,"",'[1]BASE'!CF73)</f>
      </c>
      <c r="J73" s="749">
        <f>IF('[1]BASE'!CG73=0,"",'[1]BASE'!CG73)</f>
      </c>
      <c r="K73" s="749">
        <f>IF('[1]BASE'!CH73=0,"",'[1]BASE'!CH73)</f>
      </c>
      <c r="L73" s="749">
        <f>IF('[1]BASE'!CI73=0,"",'[1]BASE'!CI73)</f>
      </c>
      <c r="M73" s="749">
        <f>IF('[1]BASE'!CJ73=0,"",'[1]BASE'!CJ73)</f>
      </c>
      <c r="N73" s="749">
        <f>IF('[1]BASE'!CK73=0,"",'[1]BASE'!CK73)</f>
      </c>
      <c r="O73" s="749">
        <f>IF('[1]BASE'!CL73=0,"",'[1]BASE'!CL73)</f>
        <v>1</v>
      </c>
      <c r="P73" s="749">
        <f>IF('[1]BASE'!CM73=0,"",'[1]BASE'!CM73)</f>
      </c>
      <c r="Q73" s="749">
        <f>IF('[1]BASE'!CN73=0,"",'[1]BASE'!CN73)</f>
        <v>1</v>
      </c>
      <c r="R73" s="749">
        <f>IF('[1]BASE'!CO73=0,"",'[1]BASE'!CO73)</f>
        <v>1</v>
      </c>
      <c r="S73" s="749">
        <f>IF('[1]BASE'!CP73=0,"",'[1]BASE'!CP73)</f>
      </c>
      <c r="T73" s="745"/>
      <c r="U73" s="742"/>
    </row>
    <row r="74" spans="2:21" s="737" customFormat="1" ht="19.5" customHeight="1">
      <c r="B74" s="738"/>
      <c r="C74" s="746">
        <f>IF('[1]BASE'!C74=0,"",'[1]BASE'!C74)</f>
        <v>57</v>
      </c>
      <c r="D74" s="746" t="str">
        <f>IF('[1]BASE'!D74=0,"",'[1]BASE'!D74)</f>
        <v>VILLA LIA - ATUCHA 2</v>
      </c>
      <c r="E74" s="746">
        <f>IF('[1]BASE'!E74=0,"",'[1]BASE'!E74)</f>
        <v>220</v>
      </c>
      <c r="F74" s="746">
        <f>IF('[1]BASE'!F74=0,"",'[1]BASE'!F74)</f>
        <v>26</v>
      </c>
      <c r="G74" s="747" t="str">
        <f>IF('[1]BASE'!G74=0,"",'[1]BASE'!G74)</f>
        <v>C</v>
      </c>
      <c r="H74" s="750">
        <f>IF('[1]BASE'!CE74=0,"",'[1]BASE'!CE74)</f>
      </c>
      <c r="I74" s="750">
        <f>IF('[1]BASE'!CF74=0,"",'[1]BASE'!CF74)</f>
      </c>
      <c r="J74" s="750">
        <f>IF('[1]BASE'!CG74=0,"",'[1]BASE'!CG74)</f>
      </c>
      <c r="K74" s="750">
        <f>IF('[1]BASE'!CH74=0,"",'[1]BASE'!CH74)</f>
      </c>
      <c r="L74" s="750">
        <f>IF('[1]BASE'!CI74=0,"",'[1]BASE'!CI74)</f>
      </c>
      <c r="M74" s="750">
        <f>IF('[1]BASE'!CJ74=0,"",'[1]BASE'!CJ74)</f>
      </c>
      <c r="N74" s="750">
        <f>IF('[1]BASE'!CK74=0,"",'[1]BASE'!CK74)</f>
      </c>
      <c r="O74" s="750">
        <f>IF('[1]BASE'!CL74=0,"",'[1]BASE'!CL74)</f>
      </c>
      <c r="P74" s="750">
        <f>IF('[1]BASE'!CM74=0,"",'[1]BASE'!CM74)</f>
      </c>
      <c r="Q74" s="750">
        <f>IF('[1]BASE'!CN74=0,"",'[1]BASE'!CN74)</f>
      </c>
      <c r="R74" s="750">
        <f>IF('[1]BASE'!CO74=0,"",'[1]BASE'!CO74)</f>
        <v>1</v>
      </c>
      <c r="S74" s="750">
        <f>IF('[1]BASE'!CP74=0,"",'[1]BASE'!CP74)</f>
      </c>
      <c r="T74" s="745"/>
      <c r="U74" s="742"/>
    </row>
    <row r="75" spans="2:21" s="737" customFormat="1" ht="19.5" customHeight="1">
      <c r="B75" s="738"/>
      <c r="C75" s="748">
        <f>IF('[1]BASE'!C75=0,"",'[1]BASE'!C75)</f>
      </c>
      <c r="D75" s="748">
        <f>IF('[1]BASE'!D75=0,"",'[1]BASE'!D75)</f>
      </c>
      <c r="E75" s="748">
        <f>IF('[1]BASE'!E75=0,"",'[1]BASE'!E75)</f>
      </c>
      <c r="F75" s="748">
        <f>IF('[1]BASE'!F75=0,"",'[1]BASE'!F75)</f>
      </c>
      <c r="G75" s="749">
        <f>IF('[1]BASE'!G75=0,"",'[1]BASE'!G75)</f>
      </c>
      <c r="H75" s="749">
        <f>IF('[1]BASE'!CE75=0,"",'[1]BASE'!CE75)</f>
      </c>
      <c r="I75" s="749">
        <f>IF('[1]BASE'!CF75=0,"",'[1]BASE'!CF75)</f>
      </c>
      <c r="J75" s="749">
        <f>IF('[1]BASE'!CG75=0,"",'[1]BASE'!CG75)</f>
      </c>
      <c r="K75" s="749">
        <f>IF('[1]BASE'!CH75=0,"",'[1]BASE'!CH75)</f>
      </c>
      <c r="L75" s="749">
        <f>IF('[1]BASE'!CI75=0,"",'[1]BASE'!CI75)</f>
      </c>
      <c r="M75" s="749">
        <f>IF('[1]BASE'!CJ75=0,"",'[1]BASE'!CJ75)</f>
      </c>
      <c r="N75" s="749">
        <f>IF('[1]BASE'!CK75=0,"",'[1]BASE'!CK75)</f>
      </c>
      <c r="O75" s="749">
        <f>IF('[1]BASE'!CL75=0,"",'[1]BASE'!CL75)</f>
      </c>
      <c r="P75" s="749">
        <f>IF('[1]BASE'!CM75=0,"",'[1]BASE'!CM75)</f>
      </c>
      <c r="Q75" s="749">
        <f>IF('[1]BASE'!CN75=0,"",'[1]BASE'!CN75)</f>
      </c>
      <c r="R75" s="749">
        <f>IF('[1]BASE'!CO75=0,"",'[1]BASE'!CO75)</f>
      </c>
      <c r="S75" s="749">
        <f>IF('[1]BASE'!CP75=0,"",'[1]BASE'!CP75)</f>
      </c>
      <c r="T75" s="745"/>
      <c r="U75" s="742"/>
    </row>
    <row r="76" spans="2:21" s="737" customFormat="1" ht="19.5" customHeight="1">
      <c r="B76" s="738"/>
      <c r="C76" s="746">
        <f>IF('[1]BASE'!C76=0,"",'[1]BASE'!C76)</f>
        <v>58</v>
      </c>
      <c r="D76" s="746" t="str">
        <f>IF('[1]BASE'!D76=0,"",'[1]BASE'!D76)</f>
        <v>GRAL RODRIGUEZ - RAMALLO</v>
      </c>
      <c r="E76" s="746">
        <f>IF('[1]BASE'!E76=0,"",'[1]BASE'!E76)</f>
        <v>500</v>
      </c>
      <c r="F76" s="747">
        <f>IF('[1]BASE'!F76=0,"",'[1]BASE'!F76)</f>
        <v>183.9</v>
      </c>
      <c r="G76" s="747" t="str">
        <f>IF('[1]BASE'!G76=0,"",'[1]BASE'!G76)</f>
        <v>C</v>
      </c>
      <c r="H76" s="747" t="str">
        <f>IF('[1]BASE'!CE76=0,"",'[1]BASE'!CE76)</f>
        <v>XXXX</v>
      </c>
      <c r="I76" s="747" t="str">
        <f>IF('[1]BASE'!CF76=0,"",'[1]BASE'!CF76)</f>
        <v>XXXX</v>
      </c>
      <c r="J76" s="747" t="str">
        <f>IF('[1]BASE'!CG76=0,"",'[1]BASE'!CG76)</f>
        <v>XXXX</v>
      </c>
      <c r="K76" s="747" t="str">
        <f>IF('[1]BASE'!CH76=0,"",'[1]BASE'!CH76)</f>
        <v>XXXX</v>
      </c>
      <c r="L76" s="747" t="str">
        <f>IF('[1]BASE'!CI76=0,"",'[1]BASE'!CI76)</f>
        <v>XXXX</v>
      </c>
      <c r="M76" s="747" t="str">
        <f>IF('[1]BASE'!CJ76=0,"",'[1]BASE'!CJ76)</f>
        <v>XXXX</v>
      </c>
      <c r="N76" s="747" t="str">
        <f>IF('[1]BASE'!CK76=0,"",'[1]BASE'!CK76)</f>
        <v>XXXX</v>
      </c>
      <c r="O76" s="747" t="str">
        <f>IF('[1]BASE'!CL76=0,"",'[1]BASE'!CL76)</f>
        <v>XXXX</v>
      </c>
      <c r="P76" s="747">
        <f>IF('[1]BASE'!CM76=0,"",'[1]BASE'!CM76)</f>
        <v>4</v>
      </c>
      <c r="Q76" s="747">
        <f>IF('[1]BASE'!CN76=0,"",'[1]BASE'!CN76)</f>
        <v>1</v>
      </c>
      <c r="R76" s="747">
        <f>IF('[1]BASE'!CO76=0,"",'[1]BASE'!CO76)</f>
        <v>3</v>
      </c>
      <c r="S76" s="747">
        <f>IF('[1]BASE'!CP76=0,"",'[1]BASE'!CP76)</f>
      </c>
      <c r="T76" s="745"/>
      <c r="U76" s="742"/>
    </row>
    <row r="77" spans="2:21" s="737" customFormat="1" ht="19.5" customHeight="1">
      <c r="B77" s="738"/>
      <c r="C77" s="748">
        <f>IF('[1]BASE'!C77=0,"",'[1]BASE'!C77)</f>
        <v>59</v>
      </c>
      <c r="D77" s="748" t="str">
        <f>IF('[1]BASE'!D77=0,"",'[1]BASE'!D77)</f>
        <v>RAMALLO - ROSARIO OESTE</v>
      </c>
      <c r="E77" s="748">
        <f>IF('[1]BASE'!E77=0,"",'[1]BASE'!E77)</f>
        <v>500</v>
      </c>
      <c r="F77" s="749">
        <f>IF('[1]BASE'!F77=0,"",'[1]BASE'!F77)</f>
        <v>77</v>
      </c>
      <c r="G77" s="749" t="str">
        <f>IF('[1]BASE'!G77=0,"",'[1]BASE'!G77)</f>
        <v>C</v>
      </c>
      <c r="H77" s="749" t="str">
        <f>IF('[1]BASE'!CE77=0,"",'[1]BASE'!CE77)</f>
        <v>XXXX</v>
      </c>
      <c r="I77" s="749" t="str">
        <f>IF('[1]BASE'!CF77=0,"",'[1]BASE'!CF77)</f>
        <v>XXXX</v>
      </c>
      <c r="J77" s="749" t="str">
        <f>IF('[1]BASE'!CG77=0,"",'[1]BASE'!CG77)</f>
        <v>XXXX</v>
      </c>
      <c r="K77" s="749" t="str">
        <f>IF('[1]BASE'!CH77=0,"",'[1]BASE'!CH77)</f>
        <v>XXXX</v>
      </c>
      <c r="L77" s="749" t="str">
        <f>IF('[1]BASE'!CI77=0,"",'[1]BASE'!CI77)</f>
        <v>XXXX</v>
      </c>
      <c r="M77" s="749" t="str">
        <f>IF('[1]BASE'!CJ77=0,"",'[1]BASE'!CJ77)</f>
        <v>XXXX</v>
      </c>
      <c r="N77" s="749" t="str">
        <f>IF('[1]BASE'!CK77=0,"",'[1]BASE'!CK77)</f>
        <v>XXXX</v>
      </c>
      <c r="O77" s="749" t="str">
        <f>IF('[1]BASE'!CL77=0,"",'[1]BASE'!CL77)</f>
        <v>XXXX</v>
      </c>
      <c r="P77" s="749">
        <f>IF('[1]BASE'!CM77=0,"",'[1]BASE'!CM77)</f>
      </c>
      <c r="Q77" s="749">
        <f>IF('[1]BASE'!CN77=0,"",'[1]BASE'!CN77)</f>
        <v>1</v>
      </c>
      <c r="R77" s="749">
        <f>IF('[1]BASE'!CO77=0,"",'[1]BASE'!CO77)</f>
        <v>1</v>
      </c>
      <c r="S77" s="749">
        <f>IF('[1]BASE'!CP77=0,"",'[1]BASE'!CP77)</f>
      </c>
      <c r="T77" s="745"/>
      <c r="U77" s="742"/>
    </row>
    <row r="78" spans="2:21" s="737" customFormat="1" ht="19.5" customHeight="1">
      <c r="B78" s="738"/>
      <c r="C78" s="746">
        <f>IF('[1]BASE'!C78=0,"",'[1]BASE'!C78)</f>
        <v>60</v>
      </c>
      <c r="D78" s="746" t="str">
        <f>IF('[1]BASE'!D78=0,"",'[1]BASE'!D78)</f>
        <v>MACACHIN - HENDERSON</v>
      </c>
      <c r="E78" s="746">
        <f>IF('[1]BASE'!E78=0,"",'[1]BASE'!E78)</f>
        <v>500</v>
      </c>
      <c r="F78" s="747">
        <f>IF('[1]BASE'!F78=0,"",'[1]BASE'!F78)</f>
        <v>194</v>
      </c>
      <c r="G78" s="747" t="str">
        <f>IF('[1]BASE'!G78=0,"",'[1]BASE'!G78)</f>
        <v>A</v>
      </c>
      <c r="H78" s="747" t="str">
        <f>IF('[1]BASE'!CE78=0,"",'[1]BASE'!CE78)</f>
        <v>XXXX</v>
      </c>
      <c r="I78" s="747" t="str">
        <f>IF('[1]BASE'!CF78=0,"",'[1]BASE'!CF78)</f>
        <v>XXXX</v>
      </c>
      <c r="J78" s="747" t="str">
        <f>IF('[1]BASE'!CG78=0,"",'[1]BASE'!CG78)</f>
        <v>XXXX</v>
      </c>
      <c r="K78" s="747" t="str">
        <f>IF('[1]BASE'!CH78=0,"",'[1]BASE'!CH78)</f>
        <v>XXXX</v>
      </c>
      <c r="L78" s="747" t="str">
        <f>IF('[1]BASE'!CI78=0,"",'[1]BASE'!CI78)</f>
        <v>XXXX</v>
      </c>
      <c r="M78" s="747" t="str">
        <f>IF('[1]BASE'!CJ78=0,"",'[1]BASE'!CJ78)</f>
        <v>XXXX</v>
      </c>
      <c r="N78" s="747" t="str">
        <f>IF('[1]BASE'!CK78=0,"",'[1]BASE'!CK78)</f>
        <v>XXXX</v>
      </c>
      <c r="O78" s="747" t="str">
        <f>IF('[1]BASE'!CL78=0,"",'[1]BASE'!CL78)</f>
        <v>XXXX</v>
      </c>
      <c r="P78" s="747" t="str">
        <f>IF('[1]BASE'!CM78=0,"",'[1]BASE'!CM78)</f>
        <v>XXXX</v>
      </c>
      <c r="Q78" s="747" t="str">
        <f>IF('[1]BASE'!CN78=0,"",'[1]BASE'!CN78)</f>
        <v>XXXX</v>
      </c>
      <c r="R78" s="747" t="str">
        <f>IF('[1]BASE'!CO78=0,"",'[1]BASE'!CO78)</f>
        <v>XXXX</v>
      </c>
      <c r="S78" s="747" t="str">
        <f>IF('[1]BASE'!CP78=0,"",'[1]BASE'!CP78)</f>
        <v>XXXX</v>
      </c>
      <c r="T78" s="745"/>
      <c r="U78" s="742"/>
    </row>
    <row r="79" spans="2:21" s="737" customFormat="1" ht="19.5" customHeight="1">
      <c r="B79" s="738"/>
      <c r="C79" s="748">
        <f>IF('[1]BASE'!C79=0,"",'[1]BASE'!C79)</f>
        <v>61</v>
      </c>
      <c r="D79" s="748" t="str">
        <f>IF('[1]BASE'!D79=0,"",'[1]BASE'!D79)</f>
        <v>PUELCHES - MACACHIN</v>
      </c>
      <c r="E79" s="748">
        <f>IF('[1]BASE'!E79=0,"",'[1]BASE'!E79)</f>
        <v>500</v>
      </c>
      <c r="F79" s="748">
        <f>IF('[1]BASE'!F79=0,"",'[1]BASE'!F79)</f>
        <v>227</v>
      </c>
      <c r="G79" s="749" t="str">
        <f>IF('[1]BASE'!G79=0,"",'[1]BASE'!G79)</f>
        <v>A</v>
      </c>
      <c r="H79" s="749" t="str">
        <f>IF('[1]BASE'!CE79=0,"",'[1]BASE'!CE79)</f>
        <v>XXXX</v>
      </c>
      <c r="I79" s="749" t="str">
        <f>IF('[1]BASE'!CF79=0,"",'[1]BASE'!CF79)</f>
        <v>XXXX</v>
      </c>
      <c r="J79" s="749" t="str">
        <f>IF('[1]BASE'!CG79=0,"",'[1]BASE'!CG79)</f>
        <v>XXXX</v>
      </c>
      <c r="K79" s="749" t="str">
        <f>IF('[1]BASE'!CH79=0,"",'[1]BASE'!CH79)</f>
        <v>XXXX</v>
      </c>
      <c r="L79" s="749" t="str">
        <f>IF('[1]BASE'!CI79=0,"",'[1]BASE'!CI79)</f>
        <v>XXXX</v>
      </c>
      <c r="M79" s="749" t="str">
        <f>IF('[1]BASE'!CJ79=0,"",'[1]BASE'!CJ79)</f>
        <v>XXXX</v>
      </c>
      <c r="N79" s="749" t="str">
        <f>IF('[1]BASE'!CK79=0,"",'[1]BASE'!CK79)</f>
        <v>XXXX</v>
      </c>
      <c r="O79" s="749" t="str">
        <f>IF('[1]BASE'!CL79=0,"",'[1]BASE'!CL79)</f>
        <v>XXXX</v>
      </c>
      <c r="P79" s="749" t="str">
        <f>IF('[1]BASE'!CM79=0,"",'[1]BASE'!CM79)</f>
        <v>XXXX</v>
      </c>
      <c r="Q79" s="749" t="str">
        <f>IF('[1]BASE'!CN79=0,"",'[1]BASE'!CN79)</f>
        <v>XXXX</v>
      </c>
      <c r="R79" s="749" t="str">
        <f>IF('[1]BASE'!CO79=0,"",'[1]BASE'!CO79)</f>
        <v>XXXX</v>
      </c>
      <c r="S79" s="749" t="str">
        <f>IF('[1]BASE'!CP79=0,"",'[1]BASE'!CP79)</f>
        <v>XXXX</v>
      </c>
      <c r="T79" s="745"/>
      <c r="U79" s="742"/>
    </row>
    <row r="80" spans="2:21" s="737" customFormat="1" ht="19.5" customHeight="1">
      <c r="B80" s="738"/>
      <c r="C80" s="746">
        <f>IF('[1]BASE'!C80=0,"",'[1]BASE'!C80)</f>
      </c>
      <c r="D80" s="746">
        <f>IF('[1]BASE'!D80=0,"",'[1]BASE'!D80)</f>
      </c>
      <c r="E80" s="746">
        <f>IF('[1]BASE'!E80=0,"",'[1]BASE'!E80)</f>
      </c>
      <c r="F80" s="747">
        <f>IF('[1]BASE'!F80=0,"",'[1]BASE'!F80)</f>
      </c>
      <c r="G80" s="747">
        <f>IF('[1]BASE'!G80=0,"",'[1]BASE'!G80)</f>
      </c>
      <c r="H80" s="747">
        <f>IF('[1]BASE'!CE80=0,"",'[1]BASE'!CE80)</f>
      </c>
      <c r="I80" s="747">
        <f>IF('[1]BASE'!CF80=0,"",'[1]BASE'!CF80)</f>
      </c>
      <c r="J80" s="747">
        <f>IF('[1]BASE'!CG80=0,"",'[1]BASE'!CG80)</f>
      </c>
      <c r="K80" s="747">
        <f>IF('[1]BASE'!CH80=0,"",'[1]BASE'!CH80)</f>
      </c>
      <c r="L80" s="747">
        <f>IF('[1]BASE'!CI80=0,"",'[1]BASE'!CI80)</f>
      </c>
      <c r="M80" s="747">
        <f>IF('[1]BASE'!CJ80=0,"",'[1]BASE'!CJ80)</f>
      </c>
      <c r="N80" s="747">
        <f>IF('[1]BASE'!CK80=0,"",'[1]BASE'!CK80)</f>
      </c>
      <c r="O80" s="747">
        <f>IF('[1]BASE'!CL80=0,"",'[1]BASE'!CL80)</f>
      </c>
      <c r="P80" s="747">
        <f>IF('[1]BASE'!CM80=0,"",'[1]BASE'!CM80)</f>
      </c>
      <c r="Q80" s="747">
        <f>IF('[1]BASE'!CN80=0,"",'[1]BASE'!CN80)</f>
      </c>
      <c r="R80" s="747">
        <f>IF('[1]BASE'!CO80=0,"",'[1]BASE'!CO80)</f>
      </c>
      <c r="S80" s="747">
        <f>IF('[1]BASE'!CP80=0,"",'[1]BASE'!CP80)</f>
      </c>
      <c r="T80" s="745"/>
      <c r="U80" s="742"/>
    </row>
    <row r="81" spans="2:21" s="737" customFormat="1" ht="19.5" customHeight="1">
      <c r="B81" s="738"/>
      <c r="C81" s="748">
        <f>IF('[1]BASE'!C81=0,"",'[1]BASE'!C81)</f>
      </c>
      <c r="D81" s="748">
        <f>IF('[1]BASE'!D81=0,"",'[1]BASE'!D81)</f>
      </c>
      <c r="E81" s="748">
        <f>IF('[1]BASE'!E81=0,"",'[1]BASE'!E81)</f>
      </c>
      <c r="F81" s="749">
        <f>IF('[1]BASE'!F81=0,"",'[1]BASE'!F81)</f>
      </c>
      <c r="G81" s="749">
        <f>IF('[1]BASE'!G81=0,"",'[1]BASE'!G81)</f>
      </c>
      <c r="H81" s="749">
        <f>IF('[1]BASE'!CE81=0,"",'[1]BASE'!CE81)</f>
      </c>
      <c r="I81" s="749">
        <f>IF('[1]BASE'!CF81=0,"",'[1]BASE'!CF81)</f>
      </c>
      <c r="J81" s="749">
        <f>IF('[1]BASE'!CG81=0,"",'[1]BASE'!CG81)</f>
      </c>
      <c r="K81" s="749">
        <f>IF('[1]BASE'!CH81=0,"",'[1]BASE'!CH81)</f>
      </c>
      <c r="L81" s="749">
        <f>IF('[1]BASE'!CI81=0,"",'[1]BASE'!CI81)</f>
      </c>
      <c r="M81" s="749">
        <f>IF('[1]BASE'!CJ81=0,"",'[1]BASE'!CJ81)</f>
      </c>
      <c r="N81" s="749">
        <f>IF('[1]BASE'!CK81=0,"",'[1]BASE'!CK81)</f>
      </c>
      <c r="O81" s="749">
        <f>IF('[1]BASE'!CL81=0,"",'[1]BASE'!CL81)</f>
      </c>
      <c r="P81" s="749">
        <f>IF('[1]BASE'!CM81=0,"",'[1]BASE'!CM81)</f>
      </c>
      <c r="Q81" s="749">
        <f>IF('[1]BASE'!CN81=0,"",'[1]BASE'!CN81)</f>
      </c>
      <c r="R81" s="749">
        <f>IF('[1]BASE'!CO81=0,"",'[1]BASE'!CO81)</f>
      </c>
      <c r="S81" s="749">
        <f>IF('[1]BASE'!CP81=0,"",'[1]BASE'!CP81)</f>
      </c>
      <c r="T81" s="745"/>
      <c r="U81" s="742"/>
    </row>
    <row r="82" spans="2:21" s="737" customFormat="1" ht="19.5" customHeight="1">
      <c r="B82" s="738"/>
      <c r="C82" s="746">
        <f>IF('[1]BASE'!C82=0,"",'[1]BASE'!C82)</f>
        <v>62</v>
      </c>
      <c r="D82" s="746" t="str">
        <f>IF('[1]BASE'!D82=0,"",'[1]BASE'!D82)</f>
        <v>YACYRETÁ - RINCON I</v>
      </c>
      <c r="E82" s="746">
        <f>IF('[1]BASE'!E82=0,"",'[1]BASE'!E82)</f>
        <v>500</v>
      </c>
      <c r="F82" s="747">
        <f>IF('[1]BASE'!F82=0,"",'[1]BASE'!F82)</f>
        <v>3.6</v>
      </c>
      <c r="G82" s="747" t="str">
        <f>IF('[1]BASE'!G82=0,"",'[1]BASE'!G82)</f>
        <v>B</v>
      </c>
      <c r="H82" s="747">
        <f>IF('[1]BASE'!CE82=0,"",'[1]BASE'!CE82)</f>
      </c>
      <c r="I82" s="747">
        <f>IF('[1]BASE'!CF82=0,"",'[1]BASE'!CF82)</f>
      </c>
      <c r="J82" s="747">
        <f>IF('[1]BASE'!CG82=0,"",'[1]BASE'!CG82)</f>
      </c>
      <c r="K82" s="747">
        <f>IF('[1]BASE'!CH82=0,"",'[1]BASE'!CH82)</f>
      </c>
      <c r="L82" s="747">
        <f>IF('[1]BASE'!CI82=0,"",'[1]BASE'!CI82)</f>
      </c>
      <c r="M82" s="747">
        <f>IF('[1]BASE'!CJ82=0,"",'[1]BASE'!CJ82)</f>
      </c>
      <c r="N82" s="747">
        <f>IF('[1]BASE'!CK82=0,"",'[1]BASE'!CK82)</f>
      </c>
      <c r="O82" s="747">
        <f>IF('[1]BASE'!CL82=0,"",'[1]BASE'!CL82)</f>
      </c>
      <c r="P82" s="747">
        <f>IF('[1]BASE'!CM82=0,"",'[1]BASE'!CM82)</f>
      </c>
      <c r="Q82" s="747">
        <f>IF('[1]BASE'!CN82=0,"",'[1]BASE'!CN82)</f>
      </c>
      <c r="R82" s="747">
        <f>IF('[1]BASE'!CO82=0,"",'[1]BASE'!CO82)</f>
      </c>
      <c r="S82" s="747">
        <f>IF('[1]BASE'!CP82=0,"",'[1]BASE'!CP82)</f>
      </c>
      <c r="T82" s="745"/>
      <c r="U82" s="742"/>
    </row>
    <row r="83" spans="2:21" s="737" customFormat="1" ht="19.5" customHeight="1">
      <c r="B83" s="738"/>
      <c r="C83" s="748">
        <f>IF('[1]BASE'!C83=0,"",'[1]BASE'!C83)</f>
        <v>63</v>
      </c>
      <c r="D83" s="748" t="str">
        <f>IF('[1]BASE'!D83=0,"",'[1]BASE'!D83)</f>
        <v>YACYRETÁ - RINCON II</v>
      </c>
      <c r="E83" s="748">
        <f>IF('[1]BASE'!E83=0,"",'[1]BASE'!E83)</f>
        <v>500</v>
      </c>
      <c r="F83" s="748">
        <f>IF('[1]BASE'!F83=0,"",'[1]BASE'!F83)</f>
        <v>3.6</v>
      </c>
      <c r="G83" s="749" t="str">
        <f>IF('[1]BASE'!G83=0,"",'[1]BASE'!G83)</f>
        <v>B</v>
      </c>
      <c r="H83" s="749">
        <f>IF('[1]BASE'!CE83=0,"",'[1]BASE'!CE83)</f>
      </c>
      <c r="I83" s="749">
        <f>IF('[1]BASE'!CF83=0,"",'[1]BASE'!CF83)</f>
      </c>
      <c r="J83" s="749">
        <f>IF('[1]BASE'!CG83=0,"",'[1]BASE'!CG83)</f>
      </c>
      <c r="K83" s="749">
        <f>IF('[1]BASE'!CH83=0,"",'[1]BASE'!CH83)</f>
      </c>
      <c r="L83" s="749">
        <f>IF('[1]BASE'!CI83=0,"",'[1]BASE'!CI83)</f>
      </c>
      <c r="M83" s="749">
        <f>IF('[1]BASE'!CJ83=0,"",'[1]BASE'!CJ83)</f>
      </c>
      <c r="N83" s="749">
        <f>IF('[1]BASE'!CK83=0,"",'[1]BASE'!CK83)</f>
      </c>
      <c r="O83" s="749">
        <f>IF('[1]BASE'!CL83=0,"",'[1]BASE'!CL83)</f>
      </c>
      <c r="P83" s="749">
        <f>IF('[1]BASE'!CM83=0,"",'[1]BASE'!CM83)</f>
      </c>
      <c r="Q83" s="749">
        <f>IF('[1]BASE'!CN83=0,"",'[1]BASE'!CN83)</f>
      </c>
      <c r="R83" s="749">
        <f>IF('[1]BASE'!CO83=0,"",'[1]BASE'!CO83)</f>
      </c>
      <c r="S83" s="749">
        <f>IF('[1]BASE'!CP83=0,"",'[1]BASE'!CP83)</f>
      </c>
      <c r="T83" s="745"/>
      <c r="U83" s="742"/>
    </row>
    <row r="84" spans="2:21" s="737" customFormat="1" ht="19.5" customHeight="1">
      <c r="B84" s="738"/>
      <c r="C84" s="746">
        <f>IF('[1]BASE'!C84=0,"",'[1]BASE'!C84)</f>
        <v>64</v>
      </c>
      <c r="D84" s="746" t="str">
        <f>IF('[1]BASE'!D84=0,"",'[1]BASE'!D84)</f>
        <v>YACYRETÁ - RINCON III</v>
      </c>
      <c r="E84" s="746">
        <f>IF('[1]BASE'!E84=0,"",'[1]BASE'!E84)</f>
        <v>500</v>
      </c>
      <c r="F84" s="747">
        <f>IF('[1]BASE'!F84=0,"",'[1]BASE'!F84)</f>
        <v>3.6</v>
      </c>
      <c r="G84" s="747" t="str">
        <f>IF('[1]BASE'!G84=0,"",'[1]BASE'!G84)</f>
        <v>B</v>
      </c>
      <c r="H84" s="747">
        <f>IF('[1]BASE'!CE84=0,"",'[1]BASE'!CE84)</f>
      </c>
      <c r="I84" s="747">
        <f>IF('[1]BASE'!CF84=0,"",'[1]BASE'!CF84)</f>
      </c>
      <c r="J84" s="747">
        <f>IF('[1]BASE'!CG84=0,"",'[1]BASE'!CG84)</f>
      </c>
      <c r="K84" s="747">
        <f>IF('[1]BASE'!CH84=0,"",'[1]BASE'!CH84)</f>
      </c>
      <c r="L84" s="747">
        <f>IF('[1]BASE'!CI84=0,"",'[1]BASE'!CI84)</f>
      </c>
      <c r="M84" s="747">
        <f>IF('[1]BASE'!CJ84=0,"",'[1]BASE'!CJ84)</f>
      </c>
      <c r="N84" s="747">
        <f>IF('[1]BASE'!CK84=0,"",'[1]BASE'!CK84)</f>
      </c>
      <c r="O84" s="747">
        <f>IF('[1]BASE'!CL84=0,"",'[1]BASE'!CL84)</f>
      </c>
      <c r="P84" s="747">
        <f>IF('[1]BASE'!CM84=0,"",'[1]BASE'!CM84)</f>
      </c>
      <c r="Q84" s="747">
        <f>IF('[1]BASE'!CN84=0,"",'[1]BASE'!CN84)</f>
      </c>
      <c r="R84" s="747">
        <f>IF('[1]BASE'!CO84=0,"",'[1]BASE'!CO84)</f>
      </c>
      <c r="S84" s="747">
        <f>IF('[1]BASE'!CP84=0,"",'[1]BASE'!CP84)</f>
      </c>
      <c r="T84" s="745"/>
      <c r="U84" s="742"/>
    </row>
    <row r="85" spans="2:21" s="737" customFormat="1" ht="19.5" customHeight="1">
      <c r="B85" s="738"/>
      <c r="C85" s="748">
        <f>IF('[1]BASE'!C85=0,"",'[1]BASE'!C85)</f>
        <v>65</v>
      </c>
      <c r="D85" s="748" t="str">
        <f>IF('[1]BASE'!D85=0,"",'[1]BASE'!D85)</f>
        <v>RINCON - PASO DE LA PATRIA</v>
      </c>
      <c r="E85" s="748">
        <f>IF('[1]BASE'!E85=0,"",'[1]BASE'!E85)</f>
        <v>500</v>
      </c>
      <c r="F85" s="749">
        <f>IF('[1]BASE'!F85=0,"",'[1]BASE'!F85)</f>
        <v>227</v>
      </c>
      <c r="G85" s="749" t="str">
        <f>IF('[1]BASE'!G85=0,"",'[1]BASE'!G85)</f>
        <v>A</v>
      </c>
      <c r="H85" s="749">
        <f>IF('[1]BASE'!CE85=0,"",'[1]BASE'!CE85)</f>
      </c>
      <c r="I85" s="749">
        <f>IF('[1]BASE'!CF85=0,"",'[1]BASE'!CF85)</f>
      </c>
      <c r="J85" s="749">
        <f>IF('[1]BASE'!CG85=0,"",'[1]BASE'!CG85)</f>
      </c>
      <c r="K85" s="749">
        <f>IF('[1]BASE'!CH85=0,"",'[1]BASE'!CH85)</f>
      </c>
      <c r="L85" s="749">
        <f>IF('[1]BASE'!CI85=0,"",'[1]BASE'!CI85)</f>
      </c>
      <c r="M85" s="749">
        <f>IF('[1]BASE'!CJ85=0,"",'[1]BASE'!CJ85)</f>
      </c>
      <c r="N85" s="749">
        <f>IF('[1]BASE'!CK85=0,"",'[1]BASE'!CK85)</f>
      </c>
      <c r="O85" s="749">
        <f>IF('[1]BASE'!CL85=0,"",'[1]BASE'!CL85)</f>
      </c>
      <c r="P85" s="749">
        <f>IF('[1]BASE'!CM85=0,"",'[1]BASE'!CM85)</f>
      </c>
      <c r="Q85" s="749">
        <f>IF('[1]BASE'!CN85=0,"",'[1]BASE'!CN85)</f>
      </c>
      <c r="R85" s="749">
        <f>IF('[1]BASE'!CO85=0,"",'[1]BASE'!CO85)</f>
      </c>
      <c r="S85" s="749">
        <f>IF('[1]BASE'!CP85=0,"",'[1]BASE'!CP85)</f>
      </c>
      <c r="T85" s="745"/>
      <c r="U85" s="742"/>
    </row>
    <row r="86" spans="2:21" s="737" customFormat="1" ht="19.5" customHeight="1">
      <c r="B86" s="738"/>
      <c r="C86" s="746">
        <f>IF('[1]BASE'!C86=0,"",'[1]BASE'!C86)</f>
        <v>66</v>
      </c>
      <c r="D86" s="746" t="str">
        <f>IF('[1]BASE'!D86=0,"",'[1]BASE'!D86)</f>
        <v>PASO DE LA PATRIA - RESISTENCIA</v>
      </c>
      <c r="E86" s="746">
        <f>IF('[1]BASE'!E86=0,"",'[1]BASE'!E86)</f>
        <v>500</v>
      </c>
      <c r="F86" s="747">
        <f>IF('[1]BASE'!F86=0,"",'[1]BASE'!F86)</f>
        <v>40</v>
      </c>
      <c r="G86" s="747" t="str">
        <f>IF('[1]BASE'!G86=0,"",'[1]BASE'!G86)</f>
        <v>C</v>
      </c>
      <c r="H86" s="747">
        <f>IF('[1]BASE'!CE86=0,"",'[1]BASE'!CE86)</f>
      </c>
      <c r="I86" s="747">
        <f>IF('[1]BASE'!CF86=0,"",'[1]BASE'!CF86)</f>
      </c>
      <c r="J86" s="747">
        <f>IF('[1]BASE'!CG86=0,"",'[1]BASE'!CG86)</f>
      </c>
      <c r="K86" s="747">
        <f>IF('[1]BASE'!CH86=0,"",'[1]BASE'!CH86)</f>
      </c>
      <c r="L86" s="747">
        <f>IF('[1]BASE'!CI86=0,"",'[1]BASE'!CI86)</f>
      </c>
      <c r="M86" s="747">
        <f>IF('[1]BASE'!CJ86=0,"",'[1]BASE'!CJ86)</f>
      </c>
      <c r="N86" s="747">
        <f>IF('[1]BASE'!CK86=0,"",'[1]BASE'!CK86)</f>
      </c>
      <c r="O86" s="747">
        <f>IF('[1]BASE'!CL86=0,"",'[1]BASE'!CL86)</f>
      </c>
      <c r="P86" s="747">
        <f>IF('[1]BASE'!CM86=0,"",'[1]BASE'!CM86)</f>
      </c>
      <c r="Q86" s="747">
        <f>IF('[1]BASE'!CN86=0,"",'[1]BASE'!CN86)</f>
      </c>
      <c r="R86" s="747">
        <f>IF('[1]BASE'!CO86=0,"",'[1]BASE'!CO86)</f>
      </c>
      <c r="S86" s="747">
        <f>IF('[1]BASE'!CP86=0,"",'[1]BASE'!CP86)</f>
      </c>
      <c r="T86" s="745"/>
      <c r="U86" s="742"/>
    </row>
    <row r="87" spans="2:21" s="737" customFormat="1" ht="19.5" customHeight="1">
      <c r="B87" s="738"/>
      <c r="C87" s="748">
        <f>IF('[1]BASE'!C87=0,"",'[1]BASE'!C87)</f>
        <v>67</v>
      </c>
      <c r="D87" s="748" t="str">
        <f>IF('[1]BASE'!D87=0,"",'[1]BASE'!D87)</f>
        <v>RINCON - RESISTENCIA</v>
      </c>
      <c r="E87" s="748">
        <f>IF('[1]BASE'!E87=0,"",'[1]BASE'!E87)</f>
        <v>500</v>
      </c>
      <c r="F87" s="748">
        <f>IF('[1]BASE'!F87=0,"",'[1]BASE'!F87)</f>
        <v>267</v>
      </c>
      <c r="G87" s="749" t="str">
        <f>IF('[1]BASE'!G87=0,"",'[1]BASE'!G87)</f>
        <v>B</v>
      </c>
      <c r="H87" s="749" t="str">
        <f>IF('[1]BASE'!CE87=0,"",'[1]BASE'!CE87)</f>
        <v>XXXX</v>
      </c>
      <c r="I87" s="749" t="str">
        <f>IF('[1]BASE'!CF87=0,"",'[1]BASE'!CF87)</f>
        <v>XXXX</v>
      </c>
      <c r="J87" s="749" t="str">
        <f>IF('[1]BASE'!CG87=0,"",'[1]BASE'!CG87)</f>
        <v>XXXX</v>
      </c>
      <c r="K87" s="749" t="str">
        <f>IF('[1]BASE'!CH87=0,"",'[1]BASE'!CH87)</f>
        <v>XXXX</v>
      </c>
      <c r="L87" s="749" t="str">
        <f>IF('[1]BASE'!CI87=0,"",'[1]BASE'!CI87)</f>
        <v>XXXX</v>
      </c>
      <c r="M87" s="749" t="str">
        <f>IF('[1]BASE'!CJ87=0,"",'[1]BASE'!CJ87)</f>
        <v>XXXX</v>
      </c>
      <c r="N87" s="749" t="str">
        <f>IF('[1]BASE'!CK87=0,"",'[1]BASE'!CK87)</f>
        <v>XXXX</v>
      </c>
      <c r="O87" s="749" t="str">
        <f>IF('[1]BASE'!CL87=0,"",'[1]BASE'!CL87)</f>
        <v>XXXX</v>
      </c>
      <c r="P87" s="749" t="str">
        <f>IF('[1]BASE'!CM87=0,"",'[1]BASE'!CM87)</f>
        <v>XXXX</v>
      </c>
      <c r="Q87" s="749" t="str">
        <f>IF('[1]BASE'!CN87=0,"",'[1]BASE'!CN87)</f>
        <v>XXXX</v>
      </c>
      <c r="R87" s="749" t="str">
        <f>IF('[1]BASE'!CO87=0,"",'[1]BASE'!CO87)</f>
        <v>XXXX</v>
      </c>
      <c r="S87" s="749" t="str">
        <f>IF('[1]BASE'!CP87=0,"",'[1]BASE'!CP87)</f>
        <v>XXXX</v>
      </c>
      <c r="T87" s="745"/>
      <c r="U87" s="742"/>
    </row>
    <row r="88" spans="2:21" s="737" customFormat="1" ht="19.5" customHeight="1">
      <c r="B88" s="738"/>
      <c r="C88" s="746">
        <f>IF('[1]BASE'!C88=0,"",'[1]BASE'!C88)</f>
      </c>
      <c r="D88" s="746">
        <f>IF('[1]BASE'!D88=0,"",'[1]BASE'!D88)</f>
      </c>
      <c r="E88" s="746">
        <f>IF('[1]BASE'!E88=0,"",'[1]BASE'!E88)</f>
      </c>
      <c r="F88" s="747">
        <f>IF('[1]BASE'!F88=0,"",'[1]BASE'!F88)</f>
      </c>
      <c r="G88" s="747">
        <f>IF('[1]BASE'!G88=0,"",'[1]BASE'!G88)</f>
      </c>
      <c r="H88" s="747">
        <f>IF('[1]BASE'!CE88=0,"",'[1]BASE'!CE88)</f>
      </c>
      <c r="I88" s="747">
        <f>IF('[1]BASE'!CF88=0,"",'[1]BASE'!CF88)</f>
      </c>
      <c r="J88" s="747">
        <f>IF('[1]BASE'!CG88=0,"",'[1]BASE'!CG88)</f>
      </c>
      <c r="K88" s="747">
        <f>IF('[1]BASE'!CH88=0,"",'[1]BASE'!CH88)</f>
      </c>
      <c r="L88" s="747">
        <f>IF('[1]BASE'!CI88=0,"",'[1]BASE'!CI88)</f>
      </c>
      <c r="M88" s="747">
        <f>IF('[1]BASE'!CJ88=0,"",'[1]BASE'!CJ88)</f>
      </c>
      <c r="N88" s="747">
        <f>IF('[1]BASE'!CK88=0,"",'[1]BASE'!CK88)</f>
      </c>
      <c r="O88" s="747">
        <f>IF('[1]BASE'!CL88=0,"",'[1]BASE'!CL88)</f>
      </c>
      <c r="P88" s="747">
        <f>IF('[1]BASE'!CM88=0,"",'[1]BASE'!CM88)</f>
      </c>
      <c r="Q88" s="747">
        <f>IF('[1]BASE'!CN88=0,"",'[1]BASE'!CN88)</f>
      </c>
      <c r="R88" s="747">
        <f>IF('[1]BASE'!CO88=0,"",'[1]BASE'!CO88)</f>
      </c>
      <c r="S88" s="747">
        <f>IF('[1]BASE'!CP88=0,"",'[1]BASE'!CP88)</f>
      </c>
      <c r="T88" s="745"/>
      <c r="U88" s="742"/>
    </row>
    <row r="89" spans="2:21" s="737" customFormat="1" ht="19.5" customHeight="1">
      <c r="B89" s="738"/>
      <c r="C89" s="748">
        <f>IF('[1]BASE'!C89=0,"",'[1]BASE'!C89)</f>
        <v>68</v>
      </c>
      <c r="D89" s="748" t="str">
        <f>IF('[1]BASE'!D89=0,"",'[1]BASE'!D89)</f>
        <v>RINCON - SALTO GRANDE</v>
      </c>
      <c r="E89" s="748">
        <f>IF('[1]BASE'!E89=0,"",'[1]BASE'!E89)</f>
        <v>500</v>
      </c>
      <c r="F89" s="749">
        <f>IF('[1]BASE'!F89=0,"",'[1]BASE'!F89)</f>
        <v>506</v>
      </c>
      <c r="G89" s="749" t="str">
        <f>IF('[1]BASE'!G89=0,"",'[1]BASE'!G89)</f>
        <v>A</v>
      </c>
      <c r="H89" s="749">
        <f>IF('[1]BASE'!CE89=0,"",'[1]BASE'!CE89)</f>
      </c>
      <c r="I89" s="749">
        <f>IF('[1]BASE'!CF89=0,"",'[1]BASE'!CF89)</f>
      </c>
      <c r="J89" s="749">
        <f>IF('[1]BASE'!CG89=0,"",'[1]BASE'!CG89)</f>
      </c>
      <c r="K89" s="749">
        <f>IF('[1]BASE'!CH89=0,"",'[1]BASE'!CH89)</f>
      </c>
      <c r="L89" s="749">
        <f>IF('[1]BASE'!CI89=0,"",'[1]BASE'!CI89)</f>
      </c>
      <c r="M89" s="749">
        <f>IF('[1]BASE'!CJ89=0,"",'[1]BASE'!CJ89)</f>
      </c>
      <c r="N89" s="749">
        <f>IF('[1]BASE'!CK89=0,"",'[1]BASE'!CK89)</f>
      </c>
      <c r="O89" s="749">
        <f>IF('[1]BASE'!CL89=0,"",'[1]BASE'!CL89)</f>
      </c>
      <c r="P89" s="749">
        <f>IF('[1]BASE'!CM89=0,"",'[1]BASE'!CM89)</f>
      </c>
      <c r="Q89" s="749">
        <f>IF('[1]BASE'!CN89=0,"",'[1]BASE'!CN89)</f>
      </c>
      <c r="R89" s="749">
        <f>IF('[1]BASE'!CO89=0,"",'[1]BASE'!CO89)</f>
      </c>
      <c r="S89" s="749">
        <f>IF('[1]BASE'!CP89=0,"",'[1]BASE'!CP89)</f>
      </c>
      <c r="T89" s="745"/>
      <c r="U89" s="742"/>
    </row>
    <row r="90" spans="2:21" s="737" customFormat="1" ht="19.5" customHeight="1">
      <c r="B90" s="738"/>
      <c r="C90" s="746">
        <f>IF('[1]BASE'!C90=0,"",'[1]BASE'!C90)</f>
        <v>69</v>
      </c>
      <c r="D90" s="746" t="str">
        <f>IF('[1]BASE'!D90=0,"",'[1]BASE'!D90)</f>
        <v>RINCON - SAN ISIDRO</v>
      </c>
      <c r="E90" s="746">
        <f>IF('[1]BASE'!E90=0,"",'[1]BASE'!E90)</f>
        <v>500</v>
      </c>
      <c r="F90" s="747">
        <f>IF('[1]BASE'!F90=0,"",'[1]BASE'!F90)</f>
        <v>85</v>
      </c>
      <c r="G90" s="747" t="str">
        <f>IF('[1]BASE'!G90=0,"",'[1]BASE'!G90)</f>
        <v>C</v>
      </c>
      <c r="H90" s="747">
        <f>IF('[1]BASE'!CE90=0,"",'[1]BASE'!CE90)</f>
      </c>
      <c r="I90" s="747">
        <f>IF('[1]BASE'!CF90=0,"",'[1]BASE'!CF90)</f>
      </c>
      <c r="J90" s="747">
        <f>IF('[1]BASE'!CG90=0,"",'[1]BASE'!CG90)</f>
      </c>
      <c r="K90" s="747">
        <f>IF('[1]BASE'!CH90=0,"",'[1]BASE'!CH90)</f>
      </c>
      <c r="L90" s="747">
        <f>IF('[1]BASE'!CI90=0,"",'[1]BASE'!CI90)</f>
      </c>
      <c r="M90" s="747">
        <f>IF('[1]BASE'!CJ90=0,"",'[1]BASE'!CJ90)</f>
      </c>
      <c r="N90" s="747">
        <f>IF('[1]BASE'!CK90=0,"",'[1]BASE'!CK90)</f>
      </c>
      <c r="O90" s="747">
        <f>IF('[1]BASE'!CL90=0,"",'[1]BASE'!CL90)</f>
      </c>
      <c r="P90" s="747">
        <f>IF('[1]BASE'!CM90=0,"",'[1]BASE'!CM90)</f>
      </c>
      <c r="Q90" s="747">
        <f>IF('[1]BASE'!CN90=0,"",'[1]BASE'!CN90)</f>
      </c>
      <c r="R90" s="747">
        <f>IF('[1]BASE'!CO90=0,"",'[1]BASE'!CO90)</f>
        <v>2</v>
      </c>
      <c r="S90" s="747">
        <f>IF('[1]BASE'!CP90=0,"",'[1]BASE'!CP90)</f>
      </c>
      <c r="T90" s="745"/>
      <c r="U90" s="742"/>
    </row>
    <row r="91" spans="2:21" s="737" customFormat="1" ht="19.5" customHeight="1">
      <c r="B91" s="738"/>
      <c r="C91" s="748">
        <f>IF('[1]BASE'!C91=0,"",'[1]BASE'!C91)</f>
      </c>
      <c r="D91" s="748">
        <f>IF('[1]BASE'!D91=0,"",'[1]BASE'!D91)</f>
      </c>
      <c r="E91" s="748">
        <f>IF('[1]BASE'!E91=0,"",'[1]BASE'!E91)</f>
      </c>
      <c r="F91" s="748">
        <f>IF('[1]BASE'!F91=0,"",'[1]BASE'!F91)</f>
      </c>
      <c r="G91" s="749">
        <f>IF('[1]BASE'!G91=0,"",'[1]BASE'!G91)</f>
      </c>
      <c r="H91" s="749">
        <f>IF('[1]BASE'!CE91=0,"",'[1]BASE'!CE91)</f>
      </c>
      <c r="I91" s="749">
        <f>IF('[1]BASE'!CF91=0,"",'[1]BASE'!CF91)</f>
      </c>
      <c r="J91" s="749">
        <f>IF('[1]BASE'!CG91=0,"",'[1]BASE'!CG91)</f>
      </c>
      <c r="K91" s="749">
        <f>IF('[1]BASE'!CH91=0,"",'[1]BASE'!CH91)</f>
      </c>
      <c r="L91" s="749">
        <f>IF('[1]BASE'!CI91=0,"",'[1]BASE'!CI91)</f>
      </c>
      <c r="M91" s="749">
        <f>IF('[1]BASE'!CJ91=0,"",'[1]BASE'!CJ91)</f>
      </c>
      <c r="N91" s="749">
        <f>IF('[1]BASE'!CK91=0,"",'[1]BASE'!CK91)</f>
      </c>
      <c r="O91" s="749">
        <f>IF('[1]BASE'!CL91=0,"",'[1]BASE'!CL91)</f>
      </c>
      <c r="P91" s="749">
        <f>IF('[1]BASE'!CM91=0,"",'[1]BASE'!CM91)</f>
      </c>
      <c r="Q91" s="749">
        <f>IF('[1]BASE'!CN91=0,"",'[1]BASE'!CN91)</f>
      </c>
      <c r="R91" s="749">
        <f>IF('[1]BASE'!CO91=0,"",'[1]BASE'!CO91)</f>
      </c>
      <c r="S91" s="749">
        <f>IF('[1]BASE'!CP91=0,"",'[1]BASE'!CP91)</f>
      </c>
      <c r="T91" s="745"/>
      <c r="U91" s="742"/>
    </row>
    <row r="92" spans="2:21" s="737" customFormat="1" ht="19.5" customHeight="1" thickBot="1">
      <c r="B92" s="738"/>
      <c r="C92" s="751"/>
      <c r="D92" s="751"/>
      <c r="E92" s="751"/>
      <c r="F92" s="751"/>
      <c r="G92" s="752"/>
      <c r="H92" s="752"/>
      <c r="I92" s="752"/>
      <c r="J92" s="752"/>
      <c r="K92" s="752"/>
      <c r="L92" s="752"/>
      <c r="M92" s="752"/>
      <c r="N92" s="752"/>
      <c r="O92" s="752"/>
      <c r="P92" s="752"/>
      <c r="Q92" s="752"/>
      <c r="R92" s="752"/>
      <c r="S92" s="752"/>
      <c r="T92" s="745"/>
      <c r="U92" s="742"/>
    </row>
    <row r="93" spans="2:21" s="737" customFormat="1" ht="19.5" customHeight="1" thickBot="1" thickTop="1">
      <c r="B93" s="738"/>
      <c r="C93" s="753"/>
      <c r="D93" s="754"/>
      <c r="E93" s="755" t="s">
        <v>198</v>
      </c>
      <c r="F93" s="756">
        <f>SUM(F16:F92)-F46-F57-F78-F79-F87</f>
        <v>9663.5</v>
      </c>
      <c r="G93" s="757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8"/>
      <c r="S93" s="759"/>
      <c r="T93" s="745"/>
      <c r="U93" s="742"/>
    </row>
    <row r="94" spans="2:21" s="737" customFormat="1" ht="19.5" customHeight="1" thickBot="1" thickTop="1">
      <c r="B94" s="738"/>
      <c r="C94" s="760"/>
      <c r="D94" s="761"/>
      <c r="E94" s="762"/>
      <c r="F94" s="763" t="s">
        <v>199</v>
      </c>
      <c r="H94" s="764">
        <f aca="true" t="shared" si="0" ref="H94:S94">SUM(H17:H92)</f>
        <v>6</v>
      </c>
      <c r="I94" s="764">
        <f t="shared" si="0"/>
        <v>2</v>
      </c>
      <c r="J94" s="764">
        <f t="shared" si="0"/>
        <v>7</v>
      </c>
      <c r="K94" s="764">
        <f t="shared" si="0"/>
        <v>3</v>
      </c>
      <c r="L94" s="764">
        <f t="shared" si="0"/>
        <v>6</v>
      </c>
      <c r="M94" s="764">
        <f t="shared" si="0"/>
        <v>4</v>
      </c>
      <c r="N94" s="764">
        <f t="shared" si="0"/>
        <v>8</v>
      </c>
      <c r="O94" s="764">
        <f t="shared" si="0"/>
        <v>10</v>
      </c>
      <c r="P94" s="764">
        <f t="shared" si="0"/>
        <v>15</v>
      </c>
      <c r="Q94" s="764">
        <f t="shared" si="0"/>
        <v>12</v>
      </c>
      <c r="R94" s="764">
        <f t="shared" si="0"/>
        <v>23</v>
      </c>
      <c r="S94" s="764">
        <f t="shared" si="0"/>
        <v>0</v>
      </c>
      <c r="T94" s="765"/>
      <c r="U94" s="742"/>
    </row>
    <row r="95" spans="2:21" s="737" customFormat="1" ht="19.5" customHeight="1" thickBot="1" thickTop="1">
      <c r="B95" s="738"/>
      <c r="E95" s="762"/>
      <c r="F95" s="763" t="s">
        <v>200</v>
      </c>
      <c r="H95" s="766">
        <f>'[1]BASE'!CE93</f>
        <v>6</v>
      </c>
      <c r="I95" s="766">
        <f>'[1]BASE'!CF93</f>
        <v>2</v>
      </c>
      <c r="J95" s="766">
        <f>'[1]BASE'!CG93</f>
        <v>7</v>
      </c>
      <c r="K95" s="766">
        <f>'[1]BASE'!CH93</f>
        <v>3</v>
      </c>
      <c r="L95" s="766">
        <f>'[1]BASE'!CI93</f>
        <v>6</v>
      </c>
      <c r="M95" s="766">
        <f>'[1]BASE'!CJ93</f>
        <v>4</v>
      </c>
      <c r="N95" s="766">
        <f>'[1]BASE'!CK93</f>
        <v>8</v>
      </c>
      <c r="O95" s="766">
        <f>'[1]BASE'!CL93</f>
        <v>10</v>
      </c>
      <c r="P95" s="766">
        <f>'[1]BASE'!CM93</f>
        <v>15</v>
      </c>
      <c r="Q95" s="766">
        <f>'[1]BASE'!CN93</f>
        <v>12</v>
      </c>
      <c r="R95" s="766">
        <f>'[1]BASE'!CO93</f>
        <v>21</v>
      </c>
      <c r="S95" s="766">
        <f>'[1]BASE'!CP93</f>
        <v>0</v>
      </c>
      <c r="T95" s="766">
        <f>ROUND(SUM(H94:S94)/($F$93)*100,2)</f>
        <v>0.99</v>
      </c>
      <c r="U95" s="742"/>
    </row>
    <row r="96" spans="2:21" s="773" customFormat="1" ht="15.75" customHeight="1" thickBot="1" thickTop="1">
      <c r="B96" s="767"/>
      <c r="C96"/>
      <c r="D96" s="768"/>
      <c r="E96" s="769"/>
      <c r="F96" s="770"/>
      <c r="G96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2"/>
    </row>
    <row r="97" spans="2:21" ht="15.75" customHeight="1" thickBot="1">
      <c r="B97" s="140"/>
      <c r="C97" s="774"/>
      <c r="D97" s="74" t="s">
        <v>201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4"/>
    </row>
    <row r="98" spans="2:21" ht="21.75" thickBot="1" thickTop="1">
      <c r="B98" s="140"/>
      <c r="C98" s="2"/>
      <c r="D98" s="14"/>
      <c r="E98" s="14"/>
      <c r="F98" s="775"/>
      <c r="G98" s="775"/>
      <c r="H98" s="776"/>
      <c r="I98" s="777" t="s">
        <v>202</v>
      </c>
      <c r="J98" s="778">
        <f>+T95</f>
        <v>0.99</v>
      </c>
      <c r="K98" s="779" t="s">
        <v>203</v>
      </c>
      <c r="L98" s="776"/>
      <c r="M98" s="780"/>
      <c r="N98"/>
      <c r="O98" s="14"/>
      <c r="P98" s="14"/>
      <c r="Q98" s="14"/>
      <c r="R98" s="14"/>
      <c r="S98" s="14"/>
      <c r="T98" s="14"/>
      <c r="U98" s="144"/>
    </row>
    <row r="99" spans="2:21" s="122" customFormat="1" ht="17.25" thickBot="1" thickTop="1">
      <c r="B99" s="147"/>
      <c r="C99" s="781"/>
      <c r="D99" s="149"/>
      <c r="E99" s="149"/>
      <c r="F99" s="781"/>
      <c r="G99" s="781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50"/>
    </row>
    <row r="100" spans="3:7" ht="13.5" thickTop="1">
      <c r="C100" s="96"/>
      <c r="F100" s="96"/>
      <c r="G100" s="96"/>
    </row>
    <row r="101" spans="3:194" ht="12.75">
      <c r="C101" s="96"/>
      <c r="D101" s="2"/>
      <c r="E101" s="2"/>
      <c r="F101" s="2"/>
      <c r="G101" s="2"/>
      <c r="H101" s="782"/>
      <c r="I101" s="782"/>
      <c r="J101" s="782"/>
      <c r="K101" s="782"/>
      <c r="L101" s="782"/>
      <c r="M101" s="782"/>
      <c r="N101" s="782"/>
      <c r="O101" s="782"/>
      <c r="P101" s="782"/>
      <c r="Q101" s="782"/>
      <c r="R101" s="782"/>
      <c r="S101" s="782"/>
      <c r="T101" s="78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96"/>
      <c r="D102" s="2"/>
      <c r="E102" s="2"/>
      <c r="F102" s="2"/>
      <c r="G102" s="2"/>
      <c r="H102" s="782"/>
      <c r="I102" s="782"/>
      <c r="J102" s="782"/>
      <c r="K102" s="782"/>
      <c r="L102" s="782"/>
      <c r="M102" s="782"/>
      <c r="N102" s="782"/>
      <c r="O102" s="782"/>
      <c r="P102" s="782"/>
      <c r="Q102" s="782"/>
      <c r="R102" s="782"/>
      <c r="S102" s="782"/>
      <c r="T102" s="78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96"/>
      <c r="D103" s="2"/>
      <c r="E103" s="2"/>
      <c r="F103" s="2"/>
      <c r="G103" s="2"/>
      <c r="H103" s="783"/>
      <c r="I103" s="783"/>
      <c r="J103" s="783"/>
      <c r="K103" s="783"/>
      <c r="L103" s="783"/>
      <c r="M103" s="783"/>
      <c r="N103" s="783"/>
      <c r="O103" s="783"/>
      <c r="P103" s="783"/>
      <c r="Q103" s="783"/>
      <c r="R103" s="783"/>
      <c r="S103" s="783"/>
      <c r="T103" s="78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96"/>
      <c r="D104" s="2"/>
      <c r="E104" s="2"/>
      <c r="F104" s="2"/>
      <c r="G104" s="2"/>
      <c r="H104" s="782"/>
      <c r="I104" s="782"/>
      <c r="J104" s="782"/>
      <c r="K104" s="782"/>
      <c r="L104" s="782"/>
      <c r="M104" s="782"/>
      <c r="N104" s="782"/>
      <c r="O104" s="782"/>
      <c r="P104" s="782"/>
      <c r="Q104" s="782"/>
      <c r="R104" s="782"/>
      <c r="S104" s="782"/>
      <c r="T104" s="78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96"/>
      <c r="D105" s="2"/>
      <c r="E105" s="2"/>
      <c r="F105" s="2"/>
      <c r="G105" s="2"/>
      <c r="H105" s="782"/>
      <c r="I105" s="782"/>
      <c r="J105" s="782"/>
      <c r="K105" s="782"/>
      <c r="L105" s="782"/>
      <c r="M105" s="782"/>
      <c r="N105" s="782"/>
      <c r="O105" s="782"/>
      <c r="P105" s="782"/>
      <c r="Q105" s="782"/>
      <c r="R105" s="782"/>
      <c r="S105" s="782"/>
      <c r="T105" s="78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96"/>
      <c r="D106" s="2"/>
      <c r="E106" s="2"/>
      <c r="F106" s="2"/>
      <c r="G106" s="2"/>
      <c r="H106" s="782"/>
      <c r="I106" s="782"/>
      <c r="J106" s="782"/>
      <c r="K106" s="782"/>
      <c r="L106" s="782"/>
      <c r="M106" s="782"/>
      <c r="N106" s="782"/>
      <c r="O106" s="782"/>
      <c r="P106" s="782"/>
      <c r="Q106" s="782"/>
      <c r="R106" s="782"/>
      <c r="S106" s="782"/>
      <c r="T106" s="78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96"/>
      <c r="D107" s="2"/>
      <c r="E107" s="2"/>
      <c r="F107" s="2"/>
      <c r="G107" s="2"/>
      <c r="H107" s="782"/>
      <c r="I107" s="782"/>
      <c r="J107" s="782"/>
      <c r="K107" s="782"/>
      <c r="L107" s="782"/>
      <c r="M107" s="782"/>
      <c r="N107" s="782"/>
      <c r="O107" s="782"/>
      <c r="P107" s="782"/>
      <c r="Q107" s="782"/>
      <c r="R107" s="782"/>
      <c r="S107" s="782"/>
      <c r="T107" s="78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96"/>
      <c r="D108" s="2"/>
      <c r="E108" s="2"/>
      <c r="F108" s="2"/>
      <c r="G108" s="2"/>
      <c r="H108" s="782"/>
      <c r="I108" s="782"/>
      <c r="J108" s="782"/>
      <c r="K108" s="782"/>
      <c r="L108" s="782"/>
      <c r="M108" s="782"/>
      <c r="N108" s="782"/>
      <c r="O108" s="782"/>
      <c r="P108" s="782"/>
      <c r="Q108" s="782"/>
      <c r="R108" s="782"/>
      <c r="S108" s="782"/>
      <c r="T108" s="78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9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96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96"/>
      <c r="F111" s="96"/>
      <c r="G111" s="96"/>
    </row>
    <row r="112" spans="3:7" ht="12.75">
      <c r="C112" s="96"/>
      <c r="F112" s="96"/>
      <c r="G112" s="96"/>
    </row>
    <row r="113" spans="3:7" ht="12.75">
      <c r="C113" s="96"/>
      <c r="F113" s="96"/>
      <c r="G113" s="96"/>
    </row>
    <row r="114" spans="6:7" ht="12.75">
      <c r="F114" s="96"/>
      <c r="G114" s="96"/>
    </row>
  </sheetData>
  <printOptions/>
  <pageMargins left="0.3937007874015748" right="0.1968503937007874" top="0.3937007874015748" bottom="0.5905511811023623" header="0.5118110236220472" footer="0.4"/>
  <pageSetup fitToHeight="1" fitToWidth="1" horizontalDpi="300" verticalDpi="300" orientation="portrait" paperSize="9" scale="39" r:id="rId2"/>
  <headerFooter alignWithMargins="0">
    <oddFooter>&amp;L&amp;"Times New Roman,Normal"&amp;5&amp;F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AD44"/>
  <sheetViews>
    <sheetView zoomScale="75" zoomScaleNormal="75" workbookViewId="0" topLeftCell="G22">
      <selection activeCell="D26" sqref="D2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08" customFormat="1" ht="26.25">
      <c r="A1" s="158"/>
      <c r="AD1" s="691"/>
    </row>
    <row r="2" spans="1:30" s="108" customFormat="1" ht="26.25">
      <c r="A2" s="158"/>
      <c r="B2" s="109" t="str">
        <f>+'tot-0103'!B2</f>
        <v>ANEXO a la Resolución E.N.R.E. N°  113  /2002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30" s="16" customFormat="1" ht="13.5" thickTop="1">
      <c r="B7" s="159"/>
      <c r="C7" s="160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2"/>
    </row>
    <row r="8" spans="2:30" s="10" customFormat="1" ht="20.25">
      <c r="B8" s="173"/>
      <c r="C8" s="11"/>
      <c r="D8" s="7" t="s">
        <v>69</v>
      </c>
      <c r="E8" s="11"/>
      <c r="F8" s="11"/>
      <c r="G8" s="11"/>
      <c r="H8" s="11"/>
      <c r="N8" s="11"/>
      <c r="O8" s="11"/>
      <c r="P8" s="174"/>
      <c r="Q8" s="17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75"/>
    </row>
    <row r="9" spans="2:30" s="16" customFormat="1" ht="12.75">
      <c r="B9" s="14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3"/>
    </row>
    <row r="10" spans="2:30" s="10" customFormat="1" ht="20.25">
      <c r="B10" s="173"/>
      <c r="C10" s="11"/>
      <c r="D10" s="174" t="s">
        <v>70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75"/>
    </row>
    <row r="11" spans="2:30" s="16" customFormat="1" ht="12.75">
      <c r="B11" s="14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63"/>
    </row>
    <row r="12" spans="2:30" s="10" customFormat="1" ht="20.25">
      <c r="B12" s="173"/>
      <c r="C12" s="11"/>
      <c r="D12" s="174" t="s">
        <v>71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74"/>
      <c r="Q12" s="17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75"/>
    </row>
    <row r="13" spans="2:30" s="16" customFormat="1" ht="12.75">
      <c r="B13" s="140"/>
      <c r="C13" s="14"/>
      <c r="D13" s="1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3"/>
    </row>
    <row r="14" spans="2:30" s="15" customFormat="1" ht="19.5">
      <c r="B14" s="128" t="str">
        <f>+'tot-0103'!B14</f>
        <v>Desde el 01 al 31 de marzo de 2001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77"/>
      <c r="O14" s="177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78"/>
    </row>
    <row r="15" spans="2:30" s="16" customFormat="1" ht="16.5" customHeight="1" thickBot="1">
      <c r="B15" s="140"/>
      <c r="C15" s="14"/>
      <c r="D15" s="14"/>
      <c r="E15" s="2"/>
      <c r="F15" s="2"/>
      <c r="G15" s="14"/>
      <c r="H15" s="14"/>
      <c r="I15" s="14"/>
      <c r="J15" s="172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63"/>
    </row>
    <row r="16" spans="2:30" s="16" customFormat="1" ht="16.5" customHeight="1" thickBot="1" thickTop="1">
      <c r="B16" s="140"/>
      <c r="C16" s="14"/>
      <c r="D16" s="179" t="s">
        <v>72</v>
      </c>
      <c r="E16" s="630">
        <v>55.308</v>
      </c>
      <c r="F16" s="28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63"/>
    </row>
    <row r="17" spans="2:30" s="16" customFormat="1" ht="16.5" customHeight="1" thickBot="1" thickTop="1">
      <c r="B17" s="140"/>
      <c r="C17" s="14"/>
      <c r="D17" s="179" t="s">
        <v>73</v>
      </c>
      <c r="E17" s="630">
        <v>46.09</v>
      </c>
      <c r="F17" s="281"/>
      <c r="G17" s="14"/>
      <c r="H17" s="14"/>
      <c r="I17" s="14" t="s">
        <v>187</v>
      </c>
      <c r="J17" s="693"/>
      <c r="K17" s="69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5"/>
      <c r="W17" s="165"/>
      <c r="X17" s="165"/>
      <c r="Y17" s="165"/>
      <c r="Z17" s="165"/>
      <c r="AA17" s="165"/>
      <c r="AB17" s="165"/>
      <c r="AD17" s="163"/>
    </row>
    <row r="18" spans="2:30" s="16" customFormat="1" ht="16.5" customHeight="1" thickBot="1" thickTop="1">
      <c r="B18" s="140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6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3"/>
    </row>
    <row r="19" spans="2:30" s="16" customFormat="1" ht="33.75" customHeight="1" thickBot="1" thickTop="1">
      <c r="B19" s="140"/>
      <c r="C19" s="180" t="s">
        <v>74</v>
      </c>
      <c r="D19" s="182" t="s">
        <v>56</v>
      </c>
      <c r="E19" s="455" t="s">
        <v>75</v>
      </c>
      <c r="F19" s="186" t="s">
        <v>76</v>
      </c>
      <c r="G19" s="181" t="s">
        <v>77</v>
      </c>
      <c r="H19" s="456" t="s">
        <v>78</v>
      </c>
      <c r="I19" s="453" t="s">
        <v>79</v>
      </c>
      <c r="J19" s="182" t="s">
        <v>80</v>
      </c>
      <c r="K19" s="183" t="s">
        <v>81</v>
      </c>
      <c r="L19" s="185" t="s">
        <v>82</v>
      </c>
      <c r="M19" s="186" t="s">
        <v>83</v>
      </c>
      <c r="N19" s="185" t="s">
        <v>84</v>
      </c>
      <c r="O19" s="186" t="s">
        <v>85</v>
      </c>
      <c r="P19" s="183" t="s">
        <v>86</v>
      </c>
      <c r="Q19" s="182" t="s">
        <v>87</v>
      </c>
      <c r="R19" s="398" t="s">
        <v>88</v>
      </c>
      <c r="S19" s="404" t="s">
        <v>89</v>
      </c>
      <c r="T19" s="345" t="s">
        <v>90</v>
      </c>
      <c r="U19" s="346"/>
      <c r="V19" s="347"/>
      <c r="W19" s="413" t="s">
        <v>91</v>
      </c>
      <c r="X19" s="414"/>
      <c r="Y19" s="415"/>
      <c r="Z19" s="439" t="s">
        <v>92</v>
      </c>
      <c r="AA19" s="440" t="s">
        <v>93</v>
      </c>
      <c r="AB19" s="187" t="s">
        <v>94</v>
      </c>
      <c r="AC19" s="187" t="s">
        <v>95</v>
      </c>
      <c r="AD19" s="167"/>
    </row>
    <row r="20" spans="2:30" s="16" customFormat="1" ht="16.5" customHeight="1" hidden="1" thickTop="1">
      <c r="B20" s="140"/>
      <c r="C20" s="434"/>
      <c r="D20" s="461"/>
      <c r="E20" s="461"/>
      <c r="F20" s="434"/>
      <c r="G20" s="434"/>
      <c r="H20" s="459"/>
      <c r="I20" s="460"/>
      <c r="J20" s="434"/>
      <c r="K20" s="434"/>
      <c r="L20" s="434"/>
      <c r="M20" s="434"/>
      <c r="N20" s="434"/>
      <c r="O20" s="434"/>
      <c r="P20" s="434"/>
      <c r="Q20" s="434"/>
      <c r="R20" s="400"/>
      <c r="S20" s="405"/>
      <c r="T20" s="423"/>
      <c r="U20" s="424"/>
      <c r="V20" s="425"/>
      <c r="W20" s="426"/>
      <c r="X20" s="427"/>
      <c r="Y20" s="428"/>
      <c r="Z20" s="435"/>
      <c r="AA20" s="441"/>
      <c r="AB20" s="434"/>
      <c r="AC20" s="573"/>
      <c r="AD20" s="163"/>
    </row>
    <row r="21" spans="2:30" s="16" customFormat="1" ht="16.5" customHeight="1" thickTop="1">
      <c r="B21" s="140"/>
      <c r="C21" s="17"/>
      <c r="D21" s="17"/>
      <c r="E21" s="20"/>
      <c r="F21" s="17"/>
      <c r="G21" s="17"/>
      <c r="H21" s="451"/>
      <c r="I21" s="454"/>
      <c r="J21" s="19"/>
      <c r="K21" s="14"/>
      <c r="L21" s="17"/>
      <c r="M21" s="17"/>
      <c r="N21" s="18"/>
      <c r="O21" s="17"/>
      <c r="P21" s="17"/>
      <c r="Q21" s="17"/>
      <c r="R21" s="396"/>
      <c r="S21" s="401"/>
      <c r="T21" s="431"/>
      <c r="U21" s="406"/>
      <c r="V21" s="407"/>
      <c r="W21" s="429"/>
      <c r="X21" s="416"/>
      <c r="Y21" s="417"/>
      <c r="Z21" s="436"/>
      <c r="AA21" s="442"/>
      <c r="AB21" s="17"/>
      <c r="AC21" s="188"/>
      <c r="AD21" s="163"/>
    </row>
    <row r="22" spans="2:30" s="16" customFormat="1" ht="16.5" customHeight="1">
      <c r="B22" s="140"/>
      <c r="C22" s="20">
        <v>1</v>
      </c>
      <c r="D22" s="51" t="s">
        <v>8</v>
      </c>
      <c r="E22" s="366">
        <v>500</v>
      </c>
      <c r="F22" s="704">
        <v>5.4</v>
      </c>
      <c r="G22" s="366" t="s">
        <v>2</v>
      </c>
      <c r="H22" s="458">
        <f aca="true" t="shared" si="0" ref="H22:H39">IF(G22="A",200,IF(G22="B",60,20))</f>
        <v>20</v>
      </c>
      <c r="I22" s="627">
        <f aca="true" t="shared" si="1" ref="I22:I39">IF(E22=500,IF(F22&lt;100,100*$E$16/100,F22*$E$16/100),IF(F22&lt;100,100*$E$17/100,F22*$E$17/100))</f>
        <v>55.308</v>
      </c>
      <c r="J22" s="705">
        <v>36951.36041666667</v>
      </c>
      <c r="K22" s="706">
        <v>36951.743055555555</v>
      </c>
      <c r="L22" s="25">
        <f aca="true" t="shared" si="2" ref="L22:L39">IF(D22="","",(K22-J22)*24)</f>
        <v>9.18333333323244</v>
      </c>
      <c r="M22" s="26">
        <f aca="true" t="shared" si="3" ref="M22:M39">IF(D22="","",ROUND((K22-J22)*24*60,0))</f>
        <v>551</v>
      </c>
      <c r="N22" s="27" t="s">
        <v>177</v>
      </c>
      <c r="O22" s="395" t="str">
        <f aca="true" t="shared" si="4" ref="O22:O39">IF(D22="","","--")</f>
        <v>--</v>
      </c>
      <c r="P22" s="23" t="str">
        <f aca="true" t="shared" si="5" ref="P22:P39">IF(D22="","","NO")</f>
        <v>NO</v>
      </c>
      <c r="Q22" s="23" t="str">
        <f aca="true" t="shared" si="6" ref="Q22:Q39">IF(D22="","",IF(OR(N22="P",N22="RP"),"--","NO"))</f>
        <v>--</v>
      </c>
      <c r="R22" s="399">
        <f aca="true" t="shared" si="7" ref="R22:R39">IF(N22="P",I22*H22*ROUND(M22/60,2)*0.01,"--")</f>
        <v>101.545488</v>
      </c>
      <c r="S22" s="402" t="str">
        <f aca="true" t="shared" si="8" ref="S22:S39">IF(N22="RP",I22*H22*ROUND(M22/60,2)*0.01*O22/100,"--")</f>
        <v>--</v>
      </c>
      <c r="T22" s="432" t="str">
        <f aca="true" t="shared" si="9" ref="T22:T39">IF(AND(N22="F",Q22="NO"),I22*H22*IF(P22="SI",1.2,1),"--")</f>
        <v>--</v>
      </c>
      <c r="U22" s="408" t="str">
        <f aca="true" t="shared" si="10" ref="U22:U39">IF(AND(N22="F",M22&gt;=10),I22*H22*IF(P22="SI",1.2,1)*IF(M22&lt;=300,ROUND(M22/60,2),5),"--")</f>
        <v>--</v>
      </c>
      <c r="V22" s="409" t="str">
        <f aca="true" t="shared" si="11" ref="V22:V39">IF(AND(N22="F",M22&gt;300),(ROUND(M22/60,2)-5)*I22*H22*0.1*IF(P22="SI",1.2,1),"--")</f>
        <v>--</v>
      </c>
      <c r="W22" s="430" t="str">
        <f aca="true" t="shared" si="12" ref="W22:W39">IF(AND(N22="R",Q22="NO"),I22*H22*O22/100*IF(P22="SI",1.2,1),"--")</f>
        <v>--</v>
      </c>
      <c r="X22" s="418" t="str">
        <f aca="true" t="shared" si="13" ref="X22:X39">IF(AND(N22="R",M22&gt;=10),I22*H22*O22/100*IF(P22="SI",1.2,1)*IF(M22&lt;=300,ROUND(M22/60,2),5),"--")</f>
        <v>--</v>
      </c>
      <c r="Y22" s="419" t="str">
        <f aca="true" t="shared" si="14" ref="Y22:Y39">IF(AND(N22="R",M22&gt;300),(ROUND(M22/60,2)-5)*I22*H22*0.1*O22/100*IF(P22="SI",1.2,1),"--")</f>
        <v>--</v>
      </c>
      <c r="Z22" s="437" t="str">
        <f aca="true" t="shared" si="15" ref="Z22:Z39">IF(N22="RF",ROUND(M22/60,2)*I22*H22*0.1*IF(P22="SI",1.2,1),"--")</f>
        <v>--</v>
      </c>
      <c r="AA22" s="443" t="str">
        <f aca="true" t="shared" si="16" ref="AA22:AA39">IF(N22="RR",ROUND(M22/60,2)*I22*H22*0.1*O22/100*IF(P22="SI",1.2,1),"--")</f>
        <v>--</v>
      </c>
      <c r="AB22" s="433" t="str">
        <f aca="true" t="shared" si="17" ref="AB22:AB39">IF(D22="","","SI")</f>
        <v>SI</v>
      </c>
      <c r="AC22" s="29">
        <f aca="true" t="shared" si="18" ref="AC22:AC39">IF(D22="","",SUM(R22:AA22)*IF(AB22="SI",1,2))</f>
        <v>101.545488</v>
      </c>
      <c r="AD22" s="567"/>
    </row>
    <row r="23" spans="2:30" s="16" customFormat="1" ht="16.5" customHeight="1">
      <c r="B23" s="140"/>
      <c r="C23" s="20">
        <v>2</v>
      </c>
      <c r="D23" s="51" t="s">
        <v>8</v>
      </c>
      <c r="E23" s="366">
        <v>500</v>
      </c>
      <c r="F23" s="704">
        <v>5.4</v>
      </c>
      <c r="G23" s="366" t="s">
        <v>2</v>
      </c>
      <c r="H23" s="458">
        <f t="shared" si="0"/>
        <v>20</v>
      </c>
      <c r="I23" s="627">
        <f t="shared" si="1"/>
        <v>55.308</v>
      </c>
      <c r="J23" s="705">
        <v>36952.35138888889</v>
      </c>
      <c r="K23" s="706">
        <v>36952.67152777778</v>
      </c>
      <c r="L23" s="25">
        <f t="shared" si="2"/>
        <v>7.68333333323244</v>
      </c>
      <c r="M23" s="26">
        <f t="shared" si="3"/>
        <v>461</v>
      </c>
      <c r="N23" s="27" t="s">
        <v>177</v>
      </c>
      <c r="O23" s="395" t="str">
        <f t="shared" si="4"/>
        <v>--</v>
      </c>
      <c r="P23" s="23" t="str">
        <f t="shared" si="5"/>
        <v>NO</v>
      </c>
      <c r="Q23" s="23" t="str">
        <f t="shared" si="6"/>
        <v>--</v>
      </c>
      <c r="R23" s="399">
        <f t="shared" si="7"/>
        <v>84.95308800000001</v>
      </c>
      <c r="S23" s="402" t="str">
        <f t="shared" si="8"/>
        <v>--</v>
      </c>
      <c r="T23" s="432" t="str">
        <f t="shared" si="9"/>
        <v>--</v>
      </c>
      <c r="U23" s="408" t="str">
        <f t="shared" si="10"/>
        <v>--</v>
      </c>
      <c r="V23" s="409" t="str">
        <f t="shared" si="11"/>
        <v>--</v>
      </c>
      <c r="W23" s="430" t="str">
        <f t="shared" si="12"/>
        <v>--</v>
      </c>
      <c r="X23" s="418" t="str">
        <f t="shared" si="13"/>
        <v>--</v>
      </c>
      <c r="Y23" s="419" t="str">
        <f t="shared" si="14"/>
        <v>--</v>
      </c>
      <c r="Z23" s="437" t="str">
        <f t="shared" si="15"/>
        <v>--</v>
      </c>
      <c r="AA23" s="443" t="str">
        <f t="shared" si="16"/>
        <v>--</v>
      </c>
      <c r="AB23" s="433" t="str">
        <f t="shared" si="17"/>
        <v>SI</v>
      </c>
      <c r="AC23" s="29">
        <f t="shared" si="18"/>
        <v>84.95308800000001</v>
      </c>
      <c r="AD23" s="567"/>
    </row>
    <row r="24" spans="2:30" s="16" customFormat="1" ht="16.5" customHeight="1">
      <c r="B24" s="140"/>
      <c r="C24" s="20">
        <v>3</v>
      </c>
      <c r="D24" s="707" t="s">
        <v>18</v>
      </c>
      <c r="E24" s="708">
        <v>220</v>
      </c>
      <c r="F24" s="709">
        <v>26</v>
      </c>
      <c r="G24" s="708" t="s">
        <v>2</v>
      </c>
      <c r="H24" s="458">
        <f t="shared" si="0"/>
        <v>20</v>
      </c>
      <c r="I24" s="627">
        <f t="shared" si="1"/>
        <v>46.09</v>
      </c>
      <c r="J24" s="710">
        <v>36955.55416666667</v>
      </c>
      <c r="K24" s="711">
        <v>36955.62291666667</v>
      </c>
      <c r="L24" s="25">
        <f t="shared" si="2"/>
        <v>1.6499999999650754</v>
      </c>
      <c r="M24" s="26">
        <f t="shared" si="3"/>
        <v>99</v>
      </c>
      <c r="N24" s="27" t="s">
        <v>177</v>
      </c>
      <c r="O24" s="395" t="str">
        <f t="shared" si="4"/>
        <v>--</v>
      </c>
      <c r="P24" s="23" t="str">
        <f t="shared" si="5"/>
        <v>NO</v>
      </c>
      <c r="Q24" s="23" t="str">
        <f t="shared" si="6"/>
        <v>--</v>
      </c>
      <c r="R24" s="399">
        <f t="shared" si="7"/>
        <v>15.2097</v>
      </c>
      <c r="S24" s="402" t="str">
        <f t="shared" si="8"/>
        <v>--</v>
      </c>
      <c r="T24" s="432" t="str">
        <f t="shared" si="9"/>
        <v>--</v>
      </c>
      <c r="U24" s="408" t="str">
        <f t="shared" si="10"/>
        <v>--</v>
      </c>
      <c r="V24" s="409" t="str">
        <f t="shared" si="11"/>
        <v>--</v>
      </c>
      <c r="W24" s="430" t="str">
        <f t="shared" si="12"/>
        <v>--</v>
      </c>
      <c r="X24" s="418" t="str">
        <f t="shared" si="13"/>
        <v>--</v>
      </c>
      <c r="Y24" s="419" t="str">
        <f t="shared" si="14"/>
        <v>--</v>
      </c>
      <c r="Z24" s="437" t="str">
        <f t="shared" si="15"/>
        <v>--</v>
      </c>
      <c r="AA24" s="443" t="str">
        <f t="shared" si="16"/>
        <v>--</v>
      </c>
      <c r="AB24" s="433" t="str">
        <f t="shared" si="17"/>
        <v>SI</v>
      </c>
      <c r="AC24" s="29">
        <f t="shared" si="18"/>
        <v>15.2097</v>
      </c>
      <c r="AD24" s="567"/>
    </row>
    <row r="25" spans="2:30" s="16" customFormat="1" ht="16.5" customHeight="1">
      <c r="B25" s="140"/>
      <c r="C25" s="20">
        <v>4</v>
      </c>
      <c r="D25" s="707" t="s">
        <v>164</v>
      </c>
      <c r="E25" s="708">
        <v>500</v>
      </c>
      <c r="F25" s="709">
        <v>149</v>
      </c>
      <c r="G25" s="708" t="s">
        <v>2</v>
      </c>
      <c r="H25" s="458">
        <f t="shared" si="0"/>
        <v>20</v>
      </c>
      <c r="I25" s="627">
        <f t="shared" si="1"/>
        <v>82.40892</v>
      </c>
      <c r="J25" s="710">
        <v>36957.34722222222</v>
      </c>
      <c r="K25" s="711">
        <v>36957.743055555555</v>
      </c>
      <c r="L25" s="25">
        <f t="shared" si="2"/>
        <v>9.500000000058208</v>
      </c>
      <c r="M25" s="26">
        <f t="shared" si="3"/>
        <v>570</v>
      </c>
      <c r="N25" s="27" t="s">
        <v>177</v>
      </c>
      <c r="O25" s="395" t="str">
        <f t="shared" si="4"/>
        <v>--</v>
      </c>
      <c r="P25" s="23" t="str">
        <f t="shared" si="5"/>
        <v>NO</v>
      </c>
      <c r="Q25" s="23" t="str">
        <f t="shared" si="6"/>
        <v>--</v>
      </c>
      <c r="R25" s="399">
        <f t="shared" si="7"/>
        <v>156.576948</v>
      </c>
      <c r="S25" s="402" t="str">
        <f t="shared" si="8"/>
        <v>--</v>
      </c>
      <c r="T25" s="432" t="str">
        <f t="shared" si="9"/>
        <v>--</v>
      </c>
      <c r="U25" s="408" t="str">
        <f t="shared" si="10"/>
        <v>--</v>
      </c>
      <c r="V25" s="409" t="str">
        <f t="shared" si="11"/>
        <v>--</v>
      </c>
      <c r="W25" s="430" t="str">
        <f t="shared" si="12"/>
        <v>--</v>
      </c>
      <c r="X25" s="418" t="str">
        <f t="shared" si="13"/>
        <v>--</v>
      </c>
      <c r="Y25" s="419" t="str">
        <f t="shared" si="14"/>
        <v>--</v>
      </c>
      <c r="Z25" s="437" t="str">
        <f t="shared" si="15"/>
        <v>--</v>
      </c>
      <c r="AA25" s="443" t="str">
        <f t="shared" si="16"/>
        <v>--</v>
      </c>
      <c r="AB25" s="433" t="str">
        <f t="shared" si="17"/>
        <v>SI</v>
      </c>
      <c r="AC25" s="29">
        <f t="shared" si="18"/>
        <v>156.576948</v>
      </c>
      <c r="AD25" s="567"/>
    </row>
    <row r="26" spans="2:30" s="16" customFormat="1" ht="16.5" customHeight="1">
      <c r="B26" s="140"/>
      <c r="C26" s="20">
        <v>5</v>
      </c>
      <c r="D26" s="51" t="s">
        <v>165</v>
      </c>
      <c r="E26" s="366">
        <v>500</v>
      </c>
      <c r="F26" s="704">
        <v>258</v>
      </c>
      <c r="G26" s="366" t="s">
        <v>2</v>
      </c>
      <c r="H26" s="458">
        <f t="shared" si="0"/>
        <v>20</v>
      </c>
      <c r="I26" s="627">
        <f t="shared" si="1"/>
        <v>142.69464</v>
      </c>
      <c r="J26" s="705">
        <v>36958.30625</v>
      </c>
      <c r="K26" s="706">
        <v>36958.72638888889</v>
      </c>
      <c r="L26" s="25">
        <f t="shared" si="2"/>
        <v>10.083333333372138</v>
      </c>
      <c r="M26" s="26">
        <f t="shared" si="3"/>
        <v>605</v>
      </c>
      <c r="N26" s="27" t="s">
        <v>177</v>
      </c>
      <c r="O26" s="395" t="str">
        <f t="shared" si="4"/>
        <v>--</v>
      </c>
      <c r="P26" s="23" t="str">
        <f t="shared" si="5"/>
        <v>NO</v>
      </c>
      <c r="Q26" s="23" t="str">
        <f t="shared" si="6"/>
        <v>--</v>
      </c>
      <c r="R26" s="399">
        <f t="shared" si="7"/>
        <v>287.67239423999996</v>
      </c>
      <c r="S26" s="402" t="str">
        <f t="shared" si="8"/>
        <v>--</v>
      </c>
      <c r="T26" s="432" t="str">
        <f t="shared" si="9"/>
        <v>--</v>
      </c>
      <c r="U26" s="408" t="str">
        <f t="shared" si="10"/>
        <v>--</v>
      </c>
      <c r="V26" s="409" t="str">
        <f t="shared" si="11"/>
        <v>--</v>
      </c>
      <c r="W26" s="430" t="str">
        <f t="shared" si="12"/>
        <v>--</v>
      </c>
      <c r="X26" s="418" t="str">
        <f t="shared" si="13"/>
        <v>--</v>
      </c>
      <c r="Y26" s="419" t="str">
        <f t="shared" si="14"/>
        <v>--</v>
      </c>
      <c r="Z26" s="437" t="str">
        <f t="shared" si="15"/>
        <v>--</v>
      </c>
      <c r="AA26" s="443" t="str">
        <f t="shared" si="16"/>
        <v>--</v>
      </c>
      <c r="AB26" s="433" t="str">
        <f t="shared" si="17"/>
        <v>SI</v>
      </c>
      <c r="AC26" s="29">
        <f t="shared" si="18"/>
        <v>287.67239423999996</v>
      </c>
      <c r="AD26" s="567"/>
    </row>
    <row r="27" spans="2:30" s="16" customFormat="1" ht="16.5" customHeight="1">
      <c r="B27" s="140"/>
      <c r="C27" s="20">
        <v>7</v>
      </c>
      <c r="D27" s="20" t="s">
        <v>10</v>
      </c>
      <c r="E27" s="457">
        <v>500</v>
      </c>
      <c r="F27" s="22">
        <v>53</v>
      </c>
      <c r="G27" s="457" t="s">
        <v>2</v>
      </c>
      <c r="H27" s="458">
        <f t="shared" si="0"/>
        <v>20</v>
      </c>
      <c r="I27" s="627">
        <f t="shared" si="1"/>
        <v>55.308</v>
      </c>
      <c r="J27" s="19">
        <v>36959.28958333333</v>
      </c>
      <c r="K27" s="24">
        <v>36959.57013888889</v>
      </c>
      <c r="L27" s="25">
        <f t="shared" si="2"/>
        <v>6.733333333453629</v>
      </c>
      <c r="M27" s="26">
        <f t="shared" si="3"/>
        <v>404</v>
      </c>
      <c r="N27" s="27" t="s">
        <v>177</v>
      </c>
      <c r="O27" s="395" t="str">
        <f t="shared" si="4"/>
        <v>--</v>
      </c>
      <c r="P27" s="23" t="str">
        <f t="shared" si="5"/>
        <v>NO</v>
      </c>
      <c r="Q27" s="23" t="str">
        <f t="shared" si="6"/>
        <v>--</v>
      </c>
      <c r="R27" s="399">
        <f t="shared" si="7"/>
        <v>74.444568</v>
      </c>
      <c r="S27" s="402" t="str">
        <f t="shared" si="8"/>
        <v>--</v>
      </c>
      <c r="T27" s="432" t="str">
        <f t="shared" si="9"/>
        <v>--</v>
      </c>
      <c r="U27" s="408" t="str">
        <f t="shared" si="10"/>
        <v>--</v>
      </c>
      <c r="V27" s="409" t="str">
        <f t="shared" si="11"/>
        <v>--</v>
      </c>
      <c r="W27" s="430" t="str">
        <f t="shared" si="12"/>
        <v>--</v>
      </c>
      <c r="X27" s="418" t="str">
        <f t="shared" si="13"/>
        <v>--</v>
      </c>
      <c r="Y27" s="419" t="str">
        <f t="shared" si="14"/>
        <v>--</v>
      </c>
      <c r="Z27" s="437" t="str">
        <f t="shared" si="15"/>
        <v>--</v>
      </c>
      <c r="AA27" s="443" t="str">
        <f t="shared" si="16"/>
        <v>--</v>
      </c>
      <c r="AB27" s="433" t="str">
        <f t="shared" si="17"/>
        <v>SI</v>
      </c>
      <c r="AC27" s="29">
        <f t="shared" si="18"/>
        <v>74.444568</v>
      </c>
      <c r="AD27" s="567"/>
    </row>
    <row r="28" spans="2:30" s="16" customFormat="1" ht="16.5" customHeight="1">
      <c r="B28" s="140"/>
      <c r="C28" s="20">
        <v>10</v>
      </c>
      <c r="D28" s="20" t="s">
        <v>12</v>
      </c>
      <c r="E28" s="457">
        <v>220</v>
      </c>
      <c r="F28" s="22">
        <v>61</v>
      </c>
      <c r="G28" s="457" t="s">
        <v>2</v>
      </c>
      <c r="H28" s="458">
        <f t="shared" si="0"/>
        <v>20</v>
      </c>
      <c r="I28" s="627">
        <f t="shared" si="1"/>
        <v>46.09</v>
      </c>
      <c r="J28" s="19">
        <v>36963.290972222225</v>
      </c>
      <c r="K28" s="24">
        <v>36963.763194444444</v>
      </c>
      <c r="L28" s="25">
        <f t="shared" si="2"/>
        <v>11.333333333255723</v>
      </c>
      <c r="M28" s="26">
        <f t="shared" si="3"/>
        <v>680</v>
      </c>
      <c r="N28" s="27" t="s">
        <v>177</v>
      </c>
      <c r="O28" s="395" t="str">
        <f t="shared" si="4"/>
        <v>--</v>
      </c>
      <c r="P28" s="23" t="str">
        <f t="shared" si="5"/>
        <v>NO</v>
      </c>
      <c r="Q28" s="23" t="str">
        <f t="shared" si="6"/>
        <v>--</v>
      </c>
      <c r="R28" s="399">
        <f t="shared" si="7"/>
        <v>104.43994</v>
      </c>
      <c r="S28" s="402" t="str">
        <f t="shared" si="8"/>
        <v>--</v>
      </c>
      <c r="T28" s="432" t="str">
        <f t="shared" si="9"/>
        <v>--</v>
      </c>
      <c r="U28" s="408" t="str">
        <f t="shared" si="10"/>
        <v>--</v>
      </c>
      <c r="V28" s="409" t="str">
        <f t="shared" si="11"/>
        <v>--</v>
      </c>
      <c r="W28" s="430" t="str">
        <f t="shared" si="12"/>
        <v>--</v>
      </c>
      <c r="X28" s="418" t="str">
        <f t="shared" si="13"/>
        <v>--</v>
      </c>
      <c r="Y28" s="419" t="str">
        <f t="shared" si="14"/>
        <v>--</v>
      </c>
      <c r="Z28" s="437" t="str">
        <f t="shared" si="15"/>
        <v>--</v>
      </c>
      <c r="AA28" s="443" t="str">
        <f t="shared" si="16"/>
        <v>--</v>
      </c>
      <c r="AB28" s="433" t="str">
        <f t="shared" si="17"/>
        <v>SI</v>
      </c>
      <c r="AC28" s="29">
        <f t="shared" si="18"/>
        <v>104.43994</v>
      </c>
      <c r="AD28" s="567"/>
    </row>
    <row r="29" spans="2:30" s="16" customFormat="1" ht="16.5" customHeight="1">
      <c r="B29" s="140"/>
      <c r="C29" s="20">
        <v>11</v>
      </c>
      <c r="D29" s="20" t="s">
        <v>5</v>
      </c>
      <c r="E29" s="457">
        <v>500</v>
      </c>
      <c r="F29" s="22">
        <v>304</v>
      </c>
      <c r="G29" s="457" t="s">
        <v>6</v>
      </c>
      <c r="H29" s="458">
        <f t="shared" si="0"/>
        <v>200</v>
      </c>
      <c r="I29" s="627">
        <f t="shared" si="1"/>
        <v>168.13632</v>
      </c>
      <c r="J29" s="19">
        <v>36963.708333333336</v>
      </c>
      <c r="K29" s="24">
        <v>36963.754166666666</v>
      </c>
      <c r="L29" s="25">
        <f t="shared" si="2"/>
        <v>1.0999999999185093</v>
      </c>
      <c r="M29" s="26">
        <f t="shared" si="3"/>
        <v>66</v>
      </c>
      <c r="N29" s="27" t="s">
        <v>179</v>
      </c>
      <c r="O29" s="395">
        <v>5.26</v>
      </c>
      <c r="P29" s="23" t="str">
        <f t="shared" si="5"/>
        <v>NO</v>
      </c>
      <c r="Q29" s="23" t="str">
        <f t="shared" si="6"/>
        <v>--</v>
      </c>
      <c r="R29" s="399" t="str">
        <f t="shared" si="7"/>
        <v>--</v>
      </c>
      <c r="S29" s="402">
        <f t="shared" si="8"/>
        <v>19.456734950400005</v>
      </c>
      <c r="T29" s="432" t="str">
        <f t="shared" si="9"/>
        <v>--</v>
      </c>
      <c r="U29" s="408" t="str">
        <f t="shared" si="10"/>
        <v>--</v>
      </c>
      <c r="V29" s="409" t="str">
        <f t="shared" si="11"/>
        <v>--</v>
      </c>
      <c r="W29" s="430" t="str">
        <f t="shared" si="12"/>
        <v>--</v>
      </c>
      <c r="X29" s="418" t="str">
        <f t="shared" si="13"/>
        <v>--</v>
      </c>
      <c r="Y29" s="419" t="str">
        <f t="shared" si="14"/>
        <v>--</v>
      </c>
      <c r="Z29" s="437" t="str">
        <f t="shared" si="15"/>
        <v>--</v>
      </c>
      <c r="AA29" s="443" t="str">
        <f t="shared" si="16"/>
        <v>--</v>
      </c>
      <c r="AB29" s="433" t="str">
        <f t="shared" si="17"/>
        <v>SI</v>
      </c>
      <c r="AC29" s="29">
        <f t="shared" si="18"/>
        <v>19.456734950400005</v>
      </c>
      <c r="AD29" s="567"/>
    </row>
    <row r="30" spans="2:30" s="16" customFormat="1" ht="16.5" customHeight="1">
      <c r="B30" s="140"/>
      <c r="C30" s="20">
        <v>12</v>
      </c>
      <c r="D30" s="20" t="s">
        <v>7</v>
      </c>
      <c r="E30" s="457">
        <v>500</v>
      </c>
      <c r="F30" s="22">
        <v>304</v>
      </c>
      <c r="G30" s="457" t="s">
        <v>6</v>
      </c>
      <c r="H30" s="458">
        <f t="shared" si="0"/>
        <v>200</v>
      </c>
      <c r="I30" s="627">
        <f t="shared" si="1"/>
        <v>168.13632</v>
      </c>
      <c r="J30" s="19">
        <v>36963.708333333336</v>
      </c>
      <c r="K30" s="31">
        <v>36963.754166666666</v>
      </c>
      <c r="L30" s="25">
        <f t="shared" si="2"/>
        <v>1.0999999999185093</v>
      </c>
      <c r="M30" s="26">
        <f t="shared" si="3"/>
        <v>66</v>
      </c>
      <c r="N30" s="27" t="s">
        <v>179</v>
      </c>
      <c r="O30" s="395">
        <v>5.26</v>
      </c>
      <c r="P30" s="23" t="str">
        <f t="shared" si="5"/>
        <v>NO</v>
      </c>
      <c r="Q30" s="23" t="str">
        <f t="shared" si="6"/>
        <v>--</v>
      </c>
      <c r="R30" s="399" t="str">
        <f t="shared" si="7"/>
        <v>--</v>
      </c>
      <c r="S30" s="402">
        <f t="shared" si="8"/>
        <v>19.456734950400005</v>
      </c>
      <c r="T30" s="432" t="str">
        <f t="shared" si="9"/>
        <v>--</v>
      </c>
      <c r="U30" s="408" t="str">
        <f t="shared" si="10"/>
        <v>--</v>
      </c>
      <c r="V30" s="409" t="str">
        <f t="shared" si="11"/>
        <v>--</v>
      </c>
      <c r="W30" s="430" t="str">
        <f t="shared" si="12"/>
        <v>--</v>
      </c>
      <c r="X30" s="418" t="str">
        <f t="shared" si="13"/>
        <v>--</v>
      </c>
      <c r="Y30" s="419" t="str">
        <f t="shared" si="14"/>
        <v>--</v>
      </c>
      <c r="Z30" s="437" t="str">
        <f t="shared" si="15"/>
        <v>--</v>
      </c>
      <c r="AA30" s="443" t="str">
        <f t="shared" si="16"/>
        <v>--</v>
      </c>
      <c r="AB30" s="433" t="str">
        <f t="shared" si="17"/>
        <v>SI</v>
      </c>
      <c r="AC30" s="29">
        <f t="shared" si="18"/>
        <v>19.456734950400005</v>
      </c>
      <c r="AD30" s="567"/>
    </row>
    <row r="31" spans="2:30" s="16" customFormat="1" ht="16.5" customHeight="1">
      <c r="B31" s="140"/>
      <c r="C31" s="20">
        <v>13</v>
      </c>
      <c r="D31" s="20" t="s">
        <v>11</v>
      </c>
      <c r="E31" s="457">
        <v>500</v>
      </c>
      <c r="F31" s="22">
        <v>313</v>
      </c>
      <c r="G31" s="457" t="s">
        <v>6</v>
      </c>
      <c r="H31" s="458">
        <f t="shared" si="0"/>
        <v>200</v>
      </c>
      <c r="I31" s="627">
        <f t="shared" si="1"/>
        <v>173.11404</v>
      </c>
      <c r="J31" s="19">
        <v>36963.708333333336</v>
      </c>
      <c r="K31" s="31">
        <v>36963.754166666666</v>
      </c>
      <c r="L31" s="25">
        <f t="shared" si="2"/>
        <v>1.0999999999185093</v>
      </c>
      <c r="M31" s="26">
        <f t="shared" si="3"/>
        <v>66</v>
      </c>
      <c r="N31" s="27" t="s">
        <v>179</v>
      </c>
      <c r="O31" s="395">
        <v>5.26</v>
      </c>
      <c r="P31" s="23" t="str">
        <f t="shared" si="5"/>
        <v>NO</v>
      </c>
      <c r="Q31" s="23" t="str">
        <f t="shared" si="6"/>
        <v>--</v>
      </c>
      <c r="R31" s="399" t="str">
        <f t="shared" si="7"/>
        <v>--</v>
      </c>
      <c r="S31" s="402">
        <f t="shared" si="8"/>
        <v>20.0327567088</v>
      </c>
      <c r="T31" s="432" t="str">
        <f t="shared" si="9"/>
        <v>--</v>
      </c>
      <c r="U31" s="408" t="str">
        <f t="shared" si="10"/>
        <v>--</v>
      </c>
      <c r="V31" s="409" t="str">
        <f t="shared" si="11"/>
        <v>--</v>
      </c>
      <c r="W31" s="430" t="str">
        <f t="shared" si="12"/>
        <v>--</v>
      </c>
      <c r="X31" s="418" t="str">
        <f t="shared" si="13"/>
        <v>--</v>
      </c>
      <c r="Y31" s="419" t="str">
        <f t="shared" si="14"/>
        <v>--</v>
      </c>
      <c r="Z31" s="437" t="str">
        <f t="shared" si="15"/>
        <v>--</v>
      </c>
      <c r="AA31" s="443" t="str">
        <f t="shared" si="16"/>
        <v>--</v>
      </c>
      <c r="AB31" s="433" t="str">
        <f t="shared" si="17"/>
        <v>SI</v>
      </c>
      <c r="AC31" s="29">
        <f t="shared" si="18"/>
        <v>20.0327567088</v>
      </c>
      <c r="AD31" s="567"/>
    </row>
    <row r="32" spans="2:30" s="16" customFormat="1" ht="16.5" customHeight="1">
      <c r="B32" s="140"/>
      <c r="C32" s="20">
        <v>14</v>
      </c>
      <c r="D32" s="20" t="s">
        <v>9</v>
      </c>
      <c r="E32" s="457">
        <v>500</v>
      </c>
      <c r="F32" s="22">
        <v>313</v>
      </c>
      <c r="G32" s="457" t="s">
        <v>6</v>
      </c>
      <c r="H32" s="458">
        <f t="shared" si="0"/>
        <v>200</v>
      </c>
      <c r="I32" s="627">
        <f>IF(E32=500,IF(F32&lt;100,100*$E$16/100,F32*$E$16/100),IF(F32&lt;100,100*$E$17/100,F32*$E$17/100))</f>
        <v>173.11404</v>
      </c>
      <c r="J32" s="19">
        <v>36963.708333333336</v>
      </c>
      <c r="K32" s="31">
        <v>36963.754166666666</v>
      </c>
      <c r="L32" s="25">
        <f t="shared" si="2"/>
        <v>1.0999999999185093</v>
      </c>
      <c r="M32" s="26">
        <f t="shared" si="3"/>
        <v>66</v>
      </c>
      <c r="N32" s="27" t="s">
        <v>179</v>
      </c>
      <c r="O32" s="395">
        <v>5.26</v>
      </c>
      <c r="P32" s="23" t="str">
        <f t="shared" si="5"/>
        <v>NO</v>
      </c>
      <c r="Q32" s="23" t="str">
        <f t="shared" si="6"/>
        <v>--</v>
      </c>
      <c r="R32" s="399" t="str">
        <f>IF(N32="P",I32*H32*ROUND(M32/60,2)*0.01,"--")</f>
        <v>--</v>
      </c>
      <c r="S32" s="402">
        <f>IF(N32="RP",I32*H32*ROUND(M32/60,2)*0.01*O32/100,"--")</f>
        <v>20.0327567088</v>
      </c>
      <c r="T32" s="432" t="str">
        <f>IF(AND(N32="F",Q32="NO"),I32*H32*IF(P32="SI",1.2,1),"--")</f>
        <v>--</v>
      </c>
      <c r="U32" s="408" t="str">
        <f>IF(AND(N32="F",M32&gt;=10),I32*H32*IF(P32="SI",1.2,1)*IF(M32&lt;=300,ROUND(M32/60,2),5),"--")</f>
        <v>--</v>
      </c>
      <c r="V32" s="409" t="str">
        <f>IF(AND(N32="F",M32&gt;300),(ROUND(M32/60,2)-5)*I32*H32*0.1*IF(P32="SI",1.2,1),"--")</f>
        <v>--</v>
      </c>
      <c r="W32" s="430" t="str">
        <f>IF(AND(N32="R",Q32="NO"),I32*H32*O32/100*IF(P32="SI",1.2,1),"--")</f>
        <v>--</v>
      </c>
      <c r="X32" s="418" t="str">
        <f>IF(AND(N32="R",M32&gt;=10),I32*H32*O32/100*IF(P32="SI",1.2,1)*IF(M32&lt;=300,ROUND(M32/60,2),5),"--")</f>
        <v>--</v>
      </c>
      <c r="Y32" s="419" t="str">
        <f>IF(AND(N32="R",M32&gt;300),(ROUND(M32/60,2)-5)*I32*H32*0.1*O32/100*IF(P32="SI",1.2,1),"--")</f>
        <v>--</v>
      </c>
      <c r="Z32" s="437" t="str">
        <f>IF(N32="RF",ROUND(M32/60,2)*I32*H32*0.1*IF(P32="SI",1.2,1),"--")</f>
        <v>--</v>
      </c>
      <c r="AA32" s="443" t="str">
        <f>IF(N32="RR",ROUND(M32/60,2)*I32*H32*0.1*O32/100*IF(P32="SI",1.2,1),"--")</f>
        <v>--</v>
      </c>
      <c r="AB32" s="433" t="str">
        <f>IF(D32="","","SI")</f>
        <v>SI</v>
      </c>
      <c r="AC32" s="29">
        <f t="shared" si="18"/>
        <v>20.0327567088</v>
      </c>
      <c r="AD32" s="567"/>
    </row>
    <row r="33" spans="2:30" s="16" customFormat="1" ht="16.5" customHeight="1">
      <c r="B33" s="140"/>
      <c r="C33" s="20">
        <v>15</v>
      </c>
      <c r="D33" s="20" t="s">
        <v>14</v>
      </c>
      <c r="E33" s="457">
        <v>500</v>
      </c>
      <c r="F33" s="22">
        <v>421</v>
      </c>
      <c r="G33" s="457" t="s">
        <v>6</v>
      </c>
      <c r="H33" s="458">
        <f t="shared" si="0"/>
        <v>200</v>
      </c>
      <c r="I33" s="627">
        <f t="shared" si="1"/>
        <v>232.84668000000002</v>
      </c>
      <c r="J33" s="19">
        <v>36963.708333333336</v>
      </c>
      <c r="K33" s="31">
        <v>36963.754166666666</v>
      </c>
      <c r="L33" s="25">
        <f t="shared" si="2"/>
        <v>1.0999999999185093</v>
      </c>
      <c r="M33" s="26">
        <f t="shared" si="3"/>
        <v>66</v>
      </c>
      <c r="N33" s="27" t="s">
        <v>179</v>
      </c>
      <c r="O33" s="395">
        <v>5.26</v>
      </c>
      <c r="P33" s="23" t="str">
        <f t="shared" si="5"/>
        <v>NO</v>
      </c>
      <c r="Q33" s="23" t="str">
        <f t="shared" si="6"/>
        <v>--</v>
      </c>
      <c r="R33" s="399" t="str">
        <f t="shared" si="7"/>
        <v>--</v>
      </c>
      <c r="S33" s="402">
        <f t="shared" si="8"/>
        <v>26.945017809600003</v>
      </c>
      <c r="T33" s="432" t="str">
        <f t="shared" si="9"/>
        <v>--</v>
      </c>
      <c r="U33" s="408" t="str">
        <f t="shared" si="10"/>
        <v>--</v>
      </c>
      <c r="V33" s="409" t="str">
        <f t="shared" si="11"/>
        <v>--</v>
      </c>
      <c r="W33" s="430" t="str">
        <f t="shared" si="12"/>
        <v>--</v>
      </c>
      <c r="X33" s="418" t="str">
        <f t="shared" si="13"/>
        <v>--</v>
      </c>
      <c r="Y33" s="419" t="str">
        <f t="shared" si="14"/>
        <v>--</v>
      </c>
      <c r="Z33" s="437" t="str">
        <f t="shared" si="15"/>
        <v>--</v>
      </c>
      <c r="AA33" s="443" t="str">
        <f t="shared" si="16"/>
        <v>--</v>
      </c>
      <c r="AB33" s="433" t="str">
        <f t="shared" si="17"/>
        <v>SI</v>
      </c>
      <c r="AC33" s="29">
        <f t="shared" si="18"/>
        <v>26.945017809600003</v>
      </c>
      <c r="AD33" s="567"/>
    </row>
    <row r="34" spans="2:30" s="16" customFormat="1" ht="16.5" customHeight="1">
      <c r="B34" s="140"/>
      <c r="C34" s="20">
        <v>16</v>
      </c>
      <c r="D34" s="20" t="s">
        <v>12</v>
      </c>
      <c r="E34" s="457">
        <v>220</v>
      </c>
      <c r="F34" s="22">
        <v>61</v>
      </c>
      <c r="G34" s="457" t="s">
        <v>2</v>
      </c>
      <c r="H34" s="458">
        <f t="shared" si="0"/>
        <v>20</v>
      </c>
      <c r="I34" s="627">
        <f t="shared" si="1"/>
        <v>46.09</v>
      </c>
      <c r="J34" s="19">
        <v>36964.29583333333</v>
      </c>
      <c r="K34" s="31">
        <v>36964.751388888886</v>
      </c>
      <c r="L34" s="25">
        <f t="shared" si="2"/>
        <v>10.933333333348855</v>
      </c>
      <c r="M34" s="26">
        <f t="shared" si="3"/>
        <v>656</v>
      </c>
      <c r="N34" s="27" t="s">
        <v>177</v>
      </c>
      <c r="O34" s="395" t="str">
        <f t="shared" si="4"/>
        <v>--</v>
      </c>
      <c r="P34" s="23" t="str">
        <f t="shared" si="5"/>
        <v>NO</v>
      </c>
      <c r="Q34" s="23" t="str">
        <f t="shared" si="6"/>
        <v>--</v>
      </c>
      <c r="R34" s="399">
        <f t="shared" si="7"/>
        <v>100.75274000000002</v>
      </c>
      <c r="S34" s="402" t="str">
        <f t="shared" si="8"/>
        <v>--</v>
      </c>
      <c r="T34" s="432" t="str">
        <f t="shared" si="9"/>
        <v>--</v>
      </c>
      <c r="U34" s="408" t="str">
        <f t="shared" si="10"/>
        <v>--</v>
      </c>
      <c r="V34" s="409" t="str">
        <f t="shared" si="11"/>
        <v>--</v>
      </c>
      <c r="W34" s="430" t="str">
        <f t="shared" si="12"/>
        <v>--</v>
      </c>
      <c r="X34" s="418" t="str">
        <f t="shared" si="13"/>
        <v>--</v>
      </c>
      <c r="Y34" s="419" t="str">
        <f t="shared" si="14"/>
        <v>--</v>
      </c>
      <c r="Z34" s="437" t="str">
        <f t="shared" si="15"/>
        <v>--</v>
      </c>
      <c r="AA34" s="443" t="str">
        <f t="shared" si="16"/>
        <v>--</v>
      </c>
      <c r="AB34" s="433" t="str">
        <f t="shared" si="17"/>
        <v>SI</v>
      </c>
      <c r="AC34" s="29">
        <f t="shared" si="18"/>
        <v>100.75274000000002</v>
      </c>
      <c r="AD34" s="567"/>
    </row>
    <row r="35" spans="2:30" s="16" customFormat="1" ht="16.5" customHeight="1">
      <c r="B35" s="140"/>
      <c r="C35" s="20">
        <v>17</v>
      </c>
      <c r="D35" s="20" t="s">
        <v>13</v>
      </c>
      <c r="E35" s="457">
        <v>220</v>
      </c>
      <c r="F35" s="22">
        <v>61</v>
      </c>
      <c r="G35" s="457" t="s">
        <v>2</v>
      </c>
      <c r="H35" s="458">
        <f t="shared" si="0"/>
        <v>20</v>
      </c>
      <c r="I35" s="627">
        <f t="shared" si="1"/>
        <v>46.09</v>
      </c>
      <c r="J35" s="19">
        <v>36965.279861111114</v>
      </c>
      <c r="K35" s="31">
        <v>36965.74166666667</v>
      </c>
      <c r="L35" s="25">
        <f t="shared" si="2"/>
        <v>11.08333333331393</v>
      </c>
      <c r="M35" s="26">
        <f t="shared" si="3"/>
        <v>665</v>
      </c>
      <c r="N35" s="27" t="s">
        <v>177</v>
      </c>
      <c r="O35" s="395" t="str">
        <f t="shared" si="4"/>
        <v>--</v>
      </c>
      <c r="P35" s="23" t="str">
        <f t="shared" si="5"/>
        <v>NO</v>
      </c>
      <c r="Q35" s="23" t="str">
        <f t="shared" si="6"/>
        <v>--</v>
      </c>
      <c r="R35" s="399">
        <f t="shared" si="7"/>
        <v>102.13544000000002</v>
      </c>
      <c r="S35" s="402" t="str">
        <f t="shared" si="8"/>
        <v>--</v>
      </c>
      <c r="T35" s="432" t="str">
        <f t="shared" si="9"/>
        <v>--</v>
      </c>
      <c r="U35" s="408" t="str">
        <f t="shared" si="10"/>
        <v>--</v>
      </c>
      <c r="V35" s="409" t="str">
        <f t="shared" si="11"/>
        <v>--</v>
      </c>
      <c r="W35" s="430" t="str">
        <f t="shared" si="12"/>
        <v>--</v>
      </c>
      <c r="X35" s="418" t="str">
        <f t="shared" si="13"/>
        <v>--</v>
      </c>
      <c r="Y35" s="419" t="str">
        <f t="shared" si="14"/>
        <v>--</v>
      </c>
      <c r="Z35" s="437" t="str">
        <f t="shared" si="15"/>
        <v>--</v>
      </c>
      <c r="AA35" s="443" t="str">
        <f t="shared" si="16"/>
        <v>--</v>
      </c>
      <c r="AB35" s="433" t="str">
        <f t="shared" si="17"/>
        <v>SI</v>
      </c>
      <c r="AC35" s="29">
        <f t="shared" si="18"/>
        <v>102.13544000000002</v>
      </c>
      <c r="AD35" s="567"/>
    </row>
    <row r="36" spans="2:30" s="16" customFormat="1" ht="16.5" customHeight="1">
      <c r="B36" s="140"/>
      <c r="C36" s="20">
        <v>18</v>
      </c>
      <c r="D36" s="20" t="s">
        <v>13</v>
      </c>
      <c r="E36" s="457">
        <v>220</v>
      </c>
      <c r="F36" s="22">
        <v>61</v>
      </c>
      <c r="G36" s="457" t="s">
        <v>2</v>
      </c>
      <c r="H36" s="458">
        <f t="shared" si="0"/>
        <v>20</v>
      </c>
      <c r="I36" s="627">
        <f t="shared" si="1"/>
        <v>46.09</v>
      </c>
      <c r="J36" s="19">
        <v>36966.28680555556</v>
      </c>
      <c r="K36" s="31">
        <v>36966.65625</v>
      </c>
      <c r="L36" s="25">
        <f t="shared" si="2"/>
        <v>8.866666666581295</v>
      </c>
      <c r="M36" s="26">
        <f t="shared" si="3"/>
        <v>532</v>
      </c>
      <c r="N36" s="27" t="s">
        <v>177</v>
      </c>
      <c r="O36" s="395" t="str">
        <f t="shared" si="4"/>
        <v>--</v>
      </c>
      <c r="P36" s="23" t="str">
        <f t="shared" si="5"/>
        <v>NO</v>
      </c>
      <c r="Q36" s="23" t="str">
        <f t="shared" si="6"/>
        <v>--</v>
      </c>
      <c r="R36" s="399">
        <f t="shared" si="7"/>
        <v>81.76366</v>
      </c>
      <c r="S36" s="402" t="str">
        <f t="shared" si="8"/>
        <v>--</v>
      </c>
      <c r="T36" s="432" t="str">
        <f t="shared" si="9"/>
        <v>--</v>
      </c>
      <c r="U36" s="408" t="str">
        <f t="shared" si="10"/>
        <v>--</v>
      </c>
      <c r="V36" s="409" t="str">
        <f t="shared" si="11"/>
        <v>--</v>
      </c>
      <c r="W36" s="430" t="str">
        <f t="shared" si="12"/>
        <v>--</v>
      </c>
      <c r="X36" s="418" t="str">
        <f t="shared" si="13"/>
        <v>--</v>
      </c>
      <c r="Y36" s="419" t="str">
        <f t="shared" si="14"/>
        <v>--</v>
      </c>
      <c r="Z36" s="437" t="str">
        <f t="shared" si="15"/>
        <v>--</v>
      </c>
      <c r="AA36" s="443" t="str">
        <f t="shared" si="16"/>
        <v>--</v>
      </c>
      <c r="AB36" s="433" t="str">
        <f t="shared" si="17"/>
        <v>SI</v>
      </c>
      <c r="AC36" s="29">
        <f t="shared" si="18"/>
        <v>81.76366</v>
      </c>
      <c r="AD36" s="567"/>
    </row>
    <row r="37" spans="2:30" s="16" customFormat="1" ht="16.5" customHeight="1">
      <c r="B37" s="140"/>
      <c r="C37" s="20">
        <v>19</v>
      </c>
      <c r="D37" s="20" t="s">
        <v>12</v>
      </c>
      <c r="E37" s="457">
        <v>220</v>
      </c>
      <c r="F37" s="22">
        <v>61</v>
      </c>
      <c r="G37" s="457" t="s">
        <v>2</v>
      </c>
      <c r="H37" s="458">
        <f t="shared" si="0"/>
        <v>20</v>
      </c>
      <c r="I37" s="627">
        <f t="shared" si="1"/>
        <v>46.09</v>
      </c>
      <c r="J37" s="19">
        <v>36970.32847222222</v>
      </c>
      <c r="K37" s="31">
        <v>36970.6875</v>
      </c>
      <c r="L37" s="25">
        <f t="shared" si="2"/>
        <v>8.616666666639503</v>
      </c>
      <c r="M37" s="26">
        <f t="shared" si="3"/>
        <v>517</v>
      </c>
      <c r="N37" s="27" t="s">
        <v>177</v>
      </c>
      <c r="O37" s="395" t="str">
        <f t="shared" si="4"/>
        <v>--</v>
      </c>
      <c r="P37" s="23" t="str">
        <f t="shared" si="5"/>
        <v>NO</v>
      </c>
      <c r="Q37" s="23" t="str">
        <f t="shared" si="6"/>
        <v>--</v>
      </c>
      <c r="R37" s="399">
        <f t="shared" si="7"/>
        <v>79.45916</v>
      </c>
      <c r="S37" s="402" t="str">
        <f t="shared" si="8"/>
        <v>--</v>
      </c>
      <c r="T37" s="432" t="str">
        <f t="shared" si="9"/>
        <v>--</v>
      </c>
      <c r="U37" s="408" t="str">
        <f t="shared" si="10"/>
        <v>--</v>
      </c>
      <c r="V37" s="409" t="str">
        <f t="shared" si="11"/>
        <v>--</v>
      </c>
      <c r="W37" s="430" t="str">
        <f t="shared" si="12"/>
        <v>--</v>
      </c>
      <c r="X37" s="418" t="str">
        <f t="shared" si="13"/>
        <v>--</v>
      </c>
      <c r="Y37" s="419" t="str">
        <f t="shared" si="14"/>
        <v>--</v>
      </c>
      <c r="Z37" s="437" t="str">
        <f t="shared" si="15"/>
        <v>--</v>
      </c>
      <c r="AA37" s="443" t="str">
        <f t="shared" si="16"/>
        <v>--</v>
      </c>
      <c r="AB37" s="433" t="str">
        <f t="shared" si="17"/>
        <v>SI</v>
      </c>
      <c r="AC37" s="29">
        <f t="shared" si="18"/>
        <v>79.45916</v>
      </c>
      <c r="AD37" s="567"/>
    </row>
    <row r="38" spans="2:30" s="16" customFormat="1" ht="16.5" customHeight="1">
      <c r="B38" s="140"/>
      <c r="C38" s="20">
        <v>20</v>
      </c>
      <c r="D38" s="20" t="s">
        <v>16</v>
      </c>
      <c r="E38" s="457">
        <v>220</v>
      </c>
      <c r="F38" s="22">
        <v>6</v>
      </c>
      <c r="G38" s="457" t="s">
        <v>2</v>
      </c>
      <c r="H38" s="458">
        <f t="shared" si="0"/>
        <v>20</v>
      </c>
      <c r="I38" s="627">
        <f t="shared" si="1"/>
        <v>46.09</v>
      </c>
      <c r="J38" s="19">
        <v>36972.51736111111</v>
      </c>
      <c r="K38" s="31">
        <v>36972.71805555555</v>
      </c>
      <c r="L38" s="25">
        <f t="shared" si="2"/>
        <v>4.816666666651145</v>
      </c>
      <c r="M38" s="26">
        <f t="shared" si="3"/>
        <v>289</v>
      </c>
      <c r="N38" s="27" t="s">
        <v>177</v>
      </c>
      <c r="O38" s="395" t="str">
        <f t="shared" si="4"/>
        <v>--</v>
      </c>
      <c r="P38" s="23" t="str">
        <f t="shared" si="5"/>
        <v>NO</v>
      </c>
      <c r="Q38" s="23" t="str">
        <f t="shared" si="6"/>
        <v>--</v>
      </c>
      <c r="R38" s="399">
        <f t="shared" si="7"/>
        <v>44.430760000000014</v>
      </c>
      <c r="S38" s="402" t="str">
        <f t="shared" si="8"/>
        <v>--</v>
      </c>
      <c r="T38" s="432" t="str">
        <f t="shared" si="9"/>
        <v>--</v>
      </c>
      <c r="U38" s="408" t="str">
        <f t="shared" si="10"/>
        <v>--</v>
      </c>
      <c r="V38" s="409" t="str">
        <f t="shared" si="11"/>
        <v>--</v>
      </c>
      <c r="W38" s="430" t="str">
        <f t="shared" si="12"/>
        <v>--</v>
      </c>
      <c r="X38" s="418" t="str">
        <f t="shared" si="13"/>
        <v>--</v>
      </c>
      <c r="Y38" s="419" t="str">
        <f t="shared" si="14"/>
        <v>--</v>
      </c>
      <c r="Z38" s="437" t="str">
        <f t="shared" si="15"/>
        <v>--</v>
      </c>
      <c r="AA38" s="443" t="str">
        <f t="shared" si="16"/>
        <v>--</v>
      </c>
      <c r="AB38" s="433" t="str">
        <f t="shared" si="17"/>
        <v>SI</v>
      </c>
      <c r="AC38" s="29">
        <f t="shared" si="18"/>
        <v>44.430760000000014</v>
      </c>
      <c r="AD38" s="567"/>
    </row>
    <row r="39" spans="2:30" s="16" customFormat="1" ht="16.5" customHeight="1">
      <c r="B39" s="140"/>
      <c r="C39" s="20">
        <v>20</v>
      </c>
      <c r="D39" s="20" t="s">
        <v>16</v>
      </c>
      <c r="E39" s="457">
        <v>220</v>
      </c>
      <c r="F39" s="22">
        <v>6</v>
      </c>
      <c r="G39" s="457" t="s">
        <v>2</v>
      </c>
      <c r="H39" s="458">
        <f t="shared" si="0"/>
        <v>20</v>
      </c>
      <c r="I39" s="627">
        <f t="shared" si="1"/>
        <v>46.09</v>
      </c>
      <c r="J39" s="19">
        <v>36973.34375</v>
      </c>
      <c r="K39" s="31">
        <v>36973.569444444445</v>
      </c>
      <c r="L39" s="25">
        <f t="shared" si="2"/>
        <v>5.416666666686069</v>
      </c>
      <c r="M39" s="26">
        <f t="shared" si="3"/>
        <v>325</v>
      </c>
      <c r="N39" s="27" t="s">
        <v>177</v>
      </c>
      <c r="O39" s="395" t="str">
        <f t="shared" si="4"/>
        <v>--</v>
      </c>
      <c r="P39" s="23" t="str">
        <f t="shared" si="5"/>
        <v>NO</v>
      </c>
      <c r="Q39" s="23" t="str">
        <f t="shared" si="6"/>
        <v>--</v>
      </c>
      <c r="R39" s="399">
        <f t="shared" si="7"/>
        <v>49.96156</v>
      </c>
      <c r="S39" s="402" t="str">
        <f t="shared" si="8"/>
        <v>--</v>
      </c>
      <c r="T39" s="432" t="str">
        <f t="shared" si="9"/>
        <v>--</v>
      </c>
      <c r="U39" s="408" t="str">
        <f t="shared" si="10"/>
        <v>--</v>
      </c>
      <c r="V39" s="409" t="str">
        <f t="shared" si="11"/>
        <v>--</v>
      </c>
      <c r="W39" s="430" t="str">
        <f t="shared" si="12"/>
        <v>--</v>
      </c>
      <c r="X39" s="418" t="str">
        <f t="shared" si="13"/>
        <v>--</v>
      </c>
      <c r="Y39" s="419" t="str">
        <f t="shared" si="14"/>
        <v>--</v>
      </c>
      <c r="Z39" s="437" t="str">
        <f t="shared" si="15"/>
        <v>--</v>
      </c>
      <c r="AA39" s="443" t="str">
        <f t="shared" si="16"/>
        <v>--</v>
      </c>
      <c r="AB39" s="433" t="str">
        <f t="shared" si="17"/>
        <v>SI</v>
      </c>
      <c r="AC39" s="29">
        <f t="shared" si="18"/>
        <v>49.96156</v>
      </c>
      <c r="AD39" s="567"/>
    </row>
    <row r="40" spans="2:30" s="16" customFormat="1" ht="16.5" customHeight="1" thickBot="1">
      <c r="B40" s="140"/>
      <c r="C40" s="33"/>
      <c r="D40" s="33"/>
      <c r="E40" s="34"/>
      <c r="F40" s="35"/>
      <c r="G40" s="36"/>
      <c r="H40" s="452"/>
      <c r="I40" s="628"/>
      <c r="J40" s="37"/>
      <c r="K40" s="37"/>
      <c r="L40" s="37"/>
      <c r="M40" s="37"/>
      <c r="N40" s="37"/>
      <c r="O40" s="38"/>
      <c r="P40" s="37"/>
      <c r="Q40" s="37"/>
      <c r="R40" s="397"/>
      <c r="S40" s="403"/>
      <c r="T40" s="410"/>
      <c r="U40" s="411"/>
      <c r="V40" s="412"/>
      <c r="W40" s="420"/>
      <c r="X40" s="421"/>
      <c r="Y40" s="422"/>
      <c r="Z40" s="438"/>
      <c r="AA40" s="444"/>
      <c r="AB40" s="39"/>
      <c r="AC40" s="40"/>
      <c r="AD40" s="567"/>
    </row>
    <row r="41" spans="2:30" s="16" customFormat="1" ht="16.5" customHeight="1" thickBot="1" thickTop="1">
      <c r="B41" s="140"/>
      <c r="C41" s="282" t="s">
        <v>96</v>
      </c>
      <c r="D41" s="283" t="s">
        <v>97</v>
      </c>
      <c r="E41" s="41"/>
      <c r="F41" s="1"/>
      <c r="G41" s="42"/>
      <c r="H41" s="1"/>
      <c r="I41" s="43"/>
      <c r="J41" s="43"/>
      <c r="K41" s="43"/>
      <c r="L41" s="43"/>
      <c r="M41" s="43"/>
      <c r="N41" s="43"/>
      <c r="O41" s="44"/>
      <c r="P41" s="43"/>
      <c r="Q41" s="43"/>
      <c r="R41" s="445">
        <f aca="true" t="shared" si="19" ref="R41:AA41">SUM(R20:R40)</f>
        <v>1283.34544624</v>
      </c>
      <c r="S41" s="446">
        <f t="shared" si="19"/>
        <v>105.92400112800001</v>
      </c>
      <c r="T41" s="447">
        <f t="shared" si="19"/>
        <v>0</v>
      </c>
      <c r="U41" s="447">
        <f t="shared" si="19"/>
        <v>0</v>
      </c>
      <c r="V41" s="447">
        <f t="shared" si="19"/>
        <v>0</v>
      </c>
      <c r="W41" s="448">
        <f t="shared" si="19"/>
        <v>0</v>
      </c>
      <c r="X41" s="448">
        <f t="shared" si="19"/>
        <v>0</v>
      </c>
      <c r="Y41" s="448">
        <f t="shared" si="19"/>
        <v>0</v>
      </c>
      <c r="Z41" s="449">
        <f t="shared" si="19"/>
        <v>0</v>
      </c>
      <c r="AA41" s="450">
        <f t="shared" si="19"/>
        <v>0</v>
      </c>
      <c r="AB41" s="45"/>
      <c r="AC41" s="97">
        <f>ROUND(SUM(AC20:AC40),2)</f>
        <v>1389.27</v>
      </c>
      <c r="AD41" s="567"/>
    </row>
    <row r="42" spans="2:30" s="286" customFormat="1" ht="9.75" thickTop="1">
      <c r="B42" s="287"/>
      <c r="C42" s="284"/>
      <c r="D42" s="285" t="s">
        <v>98</v>
      </c>
      <c r="E42" s="288"/>
      <c r="F42" s="289"/>
      <c r="G42" s="290"/>
      <c r="H42" s="289"/>
      <c r="I42" s="291"/>
      <c r="J42" s="291"/>
      <c r="K42" s="291"/>
      <c r="L42" s="291"/>
      <c r="M42" s="291"/>
      <c r="N42" s="291"/>
      <c r="O42" s="292"/>
      <c r="P42" s="291"/>
      <c r="Q42" s="291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4"/>
      <c r="AD42" s="295"/>
    </row>
    <row r="43" spans="2:30" s="16" customFormat="1" ht="16.5" customHeight="1" thickBot="1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</row>
    <row r="44" spans="2:30" ht="16.5" customHeight="1" thickTop="1">
      <c r="B44" s="12"/>
      <c r="AD44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AD46"/>
  <sheetViews>
    <sheetView zoomScale="75" zoomScaleNormal="75" workbookViewId="0" topLeftCell="F22">
      <selection activeCell="M44" sqref="M4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08" customFormat="1" ht="26.25">
      <c r="A1" s="158"/>
      <c r="AD1" s="691"/>
    </row>
    <row r="2" spans="1:30" s="108" customFormat="1" ht="26.25">
      <c r="A2" s="158"/>
      <c r="B2" s="109" t="str">
        <f>+'tot-0103'!B2</f>
        <v>ANEXO a la Resolución E.N.R.E. N°  113  /2002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30" s="16" customFormat="1" ht="13.5" thickTop="1">
      <c r="B7" s="159"/>
      <c r="C7" s="160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2"/>
    </row>
    <row r="8" spans="2:30" s="10" customFormat="1" ht="20.25">
      <c r="B8" s="173"/>
      <c r="C8" s="11"/>
      <c r="D8" s="7" t="s">
        <v>69</v>
      </c>
      <c r="E8" s="11"/>
      <c r="F8" s="11"/>
      <c r="G8" s="11"/>
      <c r="H8" s="11"/>
      <c r="N8" s="11"/>
      <c r="O8" s="11"/>
      <c r="P8" s="174"/>
      <c r="Q8" s="17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75"/>
    </row>
    <row r="9" spans="2:30" s="16" customFormat="1" ht="12.75">
      <c r="B9" s="14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3"/>
    </row>
    <row r="10" spans="2:30" s="10" customFormat="1" ht="20.25">
      <c r="B10" s="173"/>
      <c r="C10" s="11"/>
      <c r="D10" s="174" t="s">
        <v>70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75"/>
    </row>
    <row r="11" spans="2:30" s="16" customFormat="1" ht="12.75">
      <c r="B11" s="14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63"/>
    </row>
    <row r="12" spans="2:30" s="10" customFormat="1" ht="20.25">
      <c r="B12" s="173"/>
      <c r="C12" s="11"/>
      <c r="D12" s="174" t="s">
        <v>71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74"/>
      <c r="Q12" s="17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75"/>
    </row>
    <row r="13" spans="2:30" s="16" customFormat="1" ht="12.75">
      <c r="B13" s="140"/>
      <c r="C13" s="14"/>
      <c r="D13" s="1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3"/>
    </row>
    <row r="14" spans="2:30" s="15" customFormat="1" ht="19.5">
      <c r="B14" s="128" t="str">
        <f>+'tot-0103'!B14</f>
        <v>Desde el 01 al 31 de marzo de 2001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77"/>
      <c r="O14" s="177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78"/>
    </row>
    <row r="15" spans="2:30" s="16" customFormat="1" ht="16.5" customHeight="1" thickBot="1">
      <c r="B15" s="140"/>
      <c r="C15" s="14"/>
      <c r="D15" s="14"/>
      <c r="E15" s="2"/>
      <c r="F15" s="2"/>
      <c r="G15" s="14"/>
      <c r="H15" s="14"/>
      <c r="I15" s="14"/>
      <c r="J15" s="172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63"/>
    </row>
    <row r="16" spans="2:30" s="16" customFormat="1" ht="16.5" customHeight="1" thickBot="1" thickTop="1">
      <c r="B16" s="140"/>
      <c r="C16" s="14"/>
      <c r="D16" s="179" t="s">
        <v>72</v>
      </c>
      <c r="E16" s="630">
        <v>55.308</v>
      </c>
      <c r="F16" s="28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63"/>
    </row>
    <row r="17" spans="2:30" s="16" customFormat="1" ht="16.5" customHeight="1" thickBot="1" thickTop="1">
      <c r="B17" s="140"/>
      <c r="C17" s="14"/>
      <c r="D17" s="179" t="s">
        <v>73</v>
      </c>
      <c r="E17" s="630">
        <v>46.09</v>
      </c>
      <c r="F17" s="281"/>
      <c r="G17" s="14"/>
      <c r="H17" s="14"/>
      <c r="I17" s="14" t="s">
        <v>187</v>
      </c>
      <c r="J17" s="693"/>
      <c r="K17" s="69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5"/>
      <c r="W17" s="165"/>
      <c r="X17" s="165"/>
      <c r="Y17" s="165"/>
      <c r="Z17" s="165"/>
      <c r="AA17" s="165"/>
      <c r="AB17" s="165"/>
      <c r="AD17" s="163"/>
    </row>
    <row r="18" spans="2:30" s="16" customFormat="1" ht="16.5" customHeight="1" thickBot="1" thickTop="1">
      <c r="B18" s="140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6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3"/>
    </row>
    <row r="19" spans="2:30" s="16" customFormat="1" ht="33.75" customHeight="1" thickBot="1" thickTop="1">
      <c r="B19" s="140"/>
      <c r="C19" s="180" t="s">
        <v>74</v>
      </c>
      <c r="D19" s="182" t="s">
        <v>56</v>
      </c>
      <c r="E19" s="455" t="s">
        <v>75</v>
      </c>
      <c r="F19" s="186" t="s">
        <v>76</v>
      </c>
      <c r="G19" s="181" t="s">
        <v>77</v>
      </c>
      <c r="H19" s="456" t="s">
        <v>78</v>
      </c>
      <c r="I19" s="453" t="s">
        <v>79</v>
      </c>
      <c r="J19" s="182" t="s">
        <v>80</v>
      </c>
      <c r="K19" s="183" t="s">
        <v>81</v>
      </c>
      <c r="L19" s="185" t="s">
        <v>82</v>
      </c>
      <c r="M19" s="186" t="s">
        <v>83</v>
      </c>
      <c r="N19" s="185" t="s">
        <v>84</v>
      </c>
      <c r="O19" s="186" t="s">
        <v>85</v>
      </c>
      <c r="P19" s="183" t="s">
        <v>86</v>
      </c>
      <c r="Q19" s="182" t="s">
        <v>87</v>
      </c>
      <c r="R19" s="398" t="s">
        <v>88</v>
      </c>
      <c r="S19" s="404" t="s">
        <v>89</v>
      </c>
      <c r="T19" s="345" t="s">
        <v>90</v>
      </c>
      <c r="U19" s="346"/>
      <c r="V19" s="347"/>
      <c r="W19" s="413" t="s">
        <v>91</v>
      </c>
      <c r="X19" s="414"/>
      <c r="Y19" s="415"/>
      <c r="Z19" s="439" t="s">
        <v>92</v>
      </c>
      <c r="AA19" s="440" t="s">
        <v>93</v>
      </c>
      <c r="AB19" s="187" t="s">
        <v>94</v>
      </c>
      <c r="AC19" s="187" t="s">
        <v>95</v>
      </c>
      <c r="AD19" s="167"/>
    </row>
    <row r="20" spans="2:30" s="16" customFormat="1" ht="16.5" customHeight="1" thickTop="1">
      <c r="B20" s="140"/>
      <c r="C20" s="434"/>
      <c r="D20" s="461" t="s">
        <v>180</v>
      </c>
      <c r="E20" s="461"/>
      <c r="F20" s="434"/>
      <c r="G20" s="434"/>
      <c r="H20" s="459"/>
      <c r="I20" s="460"/>
      <c r="J20" s="434"/>
      <c r="K20" s="434"/>
      <c r="L20" s="434"/>
      <c r="M20" s="434"/>
      <c r="N20" s="434"/>
      <c r="O20" s="434"/>
      <c r="P20" s="434"/>
      <c r="Q20" s="434"/>
      <c r="R20" s="400"/>
      <c r="S20" s="405"/>
      <c r="T20" s="423"/>
      <c r="U20" s="424"/>
      <c r="V20" s="425"/>
      <c r="W20" s="426"/>
      <c r="X20" s="427"/>
      <c r="Y20" s="428"/>
      <c r="Z20" s="435"/>
      <c r="AA20" s="441"/>
      <c r="AB20" s="434"/>
      <c r="AC20" s="573">
        <f>ROUND('LI-0103'!AC41,2)</f>
        <v>1389.27</v>
      </c>
      <c r="AD20" s="163"/>
    </row>
    <row r="21" spans="2:30" s="16" customFormat="1" ht="16.5" customHeight="1">
      <c r="B21" s="140"/>
      <c r="C21" s="17"/>
      <c r="D21" s="17"/>
      <c r="E21" s="20"/>
      <c r="F21" s="17"/>
      <c r="G21" s="17"/>
      <c r="H21" s="451"/>
      <c r="I21" s="454"/>
      <c r="J21" s="19"/>
      <c r="K21" s="14"/>
      <c r="L21" s="17"/>
      <c r="M21" s="17"/>
      <c r="N21" s="18"/>
      <c r="O21" s="17"/>
      <c r="P21" s="17"/>
      <c r="Q21" s="17"/>
      <c r="R21" s="396"/>
      <c r="S21" s="401"/>
      <c r="T21" s="431"/>
      <c r="U21" s="406"/>
      <c r="V21" s="407"/>
      <c r="W21" s="429"/>
      <c r="X21" s="416"/>
      <c r="Y21" s="417"/>
      <c r="Z21" s="436"/>
      <c r="AA21" s="442"/>
      <c r="AB21" s="17"/>
      <c r="AC21" s="188"/>
      <c r="AD21" s="163"/>
    </row>
    <row r="22" spans="2:30" s="16" customFormat="1" ht="16.5" customHeight="1">
      <c r="B22" s="140"/>
      <c r="C22" s="20">
        <v>21</v>
      </c>
      <c r="D22" s="51" t="s">
        <v>12</v>
      </c>
      <c r="E22" s="366">
        <v>220</v>
      </c>
      <c r="F22" s="704">
        <v>61</v>
      </c>
      <c r="G22" s="366" t="s">
        <v>2</v>
      </c>
      <c r="H22" s="458">
        <f aca="true" t="shared" si="0" ref="H22:H41">IF(G22="A",200,IF(G22="B",60,20))</f>
        <v>20</v>
      </c>
      <c r="I22" s="627">
        <f aca="true" t="shared" si="1" ref="I22:I41">IF(E22=500,IF(F22&lt;100,100*$E$16/100,F22*$E$16/100),IF(F22&lt;100,100*$E$17/100,F22*$E$17/100))</f>
        <v>46.09</v>
      </c>
      <c r="J22" s="705">
        <v>36976.489583333336</v>
      </c>
      <c r="K22" s="706">
        <v>36976.72152777778</v>
      </c>
      <c r="L22" s="25">
        <f aca="true" t="shared" si="2" ref="L22:L41">IF(D22="","",(K22-J22)*24)</f>
        <v>5.566666666651145</v>
      </c>
      <c r="M22" s="26">
        <f aca="true" t="shared" si="3" ref="M22:M41">IF(D22="","",ROUND((K22-J22)*24*60,0))</f>
        <v>334</v>
      </c>
      <c r="N22" s="27" t="s">
        <v>177</v>
      </c>
      <c r="O22" s="395" t="str">
        <f aca="true" t="shared" si="4" ref="O22:O41">IF(D22="","","--")</f>
        <v>--</v>
      </c>
      <c r="P22" s="23" t="str">
        <f aca="true" t="shared" si="5" ref="P22:P41">IF(D22="","","NO")</f>
        <v>NO</v>
      </c>
      <c r="Q22" s="23" t="str">
        <f aca="true" t="shared" si="6" ref="Q22:Q41">IF(D22="","",IF(OR(N22="P",N22="RP"),"--","NO"))</f>
        <v>--</v>
      </c>
      <c r="R22" s="399">
        <f aca="true" t="shared" si="7" ref="R22:R41">IF(N22="P",I22*H22*ROUND(M22/60,2)*0.01,"--")</f>
        <v>51.344260000000006</v>
      </c>
      <c r="S22" s="402" t="str">
        <f aca="true" t="shared" si="8" ref="S22:S41">IF(N22="RP",I22*H22*ROUND(M22/60,2)*0.01*O22/100,"--")</f>
        <v>--</v>
      </c>
      <c r="T22" s="432" t="str">
        <f aca="true" t="shared" si="9" ref="T22:T41">IF(AND(N22="F",Q22="NO"),I22*H22*IF(P22="SI",1.2,1),"--")</f>
        <v>--</v>
      </c>
      <c r="U22" s="408" t="str">
        <f aca="true" t="shared" si="10" ref="U22:U41">IF(AND(N22="F",M22&gt;=10),I22*H22*IF(P22="SI",1.2,1)*IF(M22&lt;=300,ROUND(M22/60,2),5),"--")</f>
        <v>--</v>
      </c>
      <c r="V22" s="409" t="str">
        <f aca="true" t="shared" si="11" ref="V22:V41">IF(AND(N22="F",M22&gt;300),(ROUND(M22/60,2)-5)*I22*H22*0.1*IF(P22="SI",1.2,1),"--")</f>
        <v>--</v>
      </c>
      <c r="W22" s="430" t="str">
        <f aca="true" t="shared" si="12" ref="W22:W41">IF(AND(N22="R",Q22="NO"),I22*H22*O22/100*IF(P22="SI",1.2,1),"--")</f>
        <v>--</v>
      </c>
      <c r="X22" s="418" t="str">
        <f aca="true" t="shared" si="13" ref="X22:X41">IF(AND(N22="R",M22&gt;=10),I22*H22*O22/100*IF(P22="SI",1.2,1)*IF(M22&lt;=300,ROUND(M22/60,2),5),"--")</f>
        <v>--</v>
      </c>
      <c r="Y22" s="419" t="str">
        <f aca="true" t="shared" si="14" ref="Y22:Y41">IF(AND(N22="R",M22&gt;300),(ROUND(M22/60,2)-5)*I22*H22*0.1*O22/100*IF(P22="SI",1.2,1),"--")</f>
        <v>--</v>
      </c>
      <c r="Z22" s="437" t="str">
        <f aca="true" t="shared" si="15" ref="Z22:Z41">IF(N22="RF",ROUND(M22/60,2)*I22*H22*0.1*IF(P22="SI",1.2,1),"--")</f>
        <v>--</v>
      </c>
      <c r="AA22" s="443" t="str">
        <f aca="true" t="shared" si="16" ref="AA22:AA41">IF(N22="RR",ROUND(M22/60,2)*I22*H22*0.1*O22/100*IF(P22="SI",1.2,1),"--")</f>
        <v>--</v>
      </c>
      <c r="AB22" s="433" t="str">
        <f aca="true" t="shared" si="17" ref="AB22:AB41">IF(D22="","","SI")</f>
        <v>SI</v>
      </c>
      <c r="AC22" s="29">
        <f aca="true" t="shared" si="18" ref="AC22:AC41">IF(D22="","",SUM(R22:AA22)*IF(AB22="SI",1,2))</f>
        <v>51.344260000000006</v>
      </c>
      <c r="AD22" s="567"/>
    </row>
    <row r="23" spans="2:30" s="16" customFormat="1" ht="16.5" customHeight="1">
      <c r="B23" s="140"/>
      <c r="C23" s="20">
        <v>22</v>
      </c>
      <c r="D23" s="51" t="s">
        <v>3</v>
      </c>
      <c r="E23" s="366">
        <v>500</v>
      </c>
      <c r="F23" s="704">
        <v>345</v>
      </c>
      <c r="G23" s="366" t="s">
        <v>4</v>
      </c>
      <c r="H23" s="458">
        <f t="shared" si="0"/>
        <v>60</v>
      </c>
      <c r="I23" s="627">
        <f t="shared" si="1"/>
        <v>190.81259999999997</v>
      </c>
      <c r="J23" s="705">
        <v>36977.33125</v>
      </c>
      <c r="K23" s="706">
        <v>36977.725</v>
      </c>
      <c r="L23" s="25">
        <f t="shared" si="2"/>
        <v>9.449999999895226</v>
      </c>
      <c r="M23" s="26">
        <f t="shared" si="3"/>
        <v>567</v>
      </c>
      <c r="N23" s="27" t="s">
        <v>177</v>
      </c>
      <c r="O23" s="395" t="str">
        <f t="shared" si="4"/>
        <v>--</v>
      </c>
      <c r="P23" s="23" t="str">
        <f t="shared" si="5"/>
        <v>NO</v>
      </c>
      <c r="Q23" s="23" t="str">
        <f t="shared" si="6"/>
        <v>--</v>
      </c>
      <c r="R23" s="399">
        <f t="shared" si="7"/>
        <v>1081.9074419999997</v>
      </c>
      <c r="S23" s="402" t="str">
        <f t="shared" si="8"/>
        <v>--</v>
      </c>
      <c r="T23" s="432" t="str">
        <f t="shared" si="9"/>
        <v>--</v>
      </c>
      <c r="U23" s="408" t="str">
        <f t="shared" si="10"/>
        <v>--</v>
      </c>
      <c r="V23" s="409" t="str">
        <f t="shared" si="11"/>
        <v>--</v>
      </c>
      <c r="W23" s="430" t="str">
        <f t="shared" si="12"/>
        <v>--</v>
      </c>
      <c r="X23" s="418" t="str">
        <f t="shared" si="13"/>
        <v>--</v>
      </c>
      <c r="Y23" s="419" t="str">
        <f t="shared" si="14"/>
        <v>--</v>
      </c>
      <c r="Z23" s="437" t="str">
        <f t="shared" si="15"/>
        <v>--</v>
      </c>
      <c r="AA23" s="443" t="str">
        <f t="shared" si="16"/>
        <v>--</v>
      </c>
      <c r="AB23" s="433" t="str">
        <f t="shared" si="17"/>
        <v>SI</v>
      </c>
      <c r="AC23" s="29">
        <f t="shared" si="18"/>
        <v>1081.9074419999997</v>
      </c>
      <c r="AD23" s="567"/>
    </row>
    <row r="24" spans="2:30" s="16" customFormat="1" ht="16.5" customHeight="1">
      <c r="B24" s="140"/>
      <c r="C24" s="20">
        <v>23</v>
      </c>
      <c r="D24" s="707" t="s">
        <v>12</v>
      </c>
      <c r="E24" s="708">
        <v>220</v>
      </c>
      <c r="F24" s="709">
        <v>61</v>
      </c>
      <c r="G24" s="708" t="s">
        <v>2</v>
      </c>
      <c r="H24" s="458">
        <f t="shared" si="0"/>
        <v>20</v>
      </c>
      <c r="I24" s="627">
        <f t="shared" si="1"/>
        <v>46.09</v>
      </c>
      <c r="J24" s="710">
        <v>36977.34722222222</v>
      </c>
      <c r="K24" s="711">
        <v>36977.629166666666</v>
      </c>
      <c r="L24" s="25">
        <f t="shared" si="2"/>
        <v>6.766666666720994</v>
      </c>
      <c r="M24" s="26">
        <f t="shared" si="3"/>
        <v>406</v>
      </c>
      <c r="N24" s="27" t="s">
        <v>177</v>
      </c>
      <c r="O24" s="395" t="str">
        <f t="shared" si="4"/>
        <v>--</v>
      </c>
      <c r="P24" s="23" t="str">
        <f t="shared" si="5"/>
        <v>NO</v>
      </c>
      <c r="Q24" s="23" t="str">
        <f t="shared" si="6"/>
        <v>--</v>
      </c>
      <c r="R24" s="399">
        <f t="shared" si="7"/>
        <v>62.405860000000004</v>
      </c>
      <c r="S24" s="402" t="str">
        <f t="shared" si="8"/>
        <v>--</v>
      </c>
      <c r="T24" s="432" t="str">
        <f t="shared" si="9"/>
        <v>--</v>
      </c>
      <c r="U24" s="408" t="str">
        <f t="shared" si="10"/>
        <v>--</v>
      </c>
      <c r="V24" s="409" t="str">
        <f t="shared" si="11"/>
        <v>--</v>
      </c>
      <c r="W24" s="430" t="str">
        <f t="shared" si="12"/>
        <v>--</v>
      </c>
      <c r="X24" s="418" t="str">
        <f t="shared" si="13"/>
        <v>--</v>
      </c>
      <c r="Y24" s="419" t="str">
        <f t="shared" si="14"/>
        <v>--</v>
      </c>
      <c r="Z24" s="437" t="str">
        <f t="shared" si="15"/>
        <v>--</v>
      </c>
      <c r="AA24" s="443" t="str">
        <f t="shared" si="16"/>
        <v>--</v>
      </c>
      <c r="AB24" s="433" t="str">
        <f t="shared" si="17"/>
        <v>SI</v>
      </c>
      <c r="AC24" s="29">
        <f t="shared" si="18"/>
        <v>62.405860000000004</v>
      </c>
      <c r="AD24" s="567"/>
    </row>
    <row r="25" spans="2:30" s="16" customFormat="1" ht="16.5" customHeight="1">
      <c r="B25" s="140"/>
      <c r="C25" s="20">
        <v>24</v>
      </c>
      <c r="D25" s="707" t="s">
        <v>12</v>
      </c>
      <c r="E25" s="708">
        <v>220</v>
      </c>
      <c r="F25" s="709">
        <v>61</v>
      </c>
      <c r="G25" s="708" t="s">
        <v>2</v>
      </c>
      <c r="H25" s="458">
        <f t="shared" si="0"/>
        <v>20</v>
      </c>
      <c r="I25" s="627">
        <f t="shared" si="1"/>
        <v>46.09</v>
      </c>
      <c r="J25" s="710">
        <v>36978.308333333334</v>
      </c>
      <c r="K25" s="711">
        <v>36978.740277777775</v>
      </c>
      <c r="L25" s="25">
        <f t="shared" si="2"/>
        <v>10.366666666581295</v>
      </c>
      <c r="M25" s="26">
        <f t="shared" si="3"/>
        <v>622</v>
      </c>
      <c r="N25" s="27" t="s">
        <v>177</v>
      </c>
      <c r="O25" s="395" t="str">
        <f t="shared" si="4"/>
        <v>--</v>
      </c>
      <c r="P25" s="23" t="str">
        <f t="shared" si="5"/>
        <v>NO</v>
      </c>
      <c r="Q25" s="23" t="str">
        <f t="shared" si="6"/>
        <v>--</v>
      </c>
      <c r="R25" s="399">
        <f t="shared" si="7"/>
        <v>95.59066000000001</v>
      </c>
      <c r="S25" s="402" t="str">
        <f t="shared" si="8"/>
        <v>--</v>
      </c>
      <c r="T25" s="432" t="str">
        <f t="shared" si="9"/>
        <v>--</v>
      </c>
      <c r="U25" s="408" t="str">
        <f t="shared" si="10"/>
        <v>--</v>
      </c>
      <c r="V25" s="409" t="str">
        <f t="shared" si="11"/>
        <v>--</v>
      </c>
      <c r="W25" s="430" t="str">
        <f t="shared" si="12"/>
        <v>--</v>
      </c>
      <c r="X25" s="418" t="str">
        <f t="shared" si="13"/>
        <v>--</v>
      </c>
      <c r="Y25" s="419" t="str">
        <f t="shared" si="14"/>
        <v>--</v>
      </c>
      <c r="Z25" s="437" t="str">
        <f t="shared" si="15"/>
        <v>--</v>
      </c>
      <c r="AA25" s="443" t="str">
        <f t="shared" si="16"/>
        <v>--</v>
      </c>
      <c r="AB25" s="433" t="str">
        <f t="shared" si="17"/>
        <v>SI</v>
      </c>
      <c r="AC25" s="29">
        <f t="shared" si="18"/>
        <v>95.59066000000001</v>
      </c>
      <c r="AD25" s="567"/>
    </row>
    <row r="26" spans="2:30" s="16" customFormat="1" ht="16.5" customHeight="1">
      <c r="B26" s="140"/>
      <c r="C26" s="20">
        <v>25</v>
      </c>
      <c r="D26" s="51" t="s">
        <v>3</v>
      </c>
      <c r="E26" s="366">
        <v>500</v>
      </c>
      <c r="F26" s="704">
        <v>345</v>
      </c>
      <c r="G26" s="366" t="s">
        <v>4</v>
      </c>
      <c r="H26" s="458">
        <f t="shared" si="0"/>
        <v>60</v>
      </c>
      <c r="I26" s="627">
        <f t="shared" si="1"/>
        <v>190.81259999999997</v>
      </c>
      <c r="J26" s="705">
        <v>36978.35208333333</v>
      </c>
      <c r="K26" s="706">
        <v>36978.66527777778</v>
      </c>
      <c r="L26" s="25">
        <f t="shared" si="2"/>
        <v>7.516666666720994</v>
      </c>
      <c r="M26" s="26">
        <f t="shared" si="3"/>
        <v>451</v>
      </c>
      <c r="N26" s="27" t="s">
        <v>177</v>
      </c>
      <c r="O26" s="395" t="str">
        <f t="shared" si="4"/>
        <v>--</v>
      </c>
      <c r="P26" s="23" t="str">
        <f t="shared" si="5"/>
        <v>NO</v>
      </c>
      <c r="Q26" s="23" t="str">
        <f t="shared" si="6"/>
        <v>--</v>
      </c>
      <c r="R26" s="399">
        <f t="shared" si="7"/>
        <v>860.9464511999997</v>
      </c>
      <c r="S26" s="402" t="str">
        <f t="shared" si="8"/>
        <v>--</v>
      </c>
      <c r="T26" s="432" t="str">
        <f t="shared" si="9"/>
        <v>--</v>
      </c>
      <c r="U26" s="408" t="str">
        <f t="shared" si="10"/>
        <v>--</v>
      </c>
      <c r="V26" s="409" t="str">
        <f t="shared" si="11"/>
        <v>--</v>
      </c>
      <c r="W26" s="430" t="str">
        <f t="shared" si="12"/>
        <v>--</v>
      </c>
      <c r="X26" s="418" t="str">
        <f t="shared" si="13"/>
        <v>--</v>
      </c>
      <c r="Y26" s="419" t="str">
        <f t="shared" si="14"/>
        <v>--</v>
      </c>
      <c r="Z26" s="437" t="str">
        <f t="shared" si="15"/>
        <v>--</v>
      </c>
      <c r="AA26" s="443" t="str">
        <f t="shared" si="16"/>
        <v>--</v>
      </c>
      <c r="AB26" s="433" t="str">
        <f t="shared" si="17"/>
        <v>SI</v>
      </c>
      <c r="AC26" s="29">
        <f t="shared" si="18"/>
        <v>860.9464511999997</v>
      </c>
      <c r="AD26" s="567"/>
    </row>
    <row r="27" spans="2:30" s="16" customFormat="1" ht="16.5" customHeight="1">
      <c r="B27" s="140"/>
      <c r="C27" s="20">
        <v>26</v>
      </c>
      <c r="D27" s="51" t="s">
        <v>12</v>
      </c>
      <c r="E27" s="366">
        <v>220</v>
      </c>
      <c r="F27" s="704">
        <v>61</v>
      </c>
      <c r="G27" s="366" t="s">
        <v>2</v>
      </c>
      <c r="H27" s="458">
        <f t="shared" si="0"/>
        <v>20</v>
      </c>
      <c r="I27" s="627">
        <f t="shared" si="1"/>
        <v>46.09</v>
      </c>
      <c r="J27" s="705">
        <v>36979.30069444444</v>
      </c>
      <c r="K27" s="706">
        <v>36979.736805555556</v>
      </c>
      <c r="L27" s="25">
        <f t="shared" si="2"/>
        <v>10.466666666732635</v>
      </c>
      <c r="M27" s="26">
        <f t="shared" si="3"/>
        <v>628</v>
      </c>
      <c r="N27" s="27" t="s">
        <v>177</v>
      </c>
      <c r="O27" s="395" t="str">
        <f t="shared" si="4"/>
        <v>--</v>
      </c>
      <c r="P27" s="23" t="str">
        <f t="shared" si="5"/>
        <v>NO</v>
      </c>
      <c r="Q27" s="23" t="str">
        <f t="shared" si="6"/>
        <v>--</v>
      </c>
      <c r="R27" s="399">
        <f t="shared" si="7"/>
        <v>96.51246000000002</v>
      </c>
      <c r="S27" s="402" t="str">
        <f t="shared" si="8"/>
        <v>--</v>
      </c>
      <c r="T27" s="432" t="str">
        <f t="shared" si="9"/>
        <v>--</v>
      </c>
      <c r="U27" s="408" t="str">
        <f t="shared" si="10"/>
        <v>--</v>
      </c>
      <c r="V27" s="409" t="str">
        <f t="shared" si="11"/>
        <v>--</v>
      </c>
      <c r="W27" s="430" t="str">
        <f t="shared" si="12"/>
        <v>--</v>
      </c>
      <c r="X27" s="418" t="str">
        <f t="shared" si="13"/>
        <v>--</v>
      </c>
      <c r="Y27" s="419" t="str">
        <f t="shared" si="14"/>
        <v>--</v>
      </c>
      <c r="Z27" s="437" t="str">
        <f t="shared" si="15"/>
        <v>--</v>
      </c>
      <c r="AA27" s="443" t="str">
        <f t="shared" si="16"/>
        <v>--</v>
      </c>
      <c r="AB27" s="433" t="str">
        <f t="shared" si="17"/>
        <v>SI</v>
      </c>
      <c r="AC27" s="29">
        <f t="shared" si="18"/>
        <v>96.51246000000002</v>
      </c>
      <c r="AD27" s="567"/>
    </row>
    <row r="28" spans="2:30" s="16" customFormat="1" ht="16.5" customHeight="1">
      <c r="B28" s="140"/>
      <c r="C28" s="20">
        <v>27</v>
      </c>
      <c r="D28" s="20" t="s">
        <v>17</v>
      </c>
      <c r="E28" s="457">
        <v>500</v>
      </c>
      <c r="F28" s="22">
        <v>270</v>
      </c>
      <c r="G28" s="457" t="s">
        <v>2</v>
      </c>
      <c r="H28" s="458">
        <f t="shared" si="0"/>
        <v>20</v>
      </c>
      <c r="I28" s="627">
        <f t="shared" si="1"/>
        <v>149.3316</v>
      </c>
      <c r="J28" s="19">
        <v>36979.35138888889</v>
      </c>
      <c r="K28" s="24">
        <v>36979.70277777778</v>
      </c>
      <c r="L28" s="25">
        <f t="shared" si="2"/>
        <v>8.43333333323244</v>
      </c>
      <c r="M28" s="26">
        <f t="shared" si="3"/>
        <v>506</v>
      </c>
      <c r="N28" s="27" t="s">
        <v>177</v>
      </c>
      <c r="O28" s="395" t="str">
        <f t="shared" si="4"/>
        <v>--</v>
      </c>
      <c r="P28" s="23" t="str">
        <f t="shared" si="5"/>
        <v>NO</v>
      </c>
      <c r="Q28" s="23" t="str">
        <f t="shared" si="6"/>
        <v>--</v>
      </c>
      <c r="R28" s="399">
        <f t="shared" si="7"/>
        <v>251.7730776</v>
      </c>
      <c r="S28" s="402" t="str">
        <f t="shared" si="8"/>
        <v>--</v>
      </c>
      <c r="T28" s="432" t="str">
        <f t="shared" si="9"/>
        <v>--</v>
      </c>
      <c r="U28" s="408" t="str">
        <f t="shared" si="10"/>
        <v>--</v>
      </c>
      <c r="V28" s="409" t="str">
        <f t="shared" si="11"/>
        <v>--</v>
      </c>
      <c r="W28" s="430" t="str">
        <f t="shared" si="12"/>
        <v>--</v>
      </c>
      <c r="X28" s="418" t="str">
        <f t="shared" si="13"/>
        <v>--</v>
      </c>
      <c r="Y28" s="419" t="str">
        <f t="shared" si="14"/>
        <v>--</v>
      </c>
      <c r="Z28" s="437" t="str">
        <f t="shared" si="15"/>
        <v>--</v>
      </c>
      <c r="AA28" s="443" t="str">
        <f t="shared" si="16"/>
        <v>--</v>
      </c>
      <c r="AB28" s="433" t="str">
        <f t="shared" si="17"/>
        <v>SI</v>
      </c>
      <c r="AC28" s="29">
        <f t="shared" si="18"/>
        <v>251.7730776</v>
      </c>
      <c r="AD28" s="567"/>
    </row>
    <row r="29" spans="2:30" s="16" customFormat="1" ht="16.5" customHeight="1">
      <c r="B29" s="140"/>
      <c r="C29" s="20">
        <v>28</v>
      </c>
      <c r="D29" s="20" t="s">
        <v>12</v>
      </c>
      <c r="E29" s="457">
        <v>220</v>
      </c>
      <c r="F29" s="22">
        <v>61</v>
      </c>
      <c r="G29" s="457" t="s">
        <v>2</v>
      </c>
      <c r="H29" s="458">
        <f t="shared" si="0"/>
        <v>20</v>
      </c>
      <c r="I29" s="627">
        <f t="shared" si="1"/>
        <v>46.09</v>
      </c>
      <c r="J29" s="19">
        <v>36980.32777777778</v>
      </c>
      <c r="K29" s="24">
        <v>36980.74097222222</v>
      </c>
      <c r="L29" s="25">
        <f t="shared" si="2"/>
        <v>9.91666666668607</v>
      </c>
      <c r="M29" s="26">
        <f t="shared" si="3"/>
        <v>595</v>
      </c>
      <c r="N29" s="27" t="s">
        <v>177</v>
      </c>
      <c r="O29" s="395" t="str">
        <f t="shared" si="4"/>
        <v>--</v>
      </c>
      <c r="P29" s="23" t="str">
        <f t="shared" si="5"/>
        <v>NO</v>
      </c>
      <c r="Q29" s="23" t="str">
        <f t="shared" si="6"/>
        <v>--</v>
      </c>
      <c r="R29" s="399">
        <f t="shared" si="7"/>
        <v>91.44256000000001</v>
      </c>
      <c r="S29" s="402" t="str">
        <f t="shared" si="8"/>
        <v>--</v>
      </c>
      <c r="T29" s="432" t="str">
        <f t="shared" si="9"/>
        <v>--</v>
      </c>
      <c r="U29" s="408" t="str">
        <f t="shared" si="10"/>
        <v>--</v>
      </c>
      <c r="V29" s="409" t="str">
        <f t="shared" si="11"/>
        <v>--</v>
      </c>
      <c r="W29" s="430" t="str">
        <f t="shared" si="12"/>
        <v>--</v>
      </c>
      <c r="X29" s="418" t="str">
        <f t="shared" si="13"/>
        <v>--</v>
      </c>
      <c r="Y29" s="419" t="str">
        <f t="shared" si="14"/>
        <v>--</v>
      </c>
      <c r="Z29" s="437" t="str">
        <f t="shared" si="15"/>
        <v>--</v>
      </c>
      <c r="AA29" s="443" t="str">
        <f t="shared" si="16"/>
        <v>--</v>
      </c>
      <c r="AB29" s="433" t="str">
        <f t="shared" si="17"/>
        <v>SI</v>
      </c>
      <c r="AC29" s="29">
        <f t="shared" si="18"/>
        <v>91.44256000000001</v>
      </c>
      <c r="AD29" s="567"/>
    </row>
    <row r="30" spans="2:30" s="16" customFormat="1" ht="16.5" customHeight="1">
      <c r="B30" s="140"/>
      <c r="C30" s="20">
        <v>29</v>
      </c>
      <c r="D30" s="20" t="s">
        <v>17</v>
      </c>
      <c r="E30" s="457">
        <v>500</v>
      </c>
      <c r="F30" s="22">
        <v>270</v>
      </c>
      <c r="G30" s="457" t="s">
        <v>2</v>
      </c>
      <c r="H30" s="458">
        <f t="shared" si="0"/>
        <v>20</v>
      </c>
      <c r="I30" s="627">
        <f t="shared" si="1"/>
        <v>149.3316</v>
      </c>
      <c r="J30" s="19">
        <v>36980.36597222222</v>
      </c>
      <c r="K30" s="24">
        <v>36980.64791666667</v>
      </c>
      <c r="L30" s="25">
        <f t="shared" si="2"/>
        <v>6.766666666720994</v>
      </c>
      <c r="M30" s="26">
        <f t="shared" si="3"/>
        <v>406</v>
      </c>
      <c r="N30" s="27" t="s">
        <v>177</v>
      </c>
      <c r="O30" s="395" t="str">
        <f t="shared" si="4"/>
        <v>--</v>
      </c>
      <c r="P30" s="23" t="str">
        <f t="shared" si="5"/>
        <v>NO</v>
      </c>
      <c r="Q30" s="23" t="str">
        <f t="shared" si="6"/>
        <v>--</v>
      </c>
      <c r="R30" s="399">
        <f t="shared" si="7"/>
        <v>202.19498639999998</v>
      </c>
      <c r="S30" s="402" t="str">
        <f t="shared" si="8"/>
        <v>--</v>
      </c>
      <c r="T30" s="432" t="str">
        <f t="shared" si="9"/>
        <v>--</v>
      </c>
      <c r="U30" s="408" t="str">
        <f t="shared" si="10"/>
        <v>--</v>
      </c>
      <c r="V30" s="409" t="str">
        <f t="shared" si="11"/>
        <v>--</v>
      </c>
      <c r="W30" s="430" t="str">
        <f t="shared" si="12"/>
        <v>--</v>
      </c>
      <c r="X30" s="418" t="str">
        <f t="shared" si="13"/>
        <v>--</v>
      </c>
      <c r="Y30" s="419" t="str">
        <f t="shared" si="14"/>
        <v>--</v>
      </c>
      <c r="Z30" s="437" t="str">
        <f t="shared" si="15"/>
        <v>--</v>
      </c>
      <c r="AA30" s="443" t="str">
        <f t="shared" si="16"/>
        <v>--</v>
      </c>
      <c r="AB30" s="433" t="str">
        <f t="shared" si="17"/>
        <v>SI</v>
      </c>
      <c r="AC30" s="29">
        <f t="shared" si="18"/>
        <v>202.19498639999998</v>
      </c>
      <c r="AD30" s="567"/>
    </row>
    <row r="31" spans="2:30" s="16" customFormat="1" ht="16.5" customHeight="1">
      <c r="B31" s="140"/>
      <c r="C31" s="20"/>
      <c r="D31" s="20"/>
      <c r="E31" s="457"/>
      <c r="F31" s="22"/>
      <c r="G31" s="457"/>
      <c r="H31" s="458">
        <f t="shared" si="0"/>
        <v>20</v>
      </c>
      <c r="I31" s="627">
        <f t="shared" si="1"/>
        <v>46.09</v>
      </c>
      <c r="J31" s="19"/>
      <c r="K31" s="24"/>
      <c r="L31" s="25">
        <f t="shared" si="2"/>
      </c>
      <c r="M31" s="26">
        <f t="shared" si="3"/>
      </c>
      <c r="N31" s="27"/>
      <c r="O31" s="395">
        <f t="shared" si="4"/>
      </c>
      <c r="P31" s="23">
        <f t="shared" si="5"/>
      </c>
      <c r="Q31" s="23">
        <f t="shared" si="6"/>
      </c>
      <c r="R31" s="399" t="str">
        <f t="shared" si="7"/>
        <v>--</v>
      </c>
      <c r="S31" s="402" t="str">
        <f t="shared" si="8"/>
        <v>--</v>
      </c>
      <c r="T31" s="432" t="str">
        <f t="shared" si="9"/>
        <v>--</v>
      </c>
      <c r="U31" s="408" t="str">
        <f t="shared" si="10"/>
        <v>--</v>
      </c>
      <c r="V31" s="409" t="str">
        <f t="shared" si="11"/>
        <v>--</v>
      </c>
      <c r="W31" s="430" t="str">
        <f t="shared" si="12"/>
        <v>--</v>
      </c>
      <c r="X31" s="418" t="str">
        <f t="shared" si="13"/>
        <v>--</v>
      </c>
      <c r="Y31" s="419" t="str">
        <f t="shared" si="14"/>
        <v>--</v>
      </c>
      <c r="Z31" s="437" t="str">
        <f t="shared" si="15"/>
        <v>--</v>
      </c>
      <c r="AA31" s="443" t="str">
        <f t="shared" si="16"/>
        <v>--</v>
      </c>
      <c r="AB31" s="433">
        <f t="shared" si="17"/>
      </c>
      <c r="AC31" s="29">
        <f t="shared" si="18"/>
      </c>
      <c r="AD31" s="567"/>
    </row>
    <row r="32" spans="2:30" s="16" customFormat="1" ht="16.5" customHeight="1">
      <c r="B32" s="140"/>
      <c r="C32" s="20"/>
      <c r="D32" s="20"/>
      <c r="E32" s="457"/>
      <c r="F32" s="22"/>
      <c r="G32" s="457"/>
      <c r="H32" s="458">
        <f t="shared" si="0"/>
        <v>20</v>
      </c>
      <c r="I32" s="627">
        <f t="shared" si="1"/>
        <v>46.09</v>
      </c>
      <c r="J32" s="19"/>
      <c r="K32" s="24"/>
      <c r="L32" s="25">
        <f t="shared" si="2"/>
      </c>
      <c r="M32" s="26">
        <f t="shared" si="3"/>
      </c>
      <c r="N32" s="27"/>
      <c r="O32" s="395">
        <f t="shared" si="4"/>
      </c>
      <c r="P32" s="23">
        <f t="shared" si="5"/>
      </c>
      <c r="Q32" s="23">
        <f t="shared" si="6"/>
      </c>
      <c r="R32" s="399" t="str">
        <f t="shared" si="7"/>
        <v>--</v>
      </c>
      <c r="S32" s="402" t="str">
        <f t="shared" si="8"/>
        <v>--</v>
      </c>
      <c r="T32" s="432" t="str">
        <f t="shared" si="9"/>
        <v>--</v>
      </c>
      <c r="U32" s="408" t="str">
        <f t="shared" si="10"/>
        <v>--</v>
      </c>
      <c r="V32" s="409" t="str">
        <f t="shared" si="11"/>
        <v>--</v>
      </c>
      <c r="W32" s="430" t="str">
        <f t="shared" si="12"/>
        <v>--</v>
      </c>
      <c r="X32" s="418" t="str">
        <f t="shared" si="13"/>
        <v>--</v>
      </c>
      <c r="Y32" s="419" t="str">
        <f t="shared" si="14"/>
        <v>--</v>
      </c>
      <c r="Z32" s="437" t="str">
        <f t="shared" si="15"/>
        <v>--</v>
      </c>
      <c r="AA32" s="443" t="str">
        <f t="shared" si="16"/>
        <v>--</v>
      </c>
      <c r="AB32" s="433">
        <f t="shared" si="17"/>
      </c>
      <c r="AC32" s="29">
        <f t="shared" si="18"/>
      </c>
      <c r="AD32" s="567"/>
    </row>
    <row r="33" spans="2:30" s="16" customFormat="1" ht="16.5" customHeight="1">
      <c r="B33" s="140"/>
      <c r="C33" s="20"/>
      <c r="D33" s="20"/>
      <c r="E33" s="457"/>
      <c r="F33" s="22"/>
      <c r="G33" s="457"/>
      <c r="H33" s="458">
        <f t="shared" si="0"/>
        <v>20</v>
      </c>
      <c r="I33" s="627">
        <f t="shared" si="1"/>
        <v>46.09</v>
      </c>
      <c r="J33" s="19"/>
      <c r="K33" s="31"/>
      <c r="L33" s="25">
        <f t="shared" si="2"/>
      </c>
      <c r="M33" s="26">
        <f t="shared" si="3"/>
      </c>
      <c r="N33" s="27"/>
      <c r="O33" s="395">
        <f t="shared" si="4"/>
      </c>
      <c r="P33" s="23">
        <f t="shared" si="5"/>
      </c>
      <c r="Q33" s="23">
        <f t="shared" si="6"/>
      </c>
      <c r="R33" s="399" t="str">
        <f t="shared" si="7"/>
        <v>--</v>
      </c>
      <c r="S33" s="402" t="str">
        <f t="shared" si="8"/>
        <v>--</v>
      </c>
      <c r="T33" s="432" t="str">
        <f t="shared" si="9"/>
        <v>--</v>
      </c>
      <c r="U33" s="408" t="str">
        <f t="shared" si="10"/>
        <v>--</v>
      </c>
      <c r="V33" s="409" t="str">
        <f t="shared" si="11"/>
        <v>--</v>
      </c>
      <c r="W33" s="430" t="str">
        <f t="shared" si="12"/>
        <v>--</v>
      </c>
      <c r="X33" s="418" t="str">
        <f t="shared" si="13"/>
        <v>--</v>
      </c>
      <c r="Y33" s="419" t="str">
        <f t="shared" si="14"/>
        <v>--</v>
      </c>
      <c r="Z33" s="437" t="str">
        <f t="shared" si="15"/>
        <v>--</v>
      </c>
      <c r="AA33" s="443" t="str">
        <f t="shared" si="16"/>
        <v>--</v>
      </c>
      <c r="AB33" s="433">
        <f t="shared" si="17"/>
      </c>
      <c r="AC33" s="29">
        <f t="shared" si="18"/>
      </c>
      <c r="AD33" s="567"/>
    </row>
    <row r="34" spans="2:30" s="16" customFormat="1" ht="16.5" customHeight="1">
      <c r="B34" s="140"/>
      <c r="C34" s="20"/>
      <c r="D34" s="20"/>
      <c r="E34" s="457"/>
      <c r="F34" s="22"/>
      <c r="G34" s="457"/>
      <c r="H34" s="458">
        <f t="shared" si="0"/>
        <v>20</v>
      </c>
      <c r="I34" s="627">
        <f t="shared" si="1"/>
        <v>46.09</v>
      </c>
      <c r="J34" s="19"/>
      <c r="K34" s="31"/>
      <c r="L34" s="25">
        <f t="shared" si="2"/>
      </c>
      <c r="M34" s="26">
        <f t="shared" si="3"/>
      </c>
      <c r="N34" s="27"/>
      <c r="O34" s="395">
        <f t="shared" si="4"/>
      </c>
      <c r="P34" s="23">
        <f t="shared" si="5"/>
      </c>
      <c r="Q34" s="23">
        <f t="shared" si="6"/>
      </c>
      <c r="R34" s="399" t="str">
        <f t="shared" si="7"/>
        <v>--</v>
      </c>
      <c r="S34" s="402" t="str">
        <f t="shared" si="8"/>
        <v>--</v>
      </c>
      <c r="T34" s="432" t="str">
        <f t="shared" si="9"/>
        <v>--</v>
      </c>
      <c r="U34" s="408" t="str">
        <f t="shared" si="10"/>
        <v>--</v>
      </c>
      <c r="V34" s="409" t="str">
        <f t="shared" si="11"/>
        <v>--</v>
      </c>
      <c r="W34" s="430" t="str">
        <f t="shared" si="12"/>
        <v>--</v>
      </c>
      <c r="X34" s="418" t="str">
        <f t="shared" si="13"/>
        <v>--</v>
      </c>
      <c r="Y34" s="419" t="str">
        <f t="shared" si="14"/>
        <v>--</v>
      </c>
      <c r="Z34" s="437" t="str">
        <f t="shared" si="15"/>
        <v>--</v>
      </c>
      <c r="AA34" s="443" t="str">
        <f t="shared" si="16"/>
        <v>--</v>
      </c>
      <c r="AB34" s="433">
        <f t="shared" si="17"/>
      </c>
      <c r="AC34" s="29">
        <f t="shared" si="18"/>
      </c>
      <c r="AD34" s="567"/>
    </row>
    <row r="35" spans="2:30" s="16" customFormat="1" ht="16.5" customHeight="1">
      <c r="B35" s="140"/>
      <c r="C35" s="20"/>
      <c r="D35" s="20"/>
      <c r="E35" s="457"/>
      <c r="F35" s="22"/>
      <c r="G35" s="457"/>
      <c r="H35" s="458">
        <f t="shared" si="0"/>
        <v>20</v>
      </c>
      <c r="I35" s="627">
        <f t="shared" si="1"/>
        <v>46.09</v>
      </c>
      <c r="J35" s="19"/>
      <c r="K35" s="31"/>
      <c r="L35" s="25">
        <f t="shared" si="2"/>
      </c>
      <c r="M35" s="26">
        <f t="shared" si="3"/>
      </c>
      <c r="N35" s="27"/>
      <c r="O35" s="395">
        <f t="shared" si="4"/>
      </c>
      <c r="P35" s="23">
        <f t="shared" si="5"/>
      </c>
      <c r="Q35" s="23">
        <f t="shared" si="6"/>
      </c>
      <c r="R35" s="399" t="str">
        <f t="shared" si="7"/>
        <v>--</v>
      </c>
      <c r="S35" s="402" t="str">
        <f t="shared" si="8"/>
        <v>--</v>
      </c>
      <c r="T35" s="432" t="str">
        <f t="shared" si="9"/>
        <v>--</v>
      </c>
      <c r="U35" s="408" t="str">
        <f t="shared" si="10"/>
        <v>--</v>
      </c>
      <c r="V35" s="409" t="str">
        <f t="shared" si="11"/>
        <v>--</v>
      </c>
      <c r="W35" s="430" t="str">
        <f t="shared" si="12"/>
        <v>--</v>
      </c>
      <c r="X35" s="418" t="str">
        <f t="shared" si="13"/>
        <v>--</v>
      </c>
      <c r="Y35" s="419" t="str">
        <f t="shared" si="14"/>
        <v>--</v>
      </c>
      <c r="Z35" s="437" t="str">
        <f t="shared" si="15"/>
        <v>--</v>
      </c>
      <c r="AA35" s="443" t="str">
        <f t="shared" si="16"/>
        <v>--</v>
      </c>
      <c r="AB35" s="433">
        <f t="shared" si="17"/>
      </c>
      <c r="AC35" s="29">
        <f t="shared" si="18"/>
      </c>
      <c r="AD35" s="567"/>
    </row>
    <row r="36" spans="2:30" s="16" customFormat="1" ht="16.5" customHeight="1">
      <c r="B36" s="140"/>
      <c r="C36" s="20"/>
      <c r="D36" s="20"/>
      <c r="E36" s="457"/>
      <c r="F36" s="22"/>
      <c r="G36" s="457"/>
      <c r="H36" s="458">
        <f t="shared" si="0"/>
        <v>20</v>
      </c>
      <c r="I36" s="627">
        <f t="shared" si="1"/>
        <v>46.09</v>
      </c>
      <c r="J36" s="19"/>
      <c r="K36" s="31"/>
      <c r="L36" s="25">
        <f t="shared" si="2"/>
      </c>
      <c r="M36" s="26">
        <f t="shared" si="3"/>
      </c>
      <c r="N36" s="27"/>
      <c r="O36" s="395">
        <f t="shared" si="4"/>
      </c>
      <c r="P36" s="23">
        <f t="shared" si="5"/>
      </c>
      <c r="Q36" s="23">
        <f t="shared" si="6"/>
      </c>
      <c r="R36" s="399" t="str">
        <f t="shared" si="7"/>
        <v>--</v>
      </c>
      <c r="S36" s="402" t="str">
        <f t="shared" si="8"/>
        <v>--</v>
      </c>
      <c r="T36" s="432" t="str">
        <f t="shared" si="9"/>
        <v>--</v>
      </c>
      <c r="U36" s="408" t="str">
        <f t="shared" si="10"/>
        <v>--</v>
      </c>
      <c r="V36" s="409" t="str">
        <f t="shared" si="11"/>
        <v>--</v>
      </c>
      <c r="W36" s="430" t="str">
        <f t="shared" si="12"/>
        <v>--</v>
      </c>
      <c r="X36" s="418" t="str">
        <f t="shared" si="13"/>
        <v>--</v>
      </c>
      <c r="Y36" s="419" t="str">
        <f t="shared" si="14"/>
        <v>--</v>
      </c>
      <c r="Z36" s="437" t="str">
        <f t="shared" si="15"/>
        <v>--</v>
      </c>
      <c r="AA36" s="443" t="str">
        <f t="shared" si="16"/>
        <v>--</v>
      </c>
      <c r="AB36" s="433">
        <f t="shared" si="17"/>
      </c>
      <c r="AC36" s="29">
        <f t="shared" si="18"/>
      </c>
      <c r="AD36" s="567"/>
    </row>
    <row r="37" spans="2:30" s="16" customFormat="1" ht="16.5" customHeight="1">
      <c r="B37" s="140"/>
      <c r="C37" s="20"/>
      <c r="D37" s="20"/>
      <c r="E37" s="457"/>
      <c r="F37" s="22"/>
      <c r="G37" s="457"/>
      <c r="H37" s="458">
        <f t="shared" si="0"/>
        <v>20</v>
      </c>
      <c r="I37" s="627">
        <f t="shared" si="1"/>
        <v>46.09</v>
      </c>
      <c r="J37" s="19"/>
      <c r="K37" s="31"/>
      <c r="L37" s="25">
        <f t="shared" si="2"/>
      </c>
      <c r="M37" s="26">
        <f t="shared" si="3"/>
      </c>
      <c r="N37" s="27"/>
      <c r="O37" s="395">
        <f t="shared" si="4"/>
      </c>
      <c r="P37" s="23">
        <f t="shared" si="5"/>
      </c>
      <c r="Q37" s="23">
        <f t="shared" si="6"/>
      </c>
      <c r="R37" s="399" t="str">
        <f t="shared" si="7"/>
        <v>--</v>
      </c>
      <c r="S37" s="402" t="str">
        <f t="shared" si="8"/>
        <v>--</v>
      </c>
      <c r="T37" s="432" t="str">
        <f t="shared" si="9"/>
        <v>--</v>
      </c>
      <c r="U37" s="408" t="str">
        <f t="shared" si="10"/>
        <v>--</v>
      </c>
      <c r="V37" s="409" t="str">
        <f t="shared" si="11"/>
        <v>--</v>
      </c>
      <c r="W37" s="430" t="str">
        <f t="shared" si="12"/>
        <v>--</v>
      </c>
      <c r="X37" s="418" t="str">
        <f t="shared" si="13"/>
        <v>--</v>
      </c>
      <c r="Y37" s="419" t="str">
        <f t="shared" si="14"/>
        <v>--</v>
      </c>
      <c r="Z37" s="437" t="str">
        <f t="shared" si="15"/>
        <v>--</v>
      </c>
      <c r="AA37" s="443" t="str">
        <f t="shared" si="16"/>
        <v>--</v>
      </c>
      <c r="AB37" s="433">
        <f t="shared" si="17"/>
      </c>
      <c r="AC37" s="29">
        <f t="shared" si="18"/>
      </c>
      <c r="AD37" s="567"/>
    </row>
    <row r="38" spans="2:30" s="16" customFormat="1" ht="16.5" customHeight="1">
      <c r="B38" s="140"/>
      <c r="C38" s="20"/>
      <c r="D38" s="20"/>
      <c r="E38" s="457"/>
      <c r="F38" s="22"/>
      <c r="G38" s="457"/>
      <c r="H38" s="458">
        <f t="shared" si="0"/>
        <v>20</v>
      </c>
      <c r="I38" s="627">
        <f t="shared" si="1"/>
        <v>46.09</v>
      </c>
      <c r="J38" s="19"/>
      <c r="K38" s="31"/>
      <c r="L38" s="25">
        <f t="shared" si="2"/>
      </c>
      <c r="M38" s="26">
        <f t="shared" si="3"/>
      </c>
      <c r="N38" s="27"/>
      <c r="O38" s="395">
        <f t="shared" si="4"/>
      </c>
      <c r="P38" s="23">
        <f t="shared" si="5"/>
      </c>
      <c r="Q38" s="23">
        <f t="shared" si="6"/>
      </c>
      <c r="R38" s="399" t="str">
        <f t="shared" si="7"/>
        <v>--</v>
      </c>
      <c r="S38" s="402" t="str">
        <f t="shared" si="8"/>
        <v>--</v>
      </c>
      <c r="T38" s="432" t="str">
        <f t="shared" si="9"/>
        <v>--</v>
      </c>
      <c r="U38" s="408" t="str">
        <f t="shared" si="10"/>
        <v>--</v>
      </c>
      <c r="V38" s="409" t="str">
        <f t="shared" si="11"/>
        <v>--</v>
      </c>
      <c r="W38" s="430" t="str">
        <f t="shared" si="12"/>
        <v>--</v>
      </c>
      <c r="X38" s="418" t="str">
        <f t="shared" si="13"/>
        <v>--</v>
      </c>
      <c r="Y38" s="419" t="str">
        <f t="shared" si="14"/>
        <v>--</v>
      </c>
      <c r="Z38" s="437" t="str">
        <f t="shared" si="15"/>
        <v>--</v>
      </c>
      <c r="AA38" s="443" t="str">
        <f t="shared" si="16"/>
        <v>--</v>
      </c>
      <c r="AB38" s="433">
        <f t="shared" si="17"/>
      </c>
      <c r="AC38" s="29">
        <f t="shared" si="18"/>
      </c>
      <c r="AD38" s="567"/>
    </row>
    <row r="39" spans="2:30" s="16" customFormat="1" ht="16.5" customHeight="1">
      <c r="B39" s="140"/>
      <c r="C39" s="20"/>
      <c r="D39" s="20"/>
      <c r="E39" s="457"/>
      <c r="F39" s="22"/>
      <c r="G39" s="457"/>
      <c r="H39" s="458">
        <f t="shared" si="0"/>
        <v>20</v>
      </c>
      <c r="I39" s="627">
        <f t="shared" si="1"/>
        <v>46.09</v>
      </c>
      <c r="J39" s="19"/>
      <c r="K39" s="31"/>
      <c r="L39" s="25">
        <f t="shared" si="2"/>
      </c>
      <c r="M39" s="26">
        <f t="shared" si="3"/>
      </c>
      <c r="N39" s="27"/>
      <c r="O39" s="395">
        <f t="shared" si="4"/>
      </c>
      <c r="P39" s="23">
        <f t="shared" si="5"/>
      </c>
      <c r="Q39" s="23">
        <f t="shared" si="6"/>
      </c>
      <c r="R39" s="399" t="str">
        <f t="shared" si="7"/>
        <v>--</v>
      </c>
      <c r="S39" s="402" t="str">
        <f t="shared" si="8"/>
        <v>--</v>
      </c>
      <c r="T39" s="432" t="str">
        <f t="shared" si="9"/>
        <v>--</v>
      </c>
      <c r="U39" s="408" t="str">
        <f t="shared" si="10"/>
        <v>--</v>
      </c>
      <c r="V39" s="409" t="str">
        <f t="shared" si="11"/>
        <v>--</v>
      </c>
      <c r="W39" s="430" t="str">
        <f t="shared" si="12"/>
        <v>--</v>
      </c>
      <c r="X39" s="418" t="str">
        <f t="shared" si="13"/>
        <v>--</v>
      </c>
      <c r="Y39" s="419" t="str">
        <f t="shared" si="14"/>
        <v>--</v>
      </c>
      <c r="Z39" s="437" t="str">
        <f t="shared" si="15"/>
        <v>--</v>
      </c>
      <c r="AA39" s="443" t="str">
        <f t="shared" si="16"/>
        <v>--</v>
      </c>
      <c r="AB39" s="433">
        <f t="shared" si="17"/>
      </c>
      <c r="AC39" s="29">
        <f t="shared" si="18"/>
      </c>
      <c r="AD39" s="567"/>
    </row>
    <row r="40" spans="2:30" s="16" customFormat="1" ht="16.5" customHeight="1">
      <c r="B40" s="140"/>
      <c r="C40" s="20"/>
      <c r="D40" s="20"/>
      <c r="E40" s="457"/>
      <c r="F40" s="22"/>
      <c r="G40" s="457"/>
      <c r="H40" s="458">
        <f t="shared" si="0"/>
        <v>20</v>
      </c>
      <c r="I40" s="627">
        <f t="shared" si="1"/>
        <v>46.09</v>
      </c>
      <c r="J40" s="19"/>
      <c r="K40" s="31"/>
      <c r="L40" s="25">
        <f t="shared" si="2"/>
      </c>
      <c r="M40" s="26">
        <f t="shared" si="3"/>
      </c>
      <c r="N40" s="27"/>
      <c r="O40" s="395">
        <f t="shared" si="4"/>
      </c>
      <c r="P40" s="23">
        <f t="shared" si="5"/>
      </c>
      <c r="Q40" s="23">
        <f t="shared" si="6"/>
      </c>
      <c r="R40" s="399" t="str">
        <f t="shared" si="7"/>
        <v>--</v>
      </c>
      <c r="S40" s="402" t="str">
        <f t="shared" si="8"/>
        <v>--</v>
      </c>
      <c r="T40" s="432" t="str">
        <f t="shared" si="9"/>
        <v>--</v>
      </c>
      <c r="U40" s="408" t="str">
        <f t="shared" si="10"/>
        <v>--</v>
      </c>
      <c r="V40" s="409" t="str">
        <f t="shared" si="11"/>
        <v>--</v>
      </c>
      <c r="W40" s="430" t="str">
        <f t="shared" si="12"/>
        <v>--</v>
      </c>
      <c r="X40" s="418" t="str">
        <f t="shared" si="13"/>
        <v>--</v>
      </c>
      <c r="Y40" s="419" t="str">
        <f t="shared" si="14"/>
        <v>--</v>
      </c>
      <c r="Z40" s="437" t="str">
        <f t="shared" si="15"/>
        <v>--</v>
      </c>
      <c r="AA40" s="443" t="str">
        <f t="shared" si="16"/>
        <v>--</v>
      </c>
      <c r="AB40" s="433">
        <f t="shared" si="17"/>
      </c>
      <c r="AC40" s="29">
        <f t="shared" si="18"/>
      </c>
      <c r="AD40" s="567"/>
    </row>
    <row r="41" spans="2:30" s="16" customFormat="1" ht="16.5" customHeight="1">
      <c r="B41" s="140"/>
      <c r="C41" s="20"/>
      <c r="D41" s="20"/>
      <c r="E41" s="457"/>
      <c r="F41" s="22"/>
      <c r="G41" s="457"/>
      <c r="H41" s="458">
        <f t="shared" si="0"/>
        <v>20</v>
      </c>
      <c r="I41" s="627">
        <f t="shared" si="1"/>
        <v>46.09</v>
      </c>
      <c r="J41" s="19"/>
      <c r="K41" s="31"/>
      <c r="L41" s="25">
        <f t="shared" si="2"/>
      </c>
      <c r="M41" s="26">
        <f t="shared" si="3"/>
      </c>
      <c r="N41" s="27"/>
      <c r="O41" s="395">
        <f t="shared" si="4"/>
      </c>
      <c r="P41" s="23">
        <f t="shared" si="5"/>
      </c>
      <c r="Q41" s="23">
        <f t="shared" si="6"/>
      </c>
      <c r="R41" s="399" t="str">
        <f t="shared" si="7"/>
        <v>--</v>
      </c>
      <c r="S41" s="402" t="str">
        <f t="shared" si="8"/>
        <v>--</v>
      </c>
      <c r="T41" s="432" t="str">
        <f t="shared" si="9"/>
        <v>--</v>
      </c>
      <c r="U41" s="408" t="str">
        <f t="shared" si="10"/>
        <v>--</v>
      </c>
      <c r="V41" s="409" t="str">
        <f t="shared" si="11"/>
        <v>--</v>
      </c>
      <c r="W41" s="430" t="str">
        <f t="shared" si="12"/>
        <v>--</v>
      </c>
      <c r="X41" s="418" t="str">
        <f t="shared" si="13"/>
        <v>--</v>
      </c>
      <c r="Y41" s="419" t="str">
        <f t="shared" si="14"/>
        <v>--</v>
      </c>
      <c r="Z41" s="437" t="str">
        <f t="shared" si="15"/>
        <v>--</v>
      </c>
      <c r="AA41" s="443" t="str">
        <f t="shared" si="16"/>
        <v>--</v>
      </c>
      <c r="AB41" s="433">
        <f t="shared" si="17"/>
      </c>
      <c r="AC41" s="29">
        <f t="shared" si="18"/>
      </c>
      <c r="AD41" s="567"/>
    </row>
    <row r="42" spans="2:30" s="16" customFormat="1" ht="16.5" customHeight="1" thickBot="1">
      <c r="B42" s="140"/>
      <c r="C42" s="33"/>
      <c r="D42" s="33"/>
      <c r="E42" s="34"/>
      <c r="F42" s="35"/>
      <c r="G42" s="36"/>
      <c r="H42" s="452"/>
      <c r="I42" s="628"/>
      <c r="J42" s="37"/>
      <c r="K42" s="37"/>
      <c r="L42" s="37"/>
      <c r="M42" s="37"/>
      <c r="N42" s="37"/>
      <c r="O42" s="38"/>
      <c r="P42" s="37"/>
      <c r="Q42" s="37"/>
      <c r="R42" s="397"/>
      <c r="S42" s="403"/>
      <c r="T42" s="410"/>
      <c r="U42" s="411"/>
      <c r="V42" s="412"/>
      <c r="W42" s="420"/>
      <c r="X42" s="421"/>
      <c r="Y42" s="422"/>
      <c r="Z42" s="438"/>
      <c r="AA42" s="444"/>
      <c r="AB42" s="39"/>
      <c r="AC42" s="40"/>
      <c r="AD42" s="567"/>
    </row>
    <row r="43" spans="2:30" s="16" customFormat="1" ht="16.5" customHeight="1" thickBot="1" thickTop="1">
      <c r="B43" s="140"/>
      <c r="C43" s="282" t="s">
        <v>96</v>
      </c>
      <c r="D43" s="283" t="s">
        <v>97</v>
      </c>
      <c r="E43" s="41"/>
      <c r="F43" s="1"/>
      <c r="G43" s="42"/>
      <c r="H43" s="1"/>
      <c r="I43" s="43"/>
      <c r="J43" s="43"/>
      <c r="K43" s="43"/>
      <c r="L43" s="43"/>
      <c r="M43" s="43"/>
      <c r="N43" s="43"/>
      <c r="O43" s="44"/>
      <c r="P43" s="43"/>
      <c r="Q43" s="43"/>
      <c r="R43" s="445">
        <f aca="true" t="shared" si="19" ref="R43:AA43">SUM(R20:R42)</f>
        <v>2794.1177571999992</v>
      </c>
      <c r="S43" s="446">
        <f t="shared" si="19"/>
        <v>0</v>
      </c>
      <c r="T43" s="447">
        <f t="shared" si="19"/>
        <v>0</v>
      </c>
      <c r="U43" s="447">
        <f t="shared" si="19"/>
        <v>0</v>
      </c>
      <c r="V43" s="447">
        <f t="shared" si="19"/>
        <v>0</v>
      </c>
      <c r="W43" s="448">
        <f t="shared" si="19"/>
        <v>0</v>
      </c>
      <c r="X43" s="448">
        <f t="shared" si="19"/>
        <v>0</v>
      </c>
      <c r="Y43" s="448">
        <f t="shared" si="19"/>
        <v>0</v>
      </c>
      <c r="Z43" s="449">
        <f t="shared" si="19"/>
        <v>0</v>
      </c>
      <c r="AA43" s="450">
        <f t="shared" si="19"/>
        <v>0</v>
      </c>
      <c r="AB43" s="45"/>
      <c r="AC43" s="695">
        <f>ROUND(SUM(AC20:AC42),2)</f>
        <v>4183.39</v>
      </c>
      <c r="AD43" s="567"/>
    </row>
    <row r="44" spans="2:30" s="286" customFormat="1" ht="9.75" thickTop="1">
      <c r="B44" s="287"/>
      <c r="C44" s="284"/>
      <c r="D44" s="285" t="s">
        <v>98</v>
      </c>
      <c r="E44" s="288"/>
      <c r="F44" s="289"/>
      <c r="G44" s="290"/>
      <c r="H44" s="289"/>
      <c r="I44" s="291"/>
      <c r="J44" s="291"/>
      <c r="K44" s="291"/>
      <c r="L44" s="291"/>
      <c r="M44" s="291"/>
      <c r="N44" s="291"/>
      <c r="O44" s="292"/>
      <c r="P44" s="291"/>
      <c r="Q44" s="291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4"/>
      <c r="AD44" s="295"/>
    </row>
    <row r="45" spans="2:30" s="16" customFormat="1" ht="16.5" customHeight="1" thickBot="1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1"/>
    </row>
    <row r="46" spans="2:30" ht="16.5" customHeight="1" thickTop="1">
      <c r="B46" s="12"/>
      <c r="AD46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AD45"/>
  <sheetViews>
    <sheetView zoomScale="75" zoomScaleNormal="75" workbookViewId="0" topLeftCell="G31">
      <selection activeCell="Q51" sqref="Q51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 outlineLevel="1"/>
    <col min="9" max="9" width="10.8515625" style="0" hidden="1" customWidth="1" outlineLevel="1"/>
    <col min="10" max="10" width="15.7109375" style="0" customWidth="1" collapsed="1"/>
    <col min="11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 outlineLevel="1"/>
    <col min="19" max="19" width="15.57421875" style="0" hidden="1" customWidth="1" outlineLevel="1"/>
    <col min="20" max="20" width="14.140625" style="0" hidden="1" customWidth="1" outlineLevel="1"/>
    <col min="21" max="21" width="13.57421875" style="0" hidden="1" customWidth="1" outlineLevel="1"/>
    <col min="22" max="22" width="13.00390625" style="0" hidden="1" customWidth="1" outlineLevel="1"/>
    <col min="23" max="23" width="13.57421875" style="0" hidden="1" customWidth="1" outlineLevel="1"/>
    <col min="24" max="24" width="13.140625" style="0" hidden="1" customWidth="1" outlineLevel="1"/>
    <col min="25" max="27" width="14.140625" style="0" hidden="1" customWidth="1" outlineLevel="1"/>
    <col min="28" max="28" width="9.7109375" style="0" customWidth="1" collapsed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08" customFormat="1" ht="26.25">
      <c r="A1" s="158"/>
      <c r="AD1" s="691"/>
    </row>
    <row r="2" spans="1:30" s="108" customFormat="1" ht="26.25">
      <c r="A2" s="158"/>
      <c r="B2" s="109" t="str">
        <f>'tot-0103'!B2</f>
        <v>ANEXO a la Resolución E.N.R.E. N°  113  /2002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30" s="16" customFormat="1" ht="13.5" thickTop="1">
      <c r="B7" s="159"/>
      <c r="C7" s="160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2"/>
    </row>
    <row r="8" spans="2:30" s="10" customFormat="1" ht="20.25">
      <c r="B8" s="173"/>
      <c r="C8" s="11"/>
      <c r="D8" s="7" t="s">
        <v>69</v>
      </c>
      <c r="E8" s="11"/>
      <c r="F8" s="11"/>
      <c r="G8" s="11"/>
      <c r="H8" s="11"/>
      <c r="N8" s="11"/>
      <c r="O8" s="11"/>
      <c r="P8" s="174"/>
      <c r="Q8" s="17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75"/>
    </row>
    <row r="9" spans="2:30" s="16" customFormat="1" ht="12.75">
      <c r="B9" s="14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3"/>
    </row>
    <row r="10" spans="2:30" s="10" customFormat="1" ht="20.25">
      <c r="B10" s="173"/>
      <c r="C10" s="11"/>
      <c r="D10" s="174" t="s">
        <v>70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75"/>
    </row>
    <row r="11" spans="2:30" s="16" customFormat="1" ht="12.75">
      <c r="B11" s="14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63"/>
    </row>
    <row r="12" spans="2:30" s="10" customFormat="1" ht="20.25">
      <c r="B12" s="173"/>
      <c r="C12" s="11"/>
      <c r="D12" s="784" t="s">
        <v>206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74"/>
      <c r="Q12" s="17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75"/>
    </row>
    <row r="13" spans="2:30" s="16" customFormat="1" ht="12.75">
      <c r="B13" s="140"/>
      <c r="C13" s="14"/>
      <c r="D13" s="1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3"/>
    </row>
    <row r="14" spans="2:30" s="15" customFormat="1" ht="19.5">
      <c r="B14" s="128" t="str">
        <f>'tot-0103'!B14</f>
        <v>Desde el 01 al 31 de marzo de 2001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77"/>
      <c r="O14" s="177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78"/>
    </row>
    <row r="15" spans="2:30" s="16" customFormat="1" ht="16.5" customHeight="1" thickBot="1">
      <c r="B15" s="140"/>
      <c r="C15" s="14"/>
      <c r="D15" s="14"/>
      <c r="E15" s="2"/>
      <c r="F15" s="2"/>
      <c r="G15" s="14"/>
      <c r="H15" s="14"/>
      <c r="I15" s="14"/>
      <c r="J15" s="172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63"/>
    </row>
    <row r="16" spans="2:30" s="16" customFormat="1" ht="16.5" customHeight="1" thickBot="1" thickTop="1">
      <c r="B16" s="140"/>
      <c r="C16" s="14"/>
      <c r="D16" s="179" t="s">
        <v>72</v>
      </c>
      <c r="E16" s="630">
        <f>'LI-0103'!E16</f>
        <v>55.308</v>
      </c>
      <c r="F16" s="28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63"/>
    </row>
    <row r="17" spans="2:30" s="16" customFormat="1" ht="16.5" customHeight="1" thickBot="1" thickTop="1">
      <c r="B17" s="140"/>
      <c r="C17" s="14"/>
      <c r="D17" s="179" t="s">
        <v>73</v>
      </c>
      <c r="E17" s="630">
        <f>'LI-0103'!E17</f>
        <v>46.09</v>
      </c>
      <c r="F17" s="281"/>
      <c r="G17" s="14"/>
      <c r="H17" s="14"/>
      <c r="I17" s="14"/>
      <c r="J17" s="693"/>
      <c r="K17" s="69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5"/>
      <c r="W17" s="165"/>
      <c r="X17" s="165"/>
      <c r="Y17" s="165"/>
      <c r="Z17" s="165"/>
      <c r="AA17" s="165"/>
      <c r="AB17" s="165"/>
      <c r="AD17" s="163"/>
    </row>
    <row r="18" spans="2:30" s="16" customFormat="1" ht="16.5" customHeight="1" thickBot="1" thickTop="1">
      <c r="B18" s="140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6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63"/>
    </row>
    <row r="19" spans="2:30" s="16" customFormat="1" ht="33.75" customHeight="1" thickBot="1" thickTop="1">
      <c r="B19" s="140"/>
      <c r="C19" s="180" t="s">
        <v>74</v>
      </c>
      <c r="D19" s="182" t="s">
        <v>56</v>
      </c>
      <c r="E19" s="455" t="s">
        <v>75</v>
      </c>
      <c r="F19" s="186" t="s">
        <v>76</v>
      </c>
      <c r="G19" s="181" t="s">
        <v>77</v>
      </c>
      <c r="H19" s="456" t="s">
        <v>78</v>
      </c>
      <c r="I19" s="453" t="s">
        <v>79</v>
      </c>
      <c r="J19" s="182" t="s">
        <v>80</v>
      </c>
      <c r="K19" s="183" t="s">
        <v>81</v>
      </c>
      <c r="L19" s="185" t="s">
        <v>82</v>
      </c>
      <c r="M19" s="186" t="s">
        <v>83</v>
      </c>
      <c r="N19" s="185" t="s">
        <v>84</v>
      </c>
      <c r="O19" s="186" t="s">
        <v>85</v>
      </c>
      <c r="P19" s="183" t="s">
        <v>86</v>
      </c>
      <c r="Q19" s="182" t="s">
        <v>87</v>
      </c>
      <c r="R19" s="398" t="s">
        <v>88</v>
      </c>
      <c r="S19" s="404" t="s">
        <v>89</v>
      </c>
      <c r="T19" s="345" t="s">
        <v>90</v>
      </c>
      <c r="U19" s="346"/>
      <c r="V19" s="347"/>
      <c r="W19" s="413" t="s">
        <v>91</v>
      </c>
      <c r="X19" s="414"/>
      <c r="Y19" s="415"/>
      <c r="Z19" s="439" t="s">
        <v>92</v>
      </c>
      <c r="AA19" s="440" t="s">
        <v>93</v>
      </c>
      <c r="AB19" s="187" t="s">
        <v>94</v>
      </c>
      <c r="AC19" s="187" t="s">
        <v>95</v>
      </c>
      <c r="AD19" s="167"/>
    </row>
    <row r="20" spans="2:30" s="16" customFormat="1" ht="16.5" customHeight="1" hidden="1" thickTop="1">
      <c r="B20" s="140"/>
      <c r="C20" s="434"/>
      <c r="D20" s="461"/>
      <c r="E20" s="461"/>
      <c r="F20" s="434"/>
      <c r="G20" s="434"/>
      <c r="H20" s="459"/>
      <c r="I20" s="460"/>
      <c r="J20" s="434"/>
      <c r="K20" s="434"/>
      <c r="L20" s="434"/>
      <c r="M20" s="434"/>
      <c r="N20" s="434"/>
      <c r="O20" s="434"/>
      <c r="P20" s="434"/>
      <c r="Q20" s="434"/>
      <c r="R20" s="400"/>
      <c r="S20" s="405"/>
      <c r="T20" s="423"/>
      <c r="U20" s="424"/>
      <c r="V20" s="425"/>
      <c r="W20" s="426"/>
      <c r="X20" s="427"/>
      <c r="Y20" s="428"/>
      <c r="Z20" s="435"/>
      <c r="AA20" s="441"/>
      <c r="AB20" s="434"/>
      <c r="AC20" s="573"/>
      <c r="AD20" s="163"/>
    </row>
    <row r="21" spans="2:30" s="16" customFormat="1" ht="16.5" customHeight="1" thickTop="1">
      <c r="B21" s="140"/>
      <c r="C21" s="17"/>
      <c r="D21" s="17"/>
      <c r="E21" s="20"/>
      <c r="F21" s="17"/>
      <c r="G21" s="17"/>
      <c r="H21" s="451"/>
      <c r="I21" s="454"/>
      <c r="J21" s="19"/>
      <c r="K21" s="14"/>
      <c r="L21" s="17"/>
      <c r="M21" s="17"/>
      <c r="N21" s="18"/>
      <c r="O21" s="17"/>
      <c r="P21" s="17"/>
      <c r="Q21" s="17"/>
      <c r="R21" s="396"/>
      <c r="S21" s="401"/>
      <c r="T21" s="431"/>
      <c r="U21" s="406"/>
      <c r="V21" s="407"/>
      <c r="W21" s="429"/>
      <c r="X21" s="416"/>
      <c r="Y21" s="417"/>
      <c r="Z21" s="436"/>
      <c r="AA21" s="442"/>
      <c r="AB21" s="17"/>
      <c r="AC21" s="188"/>
      <c r="AD21" s="163"/>
    </row>
    <row r="22" spans="2:30" s="16" customFormat="1" ht="16.5" customHeight="1">
      <c r="B22" s="785" t="s">
        <v>207</v>
      </c>
      <c r="C22" s="20">
        <v>6</v>
      </c>
      <c r="D22" s="51" t="s">
        <v>7</v>
      </c>
      <c r="E22" s="366">
        <v>500</v>
      </c>
      <c r="F22" s="704">
        <v>304</v>
      </c>
      <c r="G22" s="366" t="s">
        <v>6</v>
      </c>
      <c r="H22" s="458">
        <f aca="true" t="shared" si="0" ref="H22:H39">IF(G22="A",200,IF(G22="B",60,20))</f>
        <v>200</v>
      </c>
      <c r="I22" s="627">
        <f aca="true" t="shared" si="1" ref="I22:I39">IF(E22=500,IF(F22&lt;100,100*$E$16/100,F22*$E$16/100),IF(F22&lt;100,100*$E$17/100,F22*$E$17/100))</f>
        <v>168.13632</v>
      </c>
      <c r="J22" s="705">
        <v>36958.754166666666</v>
      </c>
      <c r="K22" s="706">
        <v>36958.7625</v>
      </c>
      <c r="L22" s="25">
        <f aca="true" t="shared" si="2" ref="L22:L39">IF(D22="","",(K22-J22)*24)</f>
        <v>0.19999999995343387</v>
      </c>
      <c r="M22" s="26">
        <f aca="true" t="shared" si="3" ref="M22:M39">IF(D22="","",ROUND((K22-J22)*24*60,0))</f>
        <v>12</v>
      </c>
      <c r="N22" s="27" t="s">
        <v>178</v>
      </c>
      <c r="O22" s="395" t="str">
        <f aca="true" t="shared" si="4" ref="O22:O39">IF(D22="","","--")</f>
        <v>--</v>
      </c>
      <c r="P22" s="23" t="str">
        <f aca="true" t="shared" si="5" ref="P22:P39">IF(D22="","","NO")</f>
        <v>NO</v>
      </c>
      <c r="Q22" s="23" t="str">
        <f aca="true" t="shared" si="6" ref="Q22:Q39">IF(D22="","",IF(OR(N22="P",N22="RP"),"--","NO"))</f>
        <v>NO</v>
      </c>
      <c r="R22" s="399" t="str">
        <f aca="true" t="shared" si="7" ref="R22:R39">IF(N22="P",I22*H22*ROUND(M22/60,2)*0.01,"--")</f>
        <v>--</v>
      </c>
      <c r="S22" s="402" t="str">
        <f aca="true" t="shared" si="8" ref="S22:S39">IF(N22="RP",I22*H22*ROUND(M22/60,2)*0.01*O22/100,"--")</f>
        <v>--</v>
      </c>
      <c r="T22" s="432">
        <v>0</v>
      </c>
      <c r="U22" s="408">
        <f aca="true" t="shared" si="9" ref="U22:U39">IF(AND(N22="F",M22&gt;=10),I22*H22*IF(P22="SI",1.2,1)*IF(M22&lt;=300,ROUND(M22/60,2),5),"--")</f>
        <v>6725.452800000001</v>
      </c>
      <c r="V22" s="409" t="str">
        <f aca="true" t="shared" si="10" ref="V22:V39">IF(AND(N22="F",M22&gt;300),(ROUND(M22/60,2)-5)*I22*H22*0.1*IF(P22="SI",1.2,1),"--")</f>
        <v>--</v>
      </c>
      <c r="W22" s="430" t="str">
        <f aca="true" t="shared" si="11" ref="W22:W39">IF(AND(N22="R",Q22="NO"),I22*H22*O22/100*IF(P22="SI",1.2,1),"--")</f>
        <v>--</v>
      </c>
      <c r="X22" s="418" t="str">
        <f aca="true" t="shared" si="12" ref="X22:X39">IF(AND(N22="R",M22&gt;=10),I22*H22*O22/100*IF(P22="SI",1.2,1)*IF(M22&lt;=300,ROUND(M22/60,2),5),"--")</f>
        <v>--</v>
      </c>
      <c r="Y22" s="419" t="str">
        <f aca="true" t="shared" si="13" ref="Y22:Y39">IF(AND(N22="R",M22&gt;300),(ROUND(M22/60,2)-5)*I22*H22*0.1*O22/100*IF(P22="SI",1.2,1),"--")</f>
        <v>--</v>
      </c>
      <c r="Z22" s="437" t="str">
        <f aca="true" t="shared" si="14" ref="Z22:Z39">IF(N22="RF",ROUND(M22/60,2)*I22*H22*0.1*IF(P22="SI",1.2,1),"--")</f>
        <v>--</v>
      </c>
      <c r="AA22" s="443" t="str">
        <f aca="true" t="shared" si="15" ref="AA22:AA39">IF(N22="RR",ROUND(M22/60,2)*I22*H22*0.1*O22/100*IF(P22="SI",1.2,1),"--")</f>
        <v>--</v>
      </c>
      <c r="AB22" s="433" t="str">
        <f aca="true" t="shared" si="16" ref="AB22:AB39">IF(D22="","","SI")</f>
        <v>SI</v>
      </c>
      <c r="AC22" s="29">
        <f aca="true" t="shared" si="17" ref="AC22:AC39">IF(D22="","",SUM(R22:AA22)*IF(AB22="SI",1,2))</f>
        <v>6725.452800000001</v>
      </c>
      <c r="AD22" s="567"/>
    </row>
    <row r="23" spans="2:30" s="16" customFormat="1" ht="16.5" customHeight="1">
      <c r="B23" s="785"/>
      <c r="C23" s="20"/>
      <c r="D23" s="20"/>
      <c r="E23" s="457"/>
      <c r="F23" s="22"/>
      <c r="G23" s="457"/>
      <c r="H23" s="458">
        <f t="shared" si="0"/>
        <v>20</v>
      </c>
      <c r="I23" s="627">
        <f t="shared" si="1"/>
        <v>46.09</v>
      </c>
      <c r="J23" s="19"/>
      <c r="K23" s="24"/>
      <c r="L23" s="25">
        <f t="shared" si="2"/>
      </c>
      <c r="M23" s="26">
        <f t="shared" si="3"/>
      </c>
      <c r="N23" s="27"/>
      <c r="O23" s="395">
        <f t="shared" si="4"/>
      </c>
      <c r="P23" s="23">
        <f t="shared" si="5"/>
      </c>
      <c r="Q23" s="23">
        <f t="shared" si="6"/>
      </c>
      <c r="R23" s="399" t="str">
        <f t="shared" si="7"/>
        <v>--</v>
      </c>
      <c r="S23" s="402" t="str">
        <f t="shared" si="8"/>
        <v>--</v>
      </c>
      <c r="T23" s="432">
        <v>0</v>
      </c>
      <c r="U23" s="408" t="str">
        <f t="shared" si="9"/>
        <v>--</v>
      </c>
      <c r="V23" s="409" t="str">
        <f t="shared" si="10"/>
        <v>--</v>
      </c>
      <c r="W23" s="430" t="str">
        <f t="shared" si="11"/>
        <v>--</v>
      </c>
      <c r="X23" s="418" t="str">
        <f t="shared" si="12"/>
        <v>--</v>
      </c>
      <c r="Y23" s="419" t="str">
        <f t="shared" si="13"/>
        <v>--</v>
      </c>
      <c r="Z23" s="437" t="str">
        <f t="shared" si="14"/>
        <v>--</v>
      </c>
      <c r="AA23" s="443" t="str">
        <f t="shared" si="15"/>
        <v>--</v>
      </c>
      <c r="AB23" s="433">
        <f t="shared" si="16"/>
      </c>
      <c r="AC23" s="29">
        <f t="shared" si="17"/>
      </c>
      <c r="AD23" s="567"/>
    </row>
    <row r="24" spans="2:30" s="16" customFormat="1" ht="16.5" customHeight="1">
      <c r="B24" s="785"/>
      <c r="C24" s="20"/>
      <c r="D24" s="20"/>
      <c r="E24" s="457"/>
      <c r="F24" s="22"/>
      <c r="G24" s="457"/>
      <c r="H24" s="458">
        <f t="shared" si="0"/>
        <v>20</v>
      </c>
      <c r="I24" s="627">
        <f t="shared" si="1"/>
        <v>46.09</v>
      </c>
      <c r="J24" s="19"/>
      <c r="K24" s="24"/>
      <c r="L24" s="25">
        <f t="shared" si="2"/>
      </c>
      <c r="M24" s="26">
        <f t="shared" si="3"/>
      </c>
      <c r="N24" s="27"/>
      <c r="O24" s="395">
        <f t="shared" si="4"/>
      </c>
      <c r="P24" s="23">
        <f t="shared" si="5"/>
      </c>
      <c r="Q24" s="23">
        <f t="shared" si="6"/>
      </c>
      <c r="R24" s="399" t="str">
        <f t="shared" si="7"/>
        <v>--</v>
      </c>
      <c r="S24" s="402" t="str">
        <f t="shared" si="8"/>
        <v>--</v>
      </c>
      <c r="T24" s="432" t="str">
        <f aca="true" t="shared" si="18" ref="T24:T39">IF(AND(N24="F",Q24="NO"),I24*H24*IF(P24="SI",1.2,1),"--")</f>
        <v>--</v>
      </c>
      <c r="U24" s="408" t="str">
        <f t="shared" si="9"/>
        <v>--</v>
      </c>
      <c r="V24" s="409" t="str">
        <f t="shared" si="10"/>
        <v>--</v>
      </c>
      <c r="W24" s="430" t="str">
        <f t="shared" si="11"/>
        <v>--</v>
      </c>
      <c r="X24" s="418" t="str">
        <f t="shared" si="12"/>
        <v>--</v>
      </c>
      <c r="Y24" s="419" t="str">
        <f t="shared" si="13"/>
        <v>--</v>
      </c>
      <c r="Z24" s="437" t="str">
        <f t="shared" si="14"/>
        <v>--</v>
      </c>
      <c r="AA24" s="443" t="str">
        <f t="shared" si="15"/>
        <v>--</v>
      </c>
      <c r="AB24" s="433">
        <f t="shared" si="16"/>
      </c>
      <c r="AC24" s="29">
        <f t="shared" si="17"/>
      </c>
      <c r="AD24" s="567"/>
    </row>
    <row r="25" spans="2:30" s="16" customFormat="1" ht="16.5" customHeight="1">
      <c r="B25" s="785"/>
      <c r="C25" s="20"/>
      <c r="D25" s="20"/>
      <c r="E25" s="457"/>
      <c r="F25" s="22"/>
      <c r="G25" s="457"/>
      <c r="H25" s="458">
        <f t="shared" si="0"/>
        <v>20</v>
      </c>
      <c r="I25" s="627">
        <f t="shared" si="1"/>
        <v>46.09</v>
      </c>
      <c r="J25" s="19"/>
      <c r="K25" s="24"/>
      <c r="L25" s="25">
        <f t="shared" si="2"/>
      </c>
      <c r="M25" s="26">
        <f t="shared" si="3"/>
      </c>
      <c r="N25" s="27"/>
      <c r="O25" s="395">
        <f t="shared" si="4"/>
      </c>
      <c r="P25" s="23">
        <f t="shared" si="5"/>
      </c>
      <c r="Q25" s="23">
        <f t="shared" si="6"/>
      </c>
      <c r="R25" s="399" t="str">
        <f t="shared" si="7"/>
        <v>--</v>
      </c>
      <c r="S25" s="402" t="str">
        <f t="shared" si="8"/>
        <v>--</v>
      </c>
      <c r="T25" s="432" t="str">
        <f t="shared" si="18"/>
        <v>--</v>
      </c>
      <c r="U25" s="408" t="str">
        <f t="shared" si="9"/>
        <v>--</v>
      </c>
      <c r="V25" s="409" t="str">
        <f t="shared" si="10"/>
        <v>--</v>
      </c>
      <c r="W25" s="430" t="str">
        <f t="shared" si="11"/>
        <v>--</v>
      </c>
      <c r="X25" s="418" t="str">
        <f t="shared" si="12"/>
        <v>--</v>
      </c>
      <c r="Y25" s="419" t="str">
        <f t="shared" si="13"/>
        <v>--</v>
      </c>
      <c r="Z25" s="437" t="str">
        <f t="shared" si="14"/>
        <v>--</v>
      </c>
      <c r="AA25" s="443" t="str">
        <f t="shared" si="15"/>
        <v>--</v>
      </c>
      <c r="AB25" s="433">
        <f t="shared" si="16"/>
      </c>
      <c r="AC25" s="29">
        <f t="shared" si="17"/>
      </c>
      <c r="AD25" s="567"/>
    </row>
    <row r="26" spans="2:30" s="16" customFormat="1" ht="16.5" customHeight="1">
      <c r="B26" s="140"/>
      <c r="C26" s="20"/>
      <c r="D26" s="20"/>
      <c r="E26" s="457"/>
      <c r="F26" s="22"/>
      <c r="G26" s="457"/>
      <c r="H26" s="458">
        <f t="shared" si="0"/>
        <v>20</v>
      </c>
      <c r="I26" s="627">
        <f t="shared" si="1"/>
        <v>46.09</v>
      </c>
      <c r="J26" s="19"/>
      <c r="K26" s="24"/>
      <c r="L26" s="25">
        <f t="shared" si="2"/>
      </c>
      <c r="M26" s="26">
        <f t="shared" si="3"/>
      </c>
      <c r="N26" s="27"/>
      <c r="O26" s="395">
        <f t="shared" si="4"/>
      </c>
      <c r="P26" s="23">
        <f t="shared" si="5"/>
      </c>
      <c r="Q26" s="23">
        <f t="shared" si="6"/>
      </c>
      <c r="R26" s="399" t="str">
        <f t="shared" si="7"/>
        <v>--</v>
      </c>
      <c r="S26" s="402" t="str">
        <f t="shared" si="8"/>
        <v>--</v>
      </c>
      <c r="T26" s="432" t="str">
        <f t="shared" si="18"/>
        <v>--</v>
      </c>
      <c r="U26" s="408" t="str">
        <f t="shared" si="9"/>
        <v>--</v>
      </c>
      <c r="V26" s="409" t="str">
        <f t="shared" si="10"/>
        <v>--</v>
      </c>
      <c r="W26" s="430" t="str">
        <f t="shared" si="11"/>
        <v>--</v>
      </c>
      <c r="X26" s="418" t="str">
        <f t="shared" si="12"/>
        <v>--</v>
      </c>
      <c r="Y26" s="419" t="str">
        <f t="shared" si="13"/>
        <v>--</v>
      </c>
      <c r="Z26" s="437" t="str">
        <f t="shared" si="14"/>
        <v>--</v>
      </c>
      <c r="AA26" s="443" t="str">
        <f t="shared" si="15"/>
        <v>--</v>
      </c>
      <c r="AB26" s="433">
        <f t="shared" si="16"/>
      </c>
      <c r="AC26" s="29">
        <f t="shared" si="17"/>
      </c>
      <c r="AD26" s="567"/>
    </row>
    <row r="27" spans="2:30" s="16" customFormat="1" ht="16.5" customHeight="1">
      <c r="B27" s="140"/>
      <c r="C27" s="20"/>
      <c r="D27" s="20"/>
      <c r="E27" s="457"/>
      <c r="F27" s="22"/>
      <c r="G27" s="457"/>
      <c r="H27" s="458">
        <f t="shared" si="0"/>
        <v>20</v>
      </c>
      <c r="I27" s="627">
        <f t="shared" si="1"/>
        <v>46.09</v>
      </c>
      <c r="J27" s="19"/>
      <c r="K27" s="24"/>
      <c r="L27" s="25">
        <f t="shared" si="2"/>
      </c>
      <c r="M27" s="26">
        <f t="shared" si="3"/>
      </c>
      <c r="N27" s="27"/>
      <c r="O27" s="395">
        <f t="shared" si="4"/>
      </c>
      <c r="P27" s="23">
        <f t="shared" si="5"/>
      </c>
      <c r="Q27" s="23">
        <f t="shared" si="6"/>
      </c>
      <c r="R27" s="399" t="str">
        <f t="shared" si="7"/>
        <v>--</v>
      </c>
      <c r="S27" s="402" t="str">
        <f t="shared" si="8"/>
        <v>--</v>
      </c>
      <c r="T27" s="432" t="str">
        <f t="shared" si="18"/>
        <v>--</v>
      </c>
      <c r="U27" s="408" t="str">
        <f t="shared" si="9"/>
        <v>--</v>
      </c>
      <c r="V27" s="409" t="str">
        <f t="shared" si="10"/>
        <v>--</v>
      </c>
      <c r="W27" s="430" t="str">
        <f t="shared" si="11"/>
        <v>--</v>
      </c>
      <c r="X27" s="418" t="str">
        <f t="shared" si="12"/>
        <v>--</v>
      </c>
      <c r="Y27" s="419" t="str">
        <f t="shared" si="13"/>
        <v>--</v>
      </c>
      <c r="Z27" s="437" t="str">
        <f t="shared" si="14"/>
        <v>--</v>
      </c>
      <c r="AA27" s="443" t="str">
        <f t="shared" si="15"/>
        <v>--</v>
      </c>
      <c r="AB27" s="433">
        <f t="shared" si="16"/>
      </c>
      <c r="AC27" s="29">
        <f t="shared" si="17"/>
      </c>
      <c r="AD27" s="567"/>
    </row>
    <row r="28" spans="2:30" s="16" customFormat="1" ht="16.5" customHeight="1">
      <c r="B28" s="140"/>
      <c r="C28" s="20"/>
      <c r="D28" s="20"/>
      <c r="E28" s="457"/>
      <c r="F28" s="22"/>
      <c r="G28" s="457"/>
      <c r="H28" s="458">
        <f t="shared" si="0"/>
        <v>20</v>
      </c>
      <c r="I28" s="627">
        <f t="shared" si="1"/>
        <v>46.09</v>
      </c>
      <c r="J28" s="19"/>
      <c r="K28" s="24"/>
      <c r="L28" s="25">
        <f t="shared" si="2"/>
      </c>
      <c r="M28" s="26">
        <f t="shared" si="3"/>
      </c>
      <c r="N28" s="27"/>
      <c r="O28" s="395">
        <f t="shared" si="4"/>
      </c>
      <c r="P28" s="23">
        <f t="shared" si="5"/>
      </c>
      <c r="Q28" s="23">
        <f t="shared" si="6"/>
      </c>
      <c r="R28" s="399" t="str">
        <f t="shared" si="7"/>
        <v>--</v>
      </c>
      <c r="S28" s="402" t="str">
        <f t="shared" si="8"/>
        <v>--</v>
      </c>
      <c r="T28" s="432" t="str">
        <f t="shared" si="18"/>
        <v>--</v>
      </c>
      <c r="U28" s="408" t="str">
        <f t="shared" si="9"/>
        <v>--</v>
      </c>
      <c r="V28" s="409" t="str">
        <f t="shared" si="10"/>
        <v>--</v>
      </c>
      <c r="W28" s="430" t="str">
        <f t="shared" si="11"/>
        <v>--</v>
      </c>
      <c r="X28" s="418" t="str">
        <f t="shared" si="12"/>
        <v>--</v>
      </c>
      <c r="Y28" s="419" t="str">
        <f t="shared" si="13"/>
        <v>--</v>
      </c>
      <c r="Z28" s="437" t="str">
        <f t="shared" si="14"/>
        <v>--</v>
      </c>
      <c r="AA28" s="443" t="str">
        <f t="shared" si="15"/>
        <v>--</v>
      </c>
      <c r="AB28" s="433">
        <f t="shared" si="16"/>
      </c>
      <c r="AC28" s="29">
        <f t="shared" si="17"/>
      </c>
      <c r="AD28" s="567"/>
    </row>
    <row r="29" spans="2:30" s="16" customFormat="1" ht="16.5" customHeight="1">
      <c r="B29" s="140"/>
      <c r="C29" s="20"/>
      <c r="D29" s="20"/>
      <c r="E29" s="457"/>
      <c r="F29" s="22"/>
      <c r="G29" s="457"/>
      <c r="H29" s="458">
        <f t="shared" si="0"/>
        <v>20</v>
      </c>
      <c r="I29" s="627">
        <f t="shared" si="1"/>
        <v>46.09</v>
      </c>
      <c r="J29" s="19"/>
      <c r="K29" s="24"/>
      <c r="L29" s="25">
        <f t="shared" si="2"/>
      </c>
      <c r="M29" s="26">
        <f t="shared" si="3"/>
      </c>
      <c r="N29" s="27"/>
      <c r="O29" s="395">
        <f t="shared" si="4"/>
      </c>
      <c r="P29" s="23">
        <f t="shared" si="5"/>
      </c>
      <c r="Q29" s="23">
        <f t="shared" si="6"/>
      </c>
      <c r="R29" s="399" t="str">
        <f t="shared" si="7"/>
        <v>--</v>
      </c>
      <c r="S29" s="402" t="str">
        <f t="shared" si="8"/>
        <v>--</v>
      </c>
      <c r="T29" s="432" t="str">
        <f t="shared" si="18"/>
        <v>--</v>
      </c>
      <c r="U29" s="408" t="str">
        <f t="shared" si="9"/>
        <v>--</v>
      </c>
      <c r="V29" s="409" t="str">
        <f t="shared" si="10"/>
        <v>--</v>
      </c>
      <c r="W29" s="430" t="str">
        <f t="shared" si="11"/>
        <v>--</v>
      </c>
      <c r="X29" s="418" t="str">
        <f t="shared" si="12"/>
        <v>--</v>
      </c>
      <c r="Y29" s="419" t="str">
        <f t="shared" si="13"/>
        <v>--</v>
      </c>
      <c r="Z29" s="437" t="str">
        <f t="shared" si="14"/>
        <v>--</v>
      </c>
      <c r="AA29" s="443" t="str">
        <f t="shared" si="15"/>
        <v>--</v>
      </c>
      <c r="AB29" s="433">
        <f t="shared" si="16"/>
      </c>
      <c r="AC29" s="29">
        <f t="shared" si="17"/>
      </c>
      <c r="AD29" s="567"/>
    </row>
    <row r="30" spans="2:30" s="16" customFormat="1" ht="16.5" customHeight="1">
      <c r="B30" s="140"/>
      <c r="C30" s="20"/>
      <c r="D30" s="20"/>
      <c r="E30" s="457"/>
      <c r="F30" s="22"/>
      <c r="G30" s="457"/>
      <c r="H30" s="458">
        <f t="shared" si="0"/>
        <v>20</v>
      </c>
      <c r="I30" s="627">
        <f t="shared" si="1"/>
        <v>46.09</v>
      </c>
      <c r="J30" s="19"/>
      <c r="K30" s="24"/>
      <c r="L30" s="25">
        <f t="shared" si="2"/>
      </c>
      <c r="M30" s="26">
        <f t="shared" si="3"/>
      </c>
      <c r="N30" s="27"/>
      <c r="O30" s="395">
        <f t="shared" si="4"/>
      </c>
      <c r="P30" s="23">
        <f t="shared" si="5"/>
      </c>
      <c r="Q30" s="23">
        <f t="shared" si="6"/>
      </c>
      <c r="R30" s="399" t="str">
        <f t="shared" si="7"/>
        <v>--</v>
      </c>
      <c r="S30" s="402" t="str">
        <f t="shared" si="8"/>
        <v>--</v>
      </c>
      <c r="T30" s="432" t="str">
        <f t="shared" si="18"/>
        <v>--</v>
      </c>
      <c r="U30" s="408" t="str">
        <f t="shared" si="9"/>
        <v>--</v>
      </c>
      <c r="V30" s="409" t="str">
        <f t="shared" si="10"/>
        <v>--</v>
      </c>
      <c r="W30" s="430" t="str">
        <f t="shared" si="11"/>
        <v>--</v>
      </c>
      <c r="X30" s="418" t="str">
        <f t="shared" si="12"/>
        <v>--</v>
      </c>
      <c r="Y30" s="419" t="str">
        <f t="shared" si="13"/>
        <v>--</v>
      </c>
      <c r="Z30" s="437" t="str">
        <f t="shared" si="14"/>
        <v>--</v>
      </c>
      <c r="AA30" s="443" t="str">
        <f t="shared" si="15"/>
        <v>--</v>
      </c>
      <c r="AB30" s="433">
        <f t="shared" si="16"/>
      </c>
      <c r="AC30" s="29">
        <f t="shared" si="17"/>
      </c>
      <c r="AD30" s="567"/>
    </row>
    <row r="31" spans="2:30" s="16" customFormat="1" ht="16.5" customHeight="1">
      <c r="B31" s="140"/>
      <c r="C31" s="20"/>
      <c r="D31" s="20"/>
      <c r="E31" s="457"/>
      <c r="F31" s="22"/>
      <c r="G31" s="457"/>
      <c r="H31" s="458">
        <f t="shared" si="0"/>
        <v>20</v>
      </c>
      <c r="I31" s="627">
        <f t="shared" si="1"/>
        <v>46.09</v>
      </c>
      <c r="J31" s="19"/>
      <c r="K31" s="31"/>
      <c r="L31" s="25">
        <f t="shared" si="2"/>
      </c>
      <c r="M31" s="26">
        <f t="shared" si="3"/>
      </c>
      <c r="N31" s="27"/>
      <c r="O31" s="395">
        <f t="shared" si="4"/>
      </c>
      <c r="P31" s="23">
        <f t="shared" si="5"/>
      </c>
      <c r="Q31" s="23">
        <f t="shared" si="6"/>
      </c>
      <c r="R31" s="399" t="str">
        <f t="shared" si="7"/>
        <v>--</v>
      </c>
      <c r="S31" s="402" t="str">
        <f t="shared" si="8"/>
        <v>--</v>
      </c>
      <c r="T31" s="432" t="str">
        <f t="shared" si="18"/>
        <v>--</v>
      </c>
      <c r="U31" s="408" t="str">
        <f t="shared" si="9"/>
        <v>--</v>
      </c>
      <c r="V31" s="409" t="str">
        <f t="shared" si="10"/>
        <v>--</v>
      </c>
      <c r="W31" s="430" t="str">
        <f t="shared" si="11"/>
        <v>--</v>
      </c>
      <c r="X31" s="418" t="str">
        <f t="shared" si="12"/>
        <v>--</v>
      </c>
      <c r="Y31" s="419" t="str">
        <f t="shared" si="13"/>
        <v>--</v>
      </c>
      <c r="Z31" s="437" t="str">
        <f t="shared" si="14"/>
        <v>--</v>
      </c>
      <c r="AA31" s="443" t="str">
        <f t="shared" si="15"/>
        <v>--</v>
      </c>
      <c r="AB31" s="433">
        <f t="shared" si="16"/>
      </c>
      <c r="AC31" s="29">
        <f t="shared" si="17"/>
      </c>
      <c r="AD31" s="567"/>
    </row>
    <row r="32" spans="2:30" s="16" customFormat="1" ht="16.5" customHeight="1">
      <c r="B32" s="140"/>
      <c r="C32" s="20"/>
      <c r="D32" s="20"/>
      <c r="E32" s="457"/>
      <c r="F32" s="22"/>
      <c r="G32" s="457"/>
      <c r="H32" s="458">
        <f t="shared" si="0"/>
        <v>20</v>
      </c>
      <c r="I32" s="627">
        <f t="shared" si="1"/>
        <v>46.09</v>
      </c>
      <c r="J32" s="19"/>
      <c r="K32" s="31"/>
      <c r="L32" s="25">
        <f t="shared" si="2"/>
      </c>
      <c r="M32" s="26">
        <f t="shared" si="3"/>
      </c>
      <c r="N32" s="27"/>
      <c r="O32" s="395">
        <f t="shared" si="4"/>
      </c>
      <c r="P32" s="23">
        <f t="shared" si="5"/>
      </c>
      <c r="Q32" s="23">
        <f t="shared" si="6"/>
      </c>
      <c r="R32" s="399" t="str">
        <f t="shared" si="7"/>
        <v>--</v>
      </c>
      <c r="S32" s="402" t="str">
        <f t="shared" si="8"/>
        <v>--</v>
      </c>
      <c r="T32" s="432" t="str">
        <f t="shared" si="18"/>
        <v>--</v>
      </c>
      <c r="U32" s="408" t="str">
        <f t="shared" si="9"/>
        <v>--</v>
      </c>
      <c r="V32" s="409" t="str">
        <f t="shared" si="10"/>
        <v>--</v>
      </c>
      <c r="W32" s="430" t="str">
        <f t="shared" si="11"/>
        <v>--</v>
      </c>
      <c r="X32" s="418" t="str">
        <f t="shared" si="12"/>
        <v>--</v>
      </c>
      <c r="Y32" s="419" t="str">
        <f t="shared" si="13"/>
        <v>--</v>
      </c>
      <c r="Z32" s="437" t="str">
        <f t="shared" si="14"/>
        <v>--</v>
      </c>
      <c r="AA32" s="443" t="str">
        <f t="shared" si="15"/>
        <v>--</v>
      </c>
      <c r="AB32" s="433">
        <f t="shared" si="16"/>
      </c>
      <c r="AC32" s="29">
        <f t="shared" si="17"/>
      </c>
      <c r="AD32" s="567"/>
    </row>
    <row r="33" spans="2:30" s="16" customFormat="1" ht="16.5" customHeight="1">
      <c r="B33" s="140"/>
      <c r="C33" s="20"/>
      <c r="D33" s="20"/>
      <c r="E33" s="457"/>
      <c r="F33" s="22"/>
      <c r="G33" s="457"/>
      <c r="H33" s="458">
        <f t="shared" si="0"/>
        <v>20</v>
      </c>
      <c r="I33" s="627">
        <f t="shared" si="1"/>
        <v>46.09</v>
      </c>
      <c r="J33" s="19"/>
      <c r="K33" s="31"/>
      <c r="L33" s="25">
        <f t="shared" si="2"/>
      </c>
      <c r="M33" s="26">
        <f t="shared" si="3"/>
      </c>
      <c r="N33" s="27"/>
      <c r="O33" s="395">
        <f t="shared" si="4"/>
      </c>
      <c r="P33" s="23">
        <f t="shared" si="5"/>
      </c>
      <c r="Q33" s="23">
        <f t="shared" si="6"/>
      </c>
      <c r="R33" s="399" t="str">
        <f t="shared" si="7"/>
        <v>--</v>
      </c>
      <c r="S33" s="402" t="str">
        <f t="shared" si="8"/>
        <v>--</v>
      </c>
      <c r="T33" s="432" t="str">
        <f t="shared" si="18"/>
        <v>--</v>
      </c>
      <c r="U33" s="408" t="str">
        <f t="shared" si="9"/>
        <v>--</v>
      </c>
      <c r="V33" s="409" t="str">
        <f t="shared" si="10"/>
        <v>--</v>
      </c>
      <c r="W33" s="430" t="str">
        <f t="shared" si="11"/>
        <v>--</v>
      </c>
      <c r="X33" s="418" t="str">
        <f t="shared" si="12"/>
        <v>--</v>
      </c>
      <c r="Y33" s="419" t="str">
        <f t="shared" si="13"/>
        <v>--</v>
      </c>
      <c r="Z33" s="437" t="str">
        <f t="shared" si="14"/>
        <v>--</v>
      </c>
      <c r="AA33" s="443" t="str">
        <f t="shared" si="15"/>
        <v>--</v>
      </c>
      <c r="AB33" s="433">
        <f t="shared" si="16"/>
      </c>
      <c r="AC33" s="29">
        <f t="shared" si="17"/>
      </c>
      <c r="AD33" s="567"/>
    </row>
    <row r="34" spans="2:30" s="16" customFormat="1" ht="16.5" customHeight="1">
      <c r="B34" s="140"/>
      <c r="C34" s="20"/>
      <c r="D34" s="20"/>
      <c r="E34" s="457"/>
      <c r="F34" s="22"/>
      <c r="G34" s="457"/>
      <c r="H34" s="458">
        <f t="shared" si="0"/>
        <v>20</v>
      </c>
      <c r="I34" s="627">
        <f t="shared" si="1"/>
        <v>46.09</v>
      </c>
      <c r="J34" s="19"/>
      <c r="K34" s="31"/>
      <c r="L34" s="25">
        <f t="shared" si="2"/>
      </c>
      <c r="M34" s="26">
        <f t="shared" si="3"/>
      </c>
      <c r="N34" s="27"/>
      <c r="O34" s="395">
        <f t="shared" si="4"/>
      </c>
      <c r="P34" s="23">
        <f t="shared" si="5"/>
      </c>
      <c r="Q34" s="23">
        <f t="shared" si="6"/>
      </c>
      <c r="R34" s="399" t="str">
        <f t="shared" si="7"/>
        <v>--</v>
      </c>
      <c r="S34" s="402" t="str">
        <f t="shared" si="8"/>
        <v>--</v>
      </c>
      <c r="T34" s="432" t="str">
        <f t="shared" si="18"/>
        <v>--</v>
      </c>
      <c r="U34" s="408" t="str">
        <f t="shared" si="9"/>
        <v>--</v>
      </c>
      <c r="V34" s="409" t="str">
        <f t="shared" si="10"/>
        <v>--</v>
      </c>
      <c r="W34" s="430" t="str">
        <f t="shared" si="11"/>
        <v>--</v>
      </c>
      <c r="X34" s="418" t="str">
        <f t="shared" si="12"/>
        <v>--</v>
      </c>
      <c r="Y34" s="419" t="str">
        <f t="shared" si="13"/>
        <v>--</v>
      </c>
      <c r="Z34" s="437" t="str">
        <f t="shared" si="14"/>
        <v>--</v>
      </c>
      <c r="AA34" s="443" t="str">
        <f t="shared" si="15"/>
        <v>--</v>
      </c>
      <c r="AB34" s="433">
        <f t="shared" si="16"/>
      </c>
      <c r="AC34" s="29">
        <f t="shared" si="17"/>
      </c>
      <c r="AD34" s="567"/>
    </row>
    <row r="35" spans="2:30" s="16" customFormat="1" ht="16.5" customHeight="1">
      <c r="B35" s="140"/>
      <c r="C35" s="20"/>
      <c r="D35" s="20"/>
      <c r="E35" s="457"/>
      <c r="F35" s="22"/>
      <c r="G35" s="457"/>
      <c r="H35" s="458">
        <f t="shared" si="0"/>
        <v>20</v>
      </c>
      <c r="I35" s="627">
        <f t="shared" si="1"/>
        <v>46.09</v>
      </c>
      <c r="J35" s="19"/>
      <c r="K35" s="31"/>
      <c r="L35" s="25">
        <f t="shared" si="2"/>
      </c>
      <c r="M35" s="26">
        <f t="shared" si="3"/>
      </c>
      <c r="N35" s="27"/>
      <c r="O35" s="395">
        <f t="shared" si="4"/>
      </c>
      <c r="P35" s="23">
        <f t="shared" si="5"/>
      </c>
      <c r="Q35" s="23">
        <f t="shared" si="6"/>
      </c>
      <c r="R35" s="399" t="str">
        <f t="shared" si="7"/>
        <v>--</v>
      </c>
      <c r="S35" s="402" t="str">
        <f t="shared" si="8"/>
        <v>--</v>
      </c>
      <c r="T35" s="432" t="str">
        <f t="shared" si="18"/>
        <v>--</v>
      </c>
      <c r="U35" s="408" t="str">
        <f t="shared" si="9"/>
        <v>--</v>
      </c>
      <c r="V35" s="409" t="str">
        <f t="shared" si="10"/>
        <v>--</v>
      </c>
      <c r="W35" s="430" t="str">
        <f t="shared" si="11"/>
        <v>--</v>
      </c>
      <c r="X35" s="418" t="str">
        <f t="shared" si="12"/>
        <v>--</v>
      </c>
      <c r="Y35" s="419" t="str">
        <f t="shared" si="13"/>
        <v>--</v>
      </c>
      <c r="Z35" s="437" t="str">
        <f t="shared" si="14"/>
        <v>--</v>
      </c>
      <c r="AA35" s="443" t="str">
        <f t="shared" si="15"/>
        <v>--</v>
      </c>
      <c r="AB35" s="433">
        <f t="shared" si="16"/>
      </c>
      <c r="AC35" s="29">
        <f t="shared" si="17"/>
      </c>
      <c r="AD35" s="567"/>
    </row>
    <row r="36" spans="2:30" s="16" customFormat="1" ht="16.5" customHeight="1">
      <c r="B36" s="140"/>
      <c r="C36" s="20"/>
      <c r="D36" s="20"/>
      <c r="E36" s="457"/>
      <c r="F36" s="22"/>
      <c r="G36" s="457"/>
      <c r="H36" s="458">
        <f t="shared" si="0"/>
        <v>20</v>
      </c>
      <c r="I36" s="627">
        <f t="shared" si="1"/>
        <v>46.09</v>
      </c>
      <c r="J36" s="19"/>
      <c r="K36" s="31"/>
      <c r="L36" s="25">
        <f t="shared" si="2"/>
      </c>
      <c r="M36" s="26">
        <f t="shared" si="3"/>
      </c>
      <c r="N36" s="27"/>
      <c r="O36" s="395">
        <f t="shared" si="4"/>
      </c>
      <c r="P36" s="23">
        <f t="shared" si="5"/>
      </c>
      <c r="Q36" s="23">
        <f t="shared" si="6"/>
      </c>
      <c r="R36" s="399" t="str">
        <f t="shared" si="7"/>
        <v>--</v>
      </c>
      <c r="S36" s="402" t="str">
        <f t="shared" si="8"/>
        <v>--</v>
      </c>
      <c r="T36" s="432" t="str">
        <f t="shared" si="18"/>
        <v>--</v>
      </c>
      <c r="U36" s="408" t="str">
        <f t="shared" si="9"/>
        <v>--</v>
      </c>
      <c r="V36" s="409" t="str">
        <f t="shared" si="10"/>
        <v>--</v>
      </c>
      <c r="W36" s="430" t="str">
        <f t="shared" si="11"/>
        <v>--</v>
      </c>
      <c r="X36" s="418" t="str">
        <f t="shared" si="12"/>
        <v>--</v>
      </c>
      <c r="Y36" s="419" t="str">
        <f t="shared" si="13"/>
        <v>--</v>
      </c>
      <c r="Z36" s="437" t="str">
        <f t="shared" si="14"/>
        <v>--</v>
      </c>
      <c r="AA36" s="443" t="str">
        <f t="shared" si="15"/>
        <v>--</v>
      </c>
      <c r="AB36" s="433">
        <f t="shared" si="16"/>
      </c>
      <c r="AC36" s="29">
        <f t="shared" si="17"/>
      </c>
      <c r="AD36" s="567"/>
    </row>
    <row r="37" spans="2:30" s="16" customFormat="1" ht="16.5" customHeight="1">
      <c r="B37" s="140"/>
      <c r="C37" s="20"/>
      <c r="D37" s="20"/>
      <c r="E37" s="457"/>
      <c r="F37" s="22"/>
      <c r="G37" s="457"/>
      <c r="H37" s="458">
        <f t="shared" si="0"/>
        <v>20</v>
      </c>
      <c r="I37" s="627">
        <f t="shared" si="1"/>
        <v>46.09</v>
      </c>
      <c r="J37" s="19"/>
      <c r="K37" s="31"/>
      <c r="L37" s="25">
        <f t="shared" si="2"/>
      </c>
      <c r="M37" s="26">
        <f t="shared" si="3"/>
      </c>
      <c r="N37" s="27"/>
      <c r="O37" s="395">
        <f t="shared" si="4"/>
      </c>
      <c r="P37" s="23">
        <f t="shared" si="5"/>
      </c>
      <c r="Q37" s="23">
        <f t="shared" si="6"/>
      </c>
      <c r="R37" s="399" t="str">
        <f t="shared" si="7"/>
        <v>--</v>
      </c>
      <c r="S37" s="402" t="str">
        <f t="shared" si="8"/>
        <v>--</v>
      </c>
      <c r="T37" s="432" t="str">
        <f t="shared" si="18"/>
        <v>--</v>
      </c>
      <c r="U37" s="408" t="str">
        <f t="shared" si="9"/>
        <v>--</v>
      </c>
      <c r="V37" s="409" t="str">
        <f t="shared" si="10"/>
        <v>--</v>
      </c>
      <c r="W37" s="430" t="str">
        <f t="shared" si="11"/>
        <v>--</v>
      </c>
      <c r="X37" s="418" t="str">
        <f t="shared" si="12"/>
        <v>--</v>
      </c>
      <c r="Y37" s="419" t="str">
        <f t="shared" si="13"/>
        <v>--</v>
      </c>
      <c r="Z37" s="437" t="str">
        <f t="shared" si="14"/>
        <v>--</v>
      </c>
      <c r="AA37" s="443" t="str">
        <f t="shared" si="15"/>
        <v>--</v>
      </c>
      <c r="AB37" s="433">
        <f t="shared" si="16"/>
      </c>
      <c r="AC37" s="29">
        <f t="shared" si="17"/>
      </c>
      <c r="AD37" s="567"/>
    </row>
    <row r="38" spans="2:30" s="16" customFormat="1" ht="16.5" customHeight="1">
      <c r="B38" s="140"/>
      <c r="C38" s="20"/>
      <c r="D38" s="20"/>
      <c r="E38" s="457"/>
      <c r="F38" s="22"/>
      <c r="G38" s="457"/>
      <c r="H38" s="458">
        <f t="shared" si="0"/>
        <v>20</v>
      </c>
      <c r="I38" s="627">
        <f t="shared" si="1"/>
        <v>46.09</v>
      </c>
      <c r="J38" s="19"/>
      <c r="K38" s="31"/>
      <c r="L38" s="25">
        <f t="shared" si="2"/>
      </c>
      <c r="M38" s="26">
        <f t="shared" si="3"/>
      </c>
      <c r="N38" s="27"/>
      <c r="O38" s="395">
        <f t="shared" si="4"/>
      </c>
      <c r="P38" s="23">
        <f t="shared" si="5"/>
      </c>
      <c r="Q38" s="23">
        <f t="shared" si="6"/>
      </c>
      <c r="R38" s="399" t="str">
        <f t="shared" si="7"/>
        <v>--</v>
      </c>
      <c r="S38" s="402" t="str">
        <f t="shared" si="8"/>
        <v>--</v>
      </c>
      <c r="T38" s="432" t="str">
        <f t="shared" si="18"/>
        <v>--</v>
      </c>
      <c r="U38" s="408" t="str">
        <f t="shared" si="9"/>
        <v>--</v>
      </c>
      <c r="V38" s="409" t="str">
        <f t="shared" si="10"/>
        <v>--</v>
      </c>
      <c r="W38" s="430" t="str">
        <f t="shared" si="11"/>
        <v>--</v>
      </c>
      <c r="X38" s="418" t="str">
        <f t="shared" si="12"/>
        <v>--</v>
      </c>
      <c r="Y38" s="419" t="str">
        <f t="shared" si="13"/>
        <v>--</v>
      </c>
      <c r="Z38" s="437" t="str">
        <f t="shared" si="14"/>
        <v>--</v>
      </c>
      <c r="AA38" s="443" t="str">
        <f t="shared" si="15"/>
        <v>--</v>
      </c>
      <c r="AB38" s="433">
        <f t="shared" si="16"/>
      </c>
      <c r="AC38" s="29">
        <f t="shared" si="17"/>
      </c>
      <c r="AD38" s="567"/>
    </row>
    <row r="39" spans="2:30" s="16" customFormat="1" ht="16.5" customHeight="1">
      <c r="B39" s="140"/>
      <c r="C39" s="20"/>
      <c r="D39" s="20"/>
      <c r="E39" s="457"/>
      <c r="F39" s="22"/>
      <c r="G39" s="457"/>
      <c r="H39" s="458">
        <f t="shared" si="0"/>
        <v>20</v>
      </c>
      <c r="I39" s="627">
        <f t="shared" si="1"/>
        <v>46.09</v>
      </c>
      <c r="J39" s="19"/>
      <c r="K39" s="31"/>
      <c r="L39" s="25">
        <f t="shared" si="2"/>
      </c>
      <c r="M39" s="26">
        <f t="shared" si="3"/>
      </c>
      <c r="N39" s="27"/>
      <c r="O39" s="395">
        <f t="shared" si="4"/>
      </c>
      <c r="P39" s="23">
        <f t="shared" si="5"/>
      </c>
      <c r="Q39" s="23">
        <f t="shared" si="6"/>
      </c>
      <c r="R39" s="399" t="str">
        <f t="shared" si="7"/>
        <v>--</v>
      </c>
      <c r="S39" s="402" t="str">
        <f t="shared" si="8"/>
        <v>--</v>
      </c>
      <c r="T39" s="432" t="str">
        <f t="shared" si="18"/>
        <v>--</v>
      </c>
      <c r="U39" s="408" t="str">
        <f t="shared" si="9"/>
        <v>--</v>
      </c>
      <c r="V39" s="409" t="str">
        <f t="shared" si="10"/>
        <v>--</v>
      </c>
      <c r="W39" s="430" t="str">
        <f t="shared" si="11"/>
        <v>--</v>
      </c>
      <c r="X39" s="418" t="str">
        <f t="shared" si="12"/>
        <v>--</v>
      </c>
      <c r="Y39" s="419" t="str">
        <f t="shared" si="13"/>
        <v>--</v>
      </c>
      <c r="Z39" s="437" t="str">
        <f t="shared" si="14"/>
        <v>--</v>
      </c>
      <c r="AA39" s="443" t="str">
        <f t="shared" si="15"/>
        <v>--</v>
      </c>
      <c r="AB39" s="433">
        <f t="shared" si="16"/>
      </c>
      <c r="AC39" s="29">
        <f t="shared" si="17"/>
      </c>
      <c r="AD39" s="567"/>
    </row>
    <row r="40" spans="2:30" s="16" customFormat="1" ht="16.5" customHeight="1" thickBot="1">
      <c r="B40" s="140"/>
      <c r="C40" s="33"/>
      <c r="D40" s="33"/>
      <c r="E40" s="34"/>
      <c r="F40" s="35"/>
      <c r="G40" s="36"/>
      <c r="H40" s="452"/>
      <c r="I40" s="628"/>
      <c r="J40" s="37"/>
      <c r="K40" s="37"/>
      <c r="L40" s="37"/>
      <c r="M40" s="37"/>
      <c r="N40" s="37"/>
      <c r="O40" s="38"/>
      <c r="P40" s="37"/>
      <c r="Q40" s="37"/>
      <c r="R40" s="397"/>
      <c r="S40" s="403"/>
      <c r="T40" s="410"/>
      <c r="U40" s="411"/>
      <c r="V40" s="412"/>
      <c r="W40" s="420"/>
      <c r="X40" s="421"/>
      <c r="Y40" s="422"/>
      <c r="Z40" s="438"/>
      <c r="AA40" s="444"/>
      <c r="AB40" s="39"/>
      <c r="AC40" s="786"/>
      <c r="AD40" s="567"/>
    </row>
    <row r="41" spans="2:30" s="16" customFormat="1" ht="16.5" customHeight="1" thickBot="1" thickTop="1">
      <c r="B41" s="140"/>
      <c r="C41" s="282" t="s">
        <v>96</v>
      </c>
      <c r="D41" s="283" t="s">
        <v>97</v>
      </c>
      <c r="E41" s="41"/>
      <c r="F41" s="1"/>
      <c r="G41" s="42"/>
      <c r="H41" s="1"/>
      <c r="I41" s="43"/>
      <c r="J41" s="43"/>
      <c r="K41" s="43"/>
      <c r="L41" s="43"/>
      <c r="M41" s="43"/>
      <c r="N41" s="43"/>
      <c r="O41" s="44"/>
      <c r="P41" s="43"/>
      <c r="Q41" s="43"/>
      <c r="R41" s="445">
        <f aca="true" t="shared" si="19" ref="R41:AA41">SUM(R20:R40)</f>
        <v>0</v>
      </c>
      <c r="S41" s="446">
        <f t="shared" si="19"/>
        <v>0</v>
      </c>
      <c r="T41" s="447">
        <f t="shared" si="19"/>
        <v>0</v>
      </c>
      <c r="U41" s="447">
        <f t="shared" si="19"/>
        <v>6725.452800000001</v>
      </c>
      <c r="V41" s="447">
        <f t="shared" si="19"/>
        <v>0</v>
      </c>
      <c r="W41" s="448">
        <f t="shared" si="19"/>
        <v>0</v>
      </c>
      <c r="X41" s="448">
        <f t="shared" si="19"/>
        <v>0</v>
      </c>
      <c r="Y41" s="448">
        <f t="shared" si="19"/>
        <v>0</v>
      </c>
      <c r="Z41" s="449">
        <f t="shared" si="19"/>
        <v>0</v>
      </c>
      <c r="AA41" s="450">
        <f t="shared" si="19"/>
        <v>0</v>
      </c>
      <c r="AB41" s="787"/>
      <c r="AC41" s="695">
        <f>ROUND(SUM(AC20:AC40),2)</f>
        <v>6725.45</v>
      </c>
      <c r="AD41" s="567"/>
    </row>
    <row r="42" spans="2:30" s="286" customFormat="1" ht="9.75" thickTop="1">
      <c r="B42" s="287"/>
      <c r="C42" s="284"/>
      <c r="D42" s="285" t="s">
        <v>98</v>
      </c>
      <c r="E42" s="288"/>
      <c r="F42" s="289"/>
      <c r="G42" s="290"/>
      <c r="H42" s="289"/>
      <c r="I42" s="291"/>
      <c r="J42" s="291"/>
      <c r="K42" s="291"/>
      <c r="L42" s="291"/>
      <c r="M42" s="291"/>
      <c r="N42" s="291"/>
      <c r="O42" s="292"/>
      <c r="P42" s="291"/>
      <c r="Q42" s="291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4"/>
      <c r="AD42" s="295"/>
    </row>
    <row r="43" spans="2:30" s="286" customFormat="1" ht="9">
      <c r="B43" s="287"/>
      <c r="C43" s="284" t="s">
        <v>207</v>
      </c>
      <c r="D43" s="285" t="s">
        <v>208</v>
      </c>
      <c r="E43" s="288"/>
      <c r="F43" s="289"/>
      <c r="G43" s="290"/>
      <c r="H43" s="289"/>
      <c r="I43" s="291"/>
      <c r="J43" s="291"/>
      <c r="K43" s="291"/>
      <c r="L43" s="291"/>
      <c r="M43" s="291"/>
      <c r="N43" s="291"/>
      <c r="O43" s="292"/>
      <c r="P43" s="291"/>
      <c r="Q43" s="291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4"/>
      <c r="AD43" s="295"/>
    </row>
    <row r="44" spans="2:30" s="16" customFormat="1" ht="16.5" customHeight="1" thickBot="1"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</row>
    <row r="45" spans="2:30" ht="16.5" customHeight="1" thickTop="1">
      <c r="B45" s="12"/>
      <c r="AD45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6"/>
  <dimension ref="A2:AE37"/>
  <sheetViews>
    <sheetView workbookViewId="0" topLeftCell="A8">
      <selection activeCell="C27" sqref="C27"/>
    </sheetView>
  </sheetViews>
  <sheetFormatPr defaultColWidth="11.421875" defaultRowHeight="12.75"/>
  <cols>
    <col min="1" max="1" width="6.57421875" style="788" customWidth="1"/>
    <col min="2" max="2" width="7.421875" style="788" customWidth="1"/>
    <col min="3" max="3" width="51.28125" style="788" customWidth="1"/>
    <col min="4" max="4" width="8.28125" style="788" bestFit="1" customWidth="1"/>
    <col min="5" max="7" width="9.140625" style="788" customWidth="1"/>
    <col min="8" max="8" width="2.7109375" style="790" bestFit="1" customWidth="1"/>
    <col min="9" max="9" width="9.8515625" style="788" bestFit="1" customWidth="1"/>
    <col min="10" max="10" width="7.00390625" style="788" bestFit="1" customWidth="1"/>
    <col min="11" max="11" width="6.57421875" style="788" bestFit="1" customWidth="1"/>
    <col min="12" max="12" width="10.8515625" style="788" customWidth="1"/>
    <col min="13" max="15" width="9.140625" style="788" customWidth="1"/>
    <col min="16" max="16" width="2.7109375" style="788" bestFit="1" customWidth="1"/>
    <col min="17" max="17" width="9.7109375" style="788" customWidth="1"/>
    <col min="18" max="18" width="7.00390625" style="788" customWidth="1"/>
    <col min="19" max="19" width="6.57421875" style="788" customWidth="1"/>
    <col min="20" max="20" width="10.8515625" style="788" customWidth="1"/>
    <col min="21" max="23" width="9.140625" style="788" customWidth="1"/>
    <col min="24" max="24" width="2.7109375" style="788" bestFit="1" customWidth="1"/>
    <col min="25" max="25" width="9.7109375" style="788" customWidth="1"/>
    <col min="26" max="26" width="7.00390625" style="788" customWidth="1"/>
    <col min="27" max="27" width="6.57421875" style="788" customWidth="1"/>
    <col min="28" max="28" width="10.8515625" style="788" customWidth="1"/>
    <col min="29" max="16384" width="11.421875" style="788" customWidth="1"/>
  </cols>
  <sheetData>
    <row r="1" ht="12.75"/>
    <row r="2" ht="45.75" customHeight="1">
      <c r="D2" s="789"/>
    </row>
    <row r="3" ht="12.75"/>
    <row r="4" spans="1:3" ht="12.75">
      <c r="A4" s="791"/>
      <c r="B4" s="792" t="s">
        <v>53</v>
      </c>
      <c r="C4" s="793"/>
    </row>
    <row r="5" spans="1:3" ht="12.75">
      <c r="A5" s="791"/>
      <c r="B5" s="792" t="s">
        <v>54</v>
      </c>
      <c r="C5" s="793"/>
    </row>
    <row r="6" spans="2:31" s="794" customFormat="1" ht="20.25">
      <c r="B6" s="795" t="s">
        <v>210</v>
      </c>
      <c r="C6" s="796"/>
      <c r="D6" s="796"/>
      <c r="E6" s="797"/>
      <c r="G6" s="797"/>
      <c r="H6" s="797"/>
      <c r="I6" s="797"/>
      <c r="J6" s="797"/>
      <c r="N6" s="798"/>
      <c r="P6" s="797"/>
      <c r="Q6" s="797"/>
      <c r="R6" s="799"/>
      <c r="S6" s="799"/>
      <c r="T6" s="797"/>
      <c r="U6" s="797"/>
      <c r="V6" s="797"/>
      <c r="W6" s="800"/>
      <c r="X6" s="797"/>
      <c r="Y6" s="797"/>
      <c r="Z6" s="800"/>
      <c r="AA6" s="800"/>
      <c r="AB6" s="800"/>
      <c r="AC6" s="797"/>
      <c r="AD6" s="797"/>
      <c r="AE6" s="800"/>
    </row>
    <row r="7" spans="2:31" s="794" customFormat="1" ht="12" customHeight="1">
      <c r="B7" s="795"/>
      <c r="D7" s="797"/>
      <c r="E7" s="797"/>
      <c r="G7" s="797"/>
      <c r="H7" s="797"/>
      <c r="I7" s="797"/>
      <c r="J7" s="797"/>
      <c r="N7" s="798"/>
      <c r="P7" s="797"/>
      <c r="Q7" s="797"/>
      <c r="R7" s="799"/>
      <c r="S7" s="799"/>
      <c r="T7" s="797"/>
      <c r="U7" s="797"/>
      <c r="V7" s="797"/>
      <c r="W7" s="800"/>
      <c r="X7" s="797"/>
      <c r="Y7" s="797"/>
      <c r="Z7" s="800"/>
      <c r="AA7" s="800"/>
      <c r="AB7" s="800"/>
      <c r="AC7" s="797"/>
      <c r="AD7" s="797"/>
      <c r="AE7" s="800"/>
    </row>
    <row r="8" ht="15">
      <c r="B8" s="801" t="s">
        <v>211</v>
      </c>
    </row>
    <row r="9" ht="22.5" customHeight="1">
      <c r="B9" s="789" t="s">
        <v>212</v>
      </c>
    </row>
    <row r="10" ht="10.5" customHeight="1">
      <c r="C10" s="789"/>
    </row>
    <row r="11" ht="10.5" customHeight="1">
      <c r="C11" s="789"/>
    </row>
    <row r="12" spans="3:4" ht="19.5">
      <c r="C12" s="802" t="str">
        <f>'tot-0103'!B14</f>
        <v>Desde el 01 al 31 de marzo de 2001</v>
      </c>
      <c r="D12" s="803"/>
    </row>
    <row r="13" ht="13.5" thickBot="1"/>
    <row r="14" spans="2:28" ht="13.5" thickTop="1">
      <c r="B14" s="804"/>
      <c r="C14" s="804"/>
      <c r="D14" s="804"/>
      <c r="E14" s="805"/>
      <c r="F14" s="806"/>
      <c r="G14" s="806"/>
      <c r="H14" s="807"/>
      <c r="I14" s="806"/>
      <c r="J14" s="806"/>
      <c r="K14" s="806"/>
      <c r="L14" s="808"/>
      <c r="M14" s="805"/>
      <c r="N14" s="806"/>
      <c r="O14" s="806"/>
      <c r="P14" s="807"/>
      <c r="Q14" s="806"/>
      <c r="R14" s="806"/>
      <c r="S14" s="806"/>
      <c r="T14" s="808"/>
      <c r="U14" s="805"/>
      <c r="V14" s="806"/>
      <c r="W14" s="806"/>
      <c r="X14" s="807"/>
      <c r="Y14" s="806"/>
      <c r="Z14" s="806"/>
      <c r="AA14" s="806"/>
      <c r="AB14" s="808"/>
    </row>
    <row r="15" spans="2:28" ht="12.75">
      <c r="B15" s="804"/>
      <c r="C15" s="804"/>
      <c r="D15" s="804"/>
      <c r="E15" s="809" t="s">
        <v>213</v>
      </c>
      <c r="F15" s="810" t="s">
        <v>215</v>
      </c>
      <c r="G15" s="811"/>
      <c r="H15" s="812"/>
      <c r="I15" s="811"/>
      <c r="J15" s="811"/>
      <c r="K15" s="811"/>
      <c r="L15" s="813"/>
      <c r="M15" s="809" t="s">
        <v>213</v>
      </c>
      <c r="N15" s="810" t="s">
        <v>214</v>
      </c>
      <c r="O15" s="811"/>
      <c r="P15" s="812"/>
      <c r="Q15" s="811"/>
      <c r="R15" s="811"/>
      <c r="S15" s="811"/>
      <c r="T15" s="813"/>
      <c r="U15" s="809" t="s">
        <v>213</v>
      </c>
      <c r="V15" s="810" t="s">
        <v>168</v>
      </c>
      <c r="W15" s="811"/>
      <c r="X15" s="812"/>
      <c r="Y15" s="811"/>
      <c r="Z15" s="811"/>
      <c r="AA15" s="811"/>
      <c r="AB15" s="813"/>
    </row>
    <row r="16" spans="2:28" ht="12.75">
      <c r="B16" s="1338" t="s">
        <v>216</v>
      </c>
      <c r="C16" s="1339"/>
      <c r="D16" s="1339"/>
      <c r="E16" s="814"/>
      <c r="F16" s="815"/>
      <c r="G16" s="815"/>
      <c r="H16" s="816"/>
      <c r="I16" s="815"/>
      <c r="J16" s="815"/>
      <c r="K16" s="815"/>
      <c r="L16" s="817"/>
      <c r="M16" s="814"/>
      <c r="N16" s="815"/>
      <c r="O16" s="815"/>
      <c r="P16" s="816"/>
      <c r="Q16" s="815"/>
      <c r="R16" s="815"/>
      <c r="S16" s="815"/>
      <c r="T16" s="817"/>
      <c r="U16" s="814"/>
      <c r="V16" s="815"/>
      <c r="W16" s="815"/>
      <c r="X16" s="816"/>
      <c r="Y16" s="815"/>
      <c r="Z16" s="815"/>
      <c r="AA16" s="815"/>
      <c r="AB16" s="817"/>
    </row>
    <row r="17" spans="2:28" ht="12.75" customHeight="1">
      <c r="B17" s="1340" t="s">
        <v>217</v>
      </c>
      <c r="C17" s="1341"/>
      <c r="D17" s="1341"/>
      <c r="E17" s="818" t="s">
        <v>218</v>
      </c>
      <c r="F17" s="819"/>
      <c r="G17" s="819"/>
      <c r="H17" s="820" t="s">
        <v>219</v>
      </c>
      <c r="I17" s="820" t="s">
        <v>220</v>
      </c>
      <c r="J17" s="821" t="s">
        <v>221</v>
      </c>
      <c r="K17" s="821" t="s">
        <v>222</v>
      </c>
      <c r="L17" s="822" t="s">
        <v>223</v>
      </c>
      <c r="M17" s="818" t="s">
        <v>218</v>
      </c>
      <c r="N17" s="819"/>
      <c r="O17" s="819"/>
      <c r="P17" s="820" t="s">
        <v>219</v>
      </c>
      <c r="Q17" s="820" t="s">
        <v>220</v>
      </c>
      <c r="R17" s="821" t="s">
        <v>221</v>
      </c>
      <c r="S17" s="821" t="s">
        <v>222</v>
      </c>
      <c r="T17" s="822" t="s">
        <v>223</v>
      </c>
      <c r="U17" s="818" t="s">
        <v>218</v>
      </c>
      <c r="V17" s="819"/>
      <c r="W17" s="819"/>
      <c r="X17" s="820" t="s">
        <v>219</v>
      </c>
      <c r="Y17" s="820" t="s">
        <v>220</v>
      </c>
      <c r="Z17" s="821" t="s">
        <v>221</v>
      </c>
      <c r="AA17" s="821" t="s">
        <v>222</v>
      </c>
      <c r="AB17" s="822" t="s">
        <v>223</v>
      </c>
    </row>
    <row r="18" spans="2:28" ht="12.75">
      <c r="B18" s="819" t="s">
        <v>224</v>
      </c>
      <c r="C18" s="823" t="s">
        <v>225</v>
      </c>
      <c r="D18" s="824" t="s">
        <v>222</v>
      </c>
      <c r="E18" s="825" t="s">
        <v>226</v>
      </c>
      <c r="F18" s="819" t="s">
        <v>227</v>
      </c>
      <c r="G18" s="819" t="s">
        <v>228</v>
      </c>
      <c r="H18" s="820"/>
      <c r="I18" s="820"/>
      <c r="J18" s="820"/>
      <c r="K18" s="820"/>
      <c r="L18" s="826" t="s">
        <v>229</v>
      </c>
      <c r="M18" s="825" t="s">
        <v>226</v>
      </c>
      <c r="N18" s="819" t="s">
        <v>227</v>
      </c>
      <c r="O18" s="819" t="s">
        <v>228</v>
      </c>
      <c r="P18" s="820"/>
      <c r="Q18" s="820"/>
      <c r="R18" s="820"/>
      <c r="S18" s="820"/>
      <c r="T18" s="826" t="s">
        <v>229</v>
      </c>
      <c r="U18" s="825" t="s">
        <v>226</v>
      </c>
      <c r="V18" s="819" t="s">
        <v>227</v>
      </c>
      <c r="W18" s="819" t="s">
        <v>228</v>
      </c>
      <c r="X18" s="820"/>
      <c r="Y18" s="820"/>
      <c r="Z18" s="820"/>
      <c r="AA18" s="820"/>
      <c r="AB18" s="826" t="s">
        <v>229</v>
      </c>
    </row>
    <row r="19" spans="2:28" ht="12.75">
      <c r="B19" s="827">
        <v>1</v>
      </c>
      <c r="C19" s="828" t="s">
        <v>230</v>
      </c>
      <c r="D19" s="829">
        <v>60</v>
      </c>
      <c r="E19" s="830"/>
      <c r="F19" s="831"/>
      <c r="G19" s="831"/>
      <c r="H19" s="832">
        <f aca="true" t="shared" si="0" ref="H19:H28">E19+F19+G19</f>
        <v>0</v>
      </c>
      <c r="I19" s="833">
        <f>IF(SUM(E19:G28)&gt;1,0.3,0)</f>
        <v>0.3</v>
      </c>
      <c r="J19" s="832">
        <f aca="true" t="shared" si="1" ref="J19:J28">IF(SUM(E19:G19)&gt;0,$D19/2*(1+(H19-1)*$I$19),0)</f>
        <v>0</v>
      </c>
      <c r="K19" s="832">
        <f aca="true" t="shared" si="2" ref="K19:K28">IF(SUM(E19:G19)&gt;0,$D19*(1+(H19-1)*$I$19),0)</f>
        <v>0</v>
      </c>
      <c r="L19" s="834">
        <f>SUM(E19:G28)</f>
        <v>4</v>
      </c>
      <c r="M19" s="830"/>
      <c r="N19" s="831">
        <v>2</v>
      </c>
      <c r="O19" s="831">
        <v>1</v>
      </c>
      <c r="P19" s="832">
        <f aca="true" t="shared" si="3" ref="P19:P28">M19+N19+O19</f>
        <v>3</v>
      </c>
      <c r="Q19" s="833">
        <f>IF(SUM(M19:O28)&gt;1,0.3,0)</f>
        <v>0.3</v>
      </c>
      <c r="R19" s="832">
        <f aca="true" t="shared" si="4" ref="R19:R28">IF(SUM(M19:O19)&gt;0,$D19/2*(1+(P19-1)*$I$19),0)</f>
        <v>48</v>
      </c>
      <c r="S19" s="832">
        <f aca="true" t="shared" si="5" ref="S19:S28">IF(SUM(M19:O19)&gt;0,$D19*(1+(P19-1)*$I$19),0)</f>
        <v>96</v>
      </c>
      <c r="T19" s="834">
        <f>SUM(M19:O28)</f>
        <v>19</v>
      </c>
      <c r="U19" s="830"/>
      <c r="V19" s="831"/>
      <c r="W19" s="831"/>
      <c r="X19" s="832">
        <f aca="true" t="shared" si="6" ref="X19:X28">U19+V19+W19</f>
        <v>0</v>
      </c>
      <c r="Y19" s="833">
        <f>IF(SUM(U19:W28)&gt;1,0.3,0)</f>
        <v>0.3</v>
      </c>
      <c r="Z19" s="832">
        <f aca="true" t="shared" si="7" ref="Z19:Z28">IF(SUM(U19:W19)&gt;0,$D19/2*(1+(X19-1)*$I$19),0)</f>
        <v>0</v>
      </c>
      <c r="AA19" s="832">
        <f aca="true" t="shared" si="8" ref="AA19:AA28">IF(SUM(U19:W19)&gt;0,$D19*(1+(X19-1)*$I$19),0)</f>
        <v>0</v>
      </c>
      <c r="AB19" s="834">
        <f>SUM(U19:W28)</f>
        <v>3</v>
      </c>
    </row>
    <row r="20" spans="2:28" ht="12.75">
      <c r="B20" s="827">
        <v>2</v>
      </c>
      <c r="C20" s="828" t="s">
        <v>231</v>
      </c>
      <c r="D20" s="829">
        <v>48</v>
      </c>
      <c r="E20" s="830"/>
      <c r="F20" s="831"/>
      <c r="G20" s="831"/>
      <c r="H20" s="832">
        <f t="shared" si="0"/>
        <v>0</v>
      </c>
      <c r="I20" s="835"/>
      <c r="J20" s="832">
        <f t="shared" si="1"/>
        <v>0</v>
      </c>
      <c r="K20" s="832">
        <f t="shared" si="2"/>
        <v>0</v>
      </c>
      <c r="L20" s="836">
        <f>IF(L19&gt;0,1,0)</f>
        <v>1</v>
      </c>
      <c r="M20" s="830"/>
      <c r="N20" s="831"/>
      <c r="O20" s="831"/>
      <c r="P20" s="832">
        <f t="shared" si="3"/>
        <v>0</v>
      </c>
      <c r="Q20" s="835"/>
      <c r="R20" s="832">
        <f t="shared" si="4"/>
        <v>0</v>
      </c>
      <c r="S20" s="832">
        <f t="shared" si="5"/>
        <v>0</v>
      </c>
      <c r="T20" s="836">
        <f>IF(T19&gt;0,1,0)</f>
        <v>1</v>
      </c>
      <c r="U20" s="830"/>
      <c r="V20" s="831"/>
      <c r="W20" s="831"/>
      <c r="X20" s="832">
        <f t="shared" si="6"/>
        <v>0</v>
      </c>
      <c r="Y20" s="835"/>
      <c r="Z20" s="832">
        <f t="shared" si="7"/>
        <v>0</v>
      </c>
      <c r="AA20" s="832">
        <f t="shared" si="8"/>
        <v>0</v>
      </c>
      <c r="AB20" s="836">
        <f>IF(AB19&gt;0,1,0)</f>
        <v>1</v>
      </c>
    </row>
    <row r="21" spans="2:28" ht="12.75">
      <c r="B21" s="827">
        <v>3</v>
      </c>
      <c r="C21" s="828" t="s">
        <v>232</v>
      </c>
      <c r="D21" s="829">
        <v>40</v>
      </c>
      <c r="E21" s="830"/>
      <c r="F21" s="831"/>
      <c r="G21" s="831"/>
      <c r="H21" s="832">
        <f t="shared" si="0"/>
        <v>0</v>
      </c>
      <c r="I21" s="835"/>
      <c r="J21" s="832">
        <f t="shared" si="1"/>
        <v>0</v>
      </c>
      <c r="K21" s="832">
        <f t="shared" si="2"/>
        <v>0</v>
      </c>
      <c r="L21" s="837"/>
      <c r="M21" s="830"/>
      <c r="N21" s="831">
        <v>3</v>
      </c>
      <c r="O21" s="831">
        <v>1</v>
      </c>
      <c r="P21" s="832">
        <f t="shared" si="3"/>
        <v>4</v>
      </c>
      <c r="Q21" s="835"/>
      <c r="R21" s="832">
        <f t="shared" si="4"/>
        <v>38</v>
      </c>
      <c r="S21" s="832">
        <f t="shared" si="5"/>
        <v>76</v>
      </c>
      <c r="T21" s="837"/>
      <c r="U21" s="830"/>
      <c r="V21" s="831"/>
      <c r="W21" s="831"/>
      <c r="X21" s="832">
        <f t="shared" si="6"/>
        <v>0</v>
      </c>
      <c r="Y21" s="835"/>
      <c r="Z21" s="832">
        <f t="shared" si="7"/>
        <v>0</v>
      </c>
      <c r="AA21" s="832">
        <f t="shared" si="8"/>
        <v>0</v>
      </c>
      <c r="AB21" s="837"/>
    </row>
    <row r="22" spans="2:28" ht="12.75">
      <c r="B22" s="827">
        <v>4</v>
      </c>
      <c r="C22" s="828" t="s">
        <v>233</v>
      </c>
      <c r="D22" s="829">
        <v>24</v>
      </c>
      <c r="E22" s="830"/>
      <c r="F22" s="831">
        <v>1</v>
      </c>
      <c r="G22" s="831">
        <v>1</v>
      </c>
      <c r="H22" s="832">
        <f t="shared" si="0"/>
        <v>2</v>
      </c>
      <c r="I22" s="835"/>
      <c r="J22" s="832">
        <f t="shared" si="1"/>
        <v>15.600000000000001</v>
      </c>
      <c r="K22" s="832">
        <f t="shared" si="2"/>
        <v>31.200000000000003</v>
      </c>
      <c r="L22" s="837"/>
      <c r="M22" s="830"/>
      <c r="N22" s="831">
        <v>2</v>
      </c>
      <c r="O22" s="831">
        <v>1</v>
      </c>
      <c r="P22" s="832">
        <f t="shared" si="3"/>
        <v>3</v>
      </c>
      <c r="Q22" s="835"/>
      <c r="R22" s="832">
        <f t="shared" si="4"/>
        <v>19.200000000000003</v>
      </c>
      <c r="S22" s="832">
        <f t="shared" si="5"/>
        <v>38.400000000000006</v>
      </c>
      <c r="T22" s="837"/>
      <c r="U22" s="830"/>
      <c r="V22" s="831"/>
      <c r="W22" s="831"/>
      <c r="X22" s="832">
        <f t="shared" si="6"/>
        <v>0</v>
      </c>
      <c r="Y22" s="835"/>
      <c r="Z22" s="832">
        <f t="shared" si="7"/>
        <v>0</v>
      </c>
      <c r="AA22" s="832">
        <f t="shared" si="8"/>
        <v>0</v>
      </c>
      <c r="AB22" s="837"/>
    </row>
    <row r="23" spans="2:28" ht="12.75">
      <c r="B23" s="827">
        <v>5</v>
      </c>
      <c r="C23" s="828" t="s">
        <v>234</v>
      </c>
      <c r="D23" s="829">
        <v>24</v>
      </c>
      <c r="E23" s="830"/>
      <c r="F23" s="831"/>
      <c r="G23" s="831"/>
      <c r="H23" s="832">
        <f t="shared" si="0"/>
        <v>0</v>
      </c>
      <c r="I23" s="835"/>
      <c r="J23" s="832">
        <f t="shared" si="1"/>
        <v>0</v>
      </c>
      <c r="K23" s="832">
        <f t="shared" si="2"/>
        <v>0</v>
      </c>
      <c r="L23" s="837"/>
      <c r="M23" s="830">
        <v>1</v>
      </c>
      <c r="N23" s="831">
        <v>1</v>
      </c>
      <c r="O23" s="831">
        <v>1</v>
      </c>
      <c r="P23" s="832">
        <f t="shared" si="3"/>
        <v>3</v>
      </c>
      <c r="Q23" s="835"/>
      <c r="R23" s="832">
        <f t="shared" si="4"/>
        <v>19.200000000000003</v>
      </c>
      <c r="S23" s="832">
        <f t="shared" si="5"/>
        <v>38.400000000000006</v>
      </c>
      <c r="T23" s="837"/>
      <c r="U23" s="830">
        <v>1</v>
      </c>
      <c r="V23" s="831">
        <v>1</v>
      </c>
      <c r="W23" s="831">
        <v>1</v>
      </c>
      <c r="X23" s="832">
        <f t="shared" si="6"/>
        <v>3</v>
      </c>
      <c r="Y23" s="835"/>
      <c r="Z23" s="832">
        <f t="shared" si="7"/>
        <v>19.200000000000003</v>
      </c>
      <c r="AA23" s="832">
        <f t="shared" si="8"/>
        <v>38.400000000000006</v>
      </c>
      <c r="AB23" s="837"/>
    </row>
    <row r="24" spans="2:28" ht="12.75">
      <c r="B24" s="827">
        <v>6</v>
      </c>
      <c r="C24" s="828" t="s">
        <v>235</v>
      </c>
      <c r="D24" s="829">
        <v>24</v>
      </c>
      <c r="E24" s="830"/>
      <c r="F24" s="831"/>
      <c r="G24" s="831"/>
      <c r="H24" s="832">
        <f t="shared" si="0"/>
        <v>0</v>
      </c>
      <c r="I24" s="835"/>
      <c r="J24" s="832">
        <f t="shared" si="1"/>
        <v>0</v>
      </c>
      <c r="K24" s="832">
        <f t="shared" si="2"/>
        <v>0</v>
      </c>
      <c r="L24" s="837"/>
      <c r="M24" s="830"/>
      <c r="N24" s="831"/>
      <c r="O24" s="831"/>
      <c r="P24" s="832">
        <f t="shared" si="3"/>
        <v>0</v>
      </c>
      <c r="Q24" s="835"/>
      <c r="R24" s="832">
        <f t="shared" si="4"/>
        <v>0</v>
      </c>
      <c r="S24" s="832">
        <f t="shared" si="5"/>
        <v>0</v>
      </c>
      <c r="T24" s="837"/>
      <c r="U24" s="830"/>
      <c r="V24" s="831"/>
      <c r="W24" s="831"/>
      <c r="X24" s="832">
        <f t="shared" si="6"/>
        <v>0</v>
      </c>
      <c r="Y24" s="835"/>
      <c r="Z24" s="832">
        <f t="shared" si="7"/>
        <v>0</v>
      </c>
      <c r="AA24" s="832">
        <f t="shared" si="8"/>
        <v>0</v>
      </c>
      <c r="AB24" s="837"/>
    </row>
    <row r="25" spans="2:28" ht="12.75">
      <c r="B25" s="827">
        <v>7</v>
      </c>
      <c r="C25" s="828" t="s">
        <v>236</v>
      </c>
      <c r="D25" s="829">
        <v>10</v>
      </c>
      <c r="E25" s="830"/>
      <c r="F25" s="831"/>
      <c r="G25" s="831"/>
      <c r="H25" s="832">
        <f t="shared" si="0"/>
        <v>0</v>
      </c>
      <c r="I25" s="835"/>
      <c r="J25" s="832">
        <f t="shared" si="1"/>
        <v>0</v>
      </c>
      <c r="K25" s="832">
        <f t="shared" si="2"/>
        <v>0</v>
      </c>
      <c r="L25" s="837"/>
      <c r="M25" s="830"/>
      <c r="N25" s="831">
        <v>2</v>
      </c>
      <c r="O25" s="831">
        <v>1</v>
      </c>
      <c r="P25" s="832">
        <f t="shared" si="3"/>
        <v>3</v>
      </c>
      <c r="Q25" s="835"/>
      <c r="R25" s="832">
        <f t="shared" si="4"/>
        <v>8</v>
      </c>
      <c r="S25" s="832">
        <f t="shared" si="5"/>
        <v>16</v>
      </c>
      <c r="T25" s="837"/>
      <c r="U25" s="830"/>
      <c r="V25" s="831"/>
      <c r="W25" s="831"/>
      <c r="X25" s="832">
        <f t="shared" si="6"/>
        <v>0</v>
      </c>
      <c r="Y25" s="835"/>
      <c r="Z25" s="832">
        <f t="shared" si="7"/>
        <v>0</v>
      </c>
      <c r="AA25" s="832">
        <f t="shared" si="8"/>
        <v>0</v>
      </c>
      <c r="AB25" s="837"/>
    </row>
    <row r="26" spans="2:28" ht="12.75">
      <c r="B26" s="827">
        <v>8</v>
      </c>
      <c r="C26" s="828" t="s">
        <v>237</v>
      </c>
      <c r="D26" s="829">
        <v>10</v>
      </c>
      <c r="E26" s="830"/>
      <c r="F26" s="831"/>
      <c r="G26" s="831"/>
      <c r="H26" s="832">
        <f t="shared" si="0"/>
        <v>0</v>
      </c>
      <c r="I26" s="835"/>
      <c r="J26" s="832">
        <f t="shared" si="1"/>
        <v>0</v>
      </c>
      <c r="K26" s="832">
        <f t="shared" si="2"/>
        <v>0</v>
      </c>
      <c r="L26" s="837"/>
      <c r="M26" s="830"/>
      <c r="N26" s="831">
        <v>1</v>
      </c>
      <c r="O26" s="831"/>
      <c r="P26" s="832">
        <f t="shared" si="3"/>
        <v>1</v>
      </c>
      <c r="Q26" s="835"/>
      <c r="R26" s="832">
        <f t="shared" si="4"/>
        <v>5</v>
      </c>
      <c r="S26" s="832">
        <f t="shared" si="5"/>
        <v>10</v>
      </c>
      <c r="T26" s="837"/>
      <c r="U26" s="830"/>
      <c r="V26" s="831"/>
      <c r="W26" s="831"/>
      <c r="X26" s="832">
        <f t="shared" si="6"/>
        <v>0</v>
      </c>
      <c r="Y26" s="835"/>
      <c r="Z26" s="832">
        <f t="shared" si="7"/>
        <v>0</v>
      </c>
      <c r="AA26" s="832">
        <f t="shared" si="8"/>
        <v>0</v>
      </c>
      <c r="AB26" s="837"/>
    </row>
    <row r="27" spans="2:28" ht="12.75">
      <c r="B27" s="827">
        <v>9</v>
      </c>
      <c r="C27" s="828" t="s">
        <v>238</v>
      </c>
      <c r="D27" s="829">
        <v>10</v>
      </c>
      <c r="E27" s="830">
        <v>1</v>
      </c>
      <c r="F27" s="831"/>
      <c r="G27" s="831">
        <v>1</v>
      </c>
      <c r="H27" s="832">
        <f t="shared" si="0"/>
        <v>2</v>
      </c>
      <c r="I27" s="835"/>
      <c r="J27" s="832">
        <f t="shared" si="1"/>
        <v>6.5</v>
      </c>
      <c r="K27" s="832">
        <f t="shared" si="2"/>
        <v>13</v>
      </c>
      <c r="L27" s="837"/>
      <c r="M27" s="830">
        <v>1</v>
      </c>
      <c r="N27" s="831">
        <v>1</v>
      </c>
      <c r="O27" s="831"/>
      <c r="P27" s="832">
        <f t="shared" si="3"/>
        <v>2</v>
      </c>
      <c r="Q27" s="835"/>
      <c r="R27" s="832">
        <f t="shared" si="4"/>
        <v>6.5</v>
      </c>
      <c r="S27" s="832">
        <f t="shared" si="5"/>
        <v>13</v>
      </c>
      <c r="T27" s="837"/>
      <c r="U27" s="830"/>
      <c r="V27" s="831"/>
      <c r="W27" s="831"/>
      <c r="X27" s="832">
        <f t="shared" si="6"/>
        <v>0</v>
      </c>
      <c r="Y27" s="835"/>
      <c r="Z27" s="832">
        <f t="shared" si="7"/>
        <v>0</v>
      </c>
      <c r="AA27" s="832">
        <f t="shared" si="8"/>
        <v>0</v>
      </c>
      <c r="AB27" s="837"/>
    </row>
    <row r="28" spans="2:28" ht="12.75">
      <c r="B28" s="827">
        <v>10</v>
      </c>
      <c r="C28" s="828" t="s">
        <v>239</v>
      </c>
      <c r="D28" s="829">
        <v>10</v>
      </c>
      <c r="E28" s="830"/>
      <c r="F28" s="831"/>
      <c r="G28" s="831"/>
      <c r="H28" s="832">
        <f t="shared" si="0"/>
        <v>0</v>
      </c>
      <c r="I28" s="838"/>
      <c r="J28" s="832">
        <f t="shared" si="1"/>
        <v>0</v>
      </c>
      <c r="K28" s="832">
        <f t="shared" si="2"/>
        <v>0</v>
      </c>
      <c r="L28" s="839"/>
      <c r="M28" s="830"/>
      <c r="N28" s="831"/>
      <c r="O28" s="831"/>
      <c r="P28" s="832">
        <f t="shared" si="3"/>
        <v>0</v>
      </c>
      <c r="Q28" s="838"/>
      <c r="R28" s="832">
        <f t="shared" si="4"/>
        <v>0</v>
      </c>
      <c r="S28" s="832">
        <f t="shared" si="5"/>
        <v>0</v>
      </c>
      <c r="T28" s="839"/>
      <c r="U28" s="830"/>
      <c r="V28" s="831"/>
      <c r="W28" s="831"/>
      <c r="X28" s="832">
        <f t="shared" si="6"/>
        <v>0</v>
      </c>
      <c r="Y28" s="838"/>
      <c r="Z28" s="832">
        <f t="shared" si="7"/>
        <v>0</v>
      </c>
      <c r="AA28" s="832">
        <f t="shared" si="8"/>
        <v>0</v>
      </c>
      <c r="AB28" s="839"/>
    </row>
    <row r="29" spans="2:28" ht="16.5" customHeight="1" thickBot="1">
      <c r="B29" s="840"/>
      <c r="C29" s="841"/>
      <c r="D29" s="841"/>
      <c r="E29" s="842"/>
      <c r="F29" s="804"/>
      <c r="G29" s="804"/>
      <c r="H29" s="843"/>
      <c r="I29" s="804"/>
      <c r="J29" s="804"/>
      <c r="K29" s="804"/>
      <c r="L29" s="844"/>
      <c r="M29" s="842"/>
      <c r="N29" s="804"/>
      <c r="O29" s="804"/>
      <c r="P29" s="843"/>
      <c r="Q29" s="804"/>
      <c r="R29" s="804"/>
      <c r="S29" s="804"/>
      <c r="T29" s="844"/>
      <c r="U29" s="842"/>
      <c r="V29" s="804"/>
      <c r="W29" s="804"/>
      <c r="X29" s="843"/>
      <c r="Y29" s="804"/>
      <c r="Z29" s="804"/>
      <c r="AA29" s="804"/>
      <c r="AB29" s="844"/>
    </row>
    <row r="30" spans="2:28" s="845" customFormat="1" ht="13.5" thickBot="1">
      <c r="B30" s="846"/>
      <c r="C30" s="847"/>
      <c r="D30" s="848">
        <f>L20+T20+AB20</f>
        <v>3</v>
      </c>
      <c r="E30" s="849"/>
      <c r="F30" s="847"/>
      <c r="G30" s="847"/>
      <c r="H30" s="850"/>
      <c r="I30" s="851" t="s">
        <v>244</v>
      </c>
      <c r="J30" s="852">
        <f>MAX(J19:J28)</f>
        <v>15.600000000000001</v>
      </c>
      <c r="K30" s="853"/>
      <c r="L30" s="854"/>
      <c r="M30" s="849"/>
      <c r="N30" s="847"/>
      <c r="O30" s="847"/>
      <c r="P30" s="850"/>
      <c r="Q30" s="851" t="s">
        <v>245</v>
      </c>
      <c r="R30" s="852">
        <f>MAX(R19:R28)</f>
        <v>48</v>
      </c>
      <c r="S30" s="853"/>
      <c r="T30" s="854"/>
      <c r="U30" s="849"/>
      <c r="V30" s="847"/>
      <c r="W30" s="847"/>
      <c r="X30" s="850"/>
      <c r="Y30" s="851" t="s">
        <v>246</v>
      </c>
      <c r="Z30" s="852">
        <f>MAX(Z19:Z28)</f>
        <v>19.200000000000003</v>
      </c>
      <c r="AA30" s="853"/>
      <c r="AB30" s="854"/>
    </row>
    <row r="31" spans="2:28" s="845" customFormat="1" ht="13.5" thickBot="1">
      <c r="B31" s="846"/>
      <c r="C31" s="1331" t="s">
        <v>240</v>
      </c>
      <c r="D31" s="1332">
        <f>IF(D30&gt;1,IF(D30&lt;=3,0.7,0.6),1)</f>
        <v>0.7</v>
      </c>
      <c r="E31" s="849"/>
      <c r="F31" s="847"/>
      <c r="G31" s="847"/>
      <c r="H31" s="850"/>
      <c r="I31" s="855" t="s">
        <v>247</v>
      </c>
      <c r="J31" s="856"/>
      <c r="K31" s="857">
        <f>MAX(K19:K28)</f>
        <v>31.200000000000003</v>
      </c>
      <c r="L31" s="854"/>
      <c r="M31" s="849"/>
      <c r="N31" s="847"/>
      <c r="O31" s="847"/>
      <c r="P31" s="850"/>
      <c r="Q31" s="855" t="s">
        <v>248</v>
      </c>
      <c r="R31" s="856"/>
      <c r="S31" s="857">
        <f>MAX(S19:S28)</f>
        <v>96</v>
      </c>
      <c r="T31" s="854"/>
      <c r="U31" s="849"/>
      <c r="V31" s="847"/>
      <c r="W31" s="847"/>
      <c r="X31" s="850"/>
      <c r="Y31" s="855" t="s">
        <v>249</v>
      </c>
      <c r="Z31" s="856"/>
      <c r="AA31" s="857">
        <f>MAX(AA19:AA28)</f>
        <v>38.400000000000006</v>
      </c>
      <c r="AB31" s="854"/>
    </row>
    <row r="32" spans="2:28" ht="13.5" thickBot="1">
      <c r="B32" s="858"/>
      <c r="C32" s="859"/>
      <c r="D32" s="804"/>
      <c r="E32" s="842"/>
      <c r="F32" s="804"/>
      <c r="G32" s="804"/>
      <c r="H32" s="843"/>
      <c r="I32" s="860"/>
      <c r="J32" s="860"/>
      <c r="K32" s="860"/>
      <c r="L32" s="861"/>
      <c r="M32" s="842"/>
      <c r="N32" s="804"/>
      <c r="O32" s="804"/>
      <c r="P32" s="804"/>
      <c r="Q32" s="860"/>
      <c r="R32" s="860"/>
      <c r="S32" s="860"/>
      <c r="T32" s="861"/>
      <c r="U32" s="842"/>
      <c r="V32" s="804"/>
      <c r="W32" s="804"/>
      <c r="X32" s="804"/>
      <c r="Y32" s="860"/>
      <c r="Z32" s="860"/>
      <c r="AA32" s="860"/>
      <c r="AB32" s="861"/>
    </row>
    <row r="33" spans="2:28" ht="14.25" thickBot="1" thickTop="1">
      <c r="B33" s="858"/>
      <c r="C33" s="862" t="s">
        <v>241</v>
      </c>
      <c r="D33" s="863">
        <f>$J$30+$R$30+$Z$30</f>
        <v>82.80000000000001</v>
      </c>
      <c r="E33" s="842"/>
      <c r="F33" s="804"/>
      <c r="G33" s="804"/>
      <c r="H33" s="843"/>
      <c r="I33" s="804"/>
      <c r="J33" s="804"/>
      <c r="K33" s="804"/>
      <c r="L33" s="861"/>
      <c r="M33" s="842"/>
      <c r="N33" s="804"/>
      <c r="O33" s="804"/>
      <c r="P33" s="804"/>
      <c r="Q33" s="804"/>
      <c r="R33" s="804"/>
      <c r="S33" s="804"/>
      <c r="T33" s="861"/>
      <c r="U33" s="842"/>
      <c r="V33" s="804"/>
      <c r="W33" s="804"/>
      <c r="X33" s="804"/>
      <c r="Y33" s="804"/>
      <c r="Z33" s="804"/>
      <c r="AA33" s="804"/>
      <c r="AB33" s="861"/>
    </row>
    <row r="34" spans="2:28" ht="14.25" thickBot="1" thickTop="1">
      <c r="B34" s="858"/>
      <c r="C34" s="862" t="s">
        <v>242</v>
      </c>
      <c r="D34" s="863">
        <f>$K$31+$S$31+$AA$31</f>
        <v>165.60000000000002</v>
      </c>
      <c r="E34" s="842"/>
      <c r="F34" s="804"/>
      <c r="G34" s="804"/>
      <c r="H34" s="843"/>
      <c r="I34" s="804"/>
      <c r="J34" s="804"/>
      <c r="K34" s="804"/>
      <c r="L34" s="861"/>
      <c r="M34" s="842"/>
      <c r="N34" s="804"/>
      <c r="O34" s="804"/>
      <c r="P34" s="804"/>
      <c r="Q34" s="804"/>
      <c r="R34" s="804"/>
      <c r="S34" s="804"/>
      <c r="T34" s="861"/>
      <c r="U34" s="842"/>
      <c r="V34" s="804"/>
      <c r="W34" s="804"/>
      <c r="X34" s="804"/>
      <c r="Y34" s="804"/>
      <c r="Z34" s="804"/>
      <c r="AA34" s="804"/>
      <c r="AB34" s="861"/>
    </row>
    <row r="35" spans="2:28" ht="16.5" customHeight="1" thickBot="1" thickTop="1">
      <c r="B35" s="864"/>
      <c r="C35" s="865"/>
      <c r="D35" s="866"/>
      <c r="E35" s="867"/>
      <c r="F35" s="868"/>
      <c r="G35" s="868"/>
      <c r="H35" s="869"/>
      <c r="I35" s="868"/>
      <c r="J35" s="868"/>
      <c r="K35" s="868"/>
      <c r="L35" s="870"/>
      <c r="M35" s="867"/>
      <c r="N35" s="868"/>
      <c r="O35" s="868"/>
      <c r="P35" s="868"/>
      <c r="Q35" s="868"/>
      <c r="R35" s="868"/>
      <c r="S35" s="868"/>
      <c r="T35" s="870"/>
      <c r="U35" s="867"/>
      <c r="V35" s="868"/>
      <c r="W35" s="868"/>
      <c r="X35" s="868"/>
      <c r="Y35" s="868"/>
      <c r="Z35" s="868"/>
      <c r="AA35" s="868"/>
      <c r="AB35" s="870"/>
    </row>
    <row r="36" ht="13.5" thickTop="1"/>
    <row r="37" ht="12.75">
      <c r="C37" s="788" t="s">
        <v>243</v>
      </c>
    </row>
  </sheetData>
  <sheetProtection sheet="1" objects="1" scenarios="1"/>
  <mergeCells count="2">
    <mergeCell ref="B16:D16"/>
    <mergeCell ref="B17:D17"/>
  </mergeCells>
  <printOptions/>
  <pageMargins left="0.75" right="0.8661417322834646" top="0.2362204724409449" bottom="1" header="0" footer="0"/>
  <pageSetup horizontalDpi="600" verticalDpi="600" orientation="landscape" pageOrder="overThenDown" paperSize="9" r:id="rId4"/>
  <headerFooter alignWithMargins="0">
    <oddFooter>&amp;L&amp;8&amp;P/&amp;N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11214">
    <pageSetUpPr fitToPage="1"/>
  </sheetPr>
  <dimension ref="A1:BU40"/>
  <sheetViews>
    <sheetView zoomScale="75" zoomScaleNormal="75" workbookViewId="0" topLeftCell="O13">
      <selection activeCell="F16" sqref="F16"/>
    </sheetView>
  </sheetViews>
  <sheetFormatPr defaultColWidth="11.421875" defaultRowHeight="12.75" outlineLevelCol="1"/>
  <cols>
    <col min="1" max="1" width="22.00390625" style="1121" customWidth="1"/>
    <col min="2" max="2" width="15.7109375" style="1121" customWidth="1"/>
    <col min="3" max="4" width="5.28125" style="1121" customWidth="1"/>
    <col min="5" max="5" width="4.7109375" style="1121" customWidth="1"/>
    <col min="6" max="6" width="41.28125" style="1121" customWidth="1"/>
    <col min="7" max="7" width="5.8515625" style="1121" customWidth="1"/>
    <col min="8" max="8" width="7.140625" style="1121" bestFit="1" customWidth="1"/>
    <col min="9" max="9" width="3.7109375" style="1121" customWidth="1"/>
    <col min="10" max="10" width="9.28125" style="1121" hidden="1" customWidth="1" outlineLevel="1"/>
    <col min="11" max="11" width="10.8515625" style="1121" hidden="1" customWidth="1" outlineLevel="1"/>
    <col min="12" max="12" width="16.28125" style="1121" customWidth="1" collapsed="1"/>
    <col min="13" max="13" width="16.28125" style="1121" customWidth="1"/>
    <col min="14" max="14" width="7.140625" style="1124" customWidth="1"/>
    <col min="15" max="15" width="7.8515625" style="1121" customWidth="1"/>
    <col min="16" max="16" width="7.140625" style="1121" customWidth="1"/>
    <col min="17" max="17" width="6.57421875" style="1121" customWidth="1"/>
    <col min="18" max="18" width="5.421875" style="1121" customWidth="1"/>
    <col min="19" max="19" width="6.00390625" style="1121" bestFit="1" customWidth="1"/>
    <col min="20" max="20" width="17.140625" style="1121" hidden="1" customWidth="1" outlineLevel="1"/>
    <col min="21" max="21" width="16.28125" style="1121" hidden="1" customWidth="1" outlineLevel="1"/>
    <col min="22" max="22" width="13.7109375" style="1121" hidden="1" customWidth="1" outlineLevel="1"/>
    <col min="23" max="23" width="13.28125" style="1125" hidden="1" customWidth="1" outlineLevel="1" collapsed="1"/>
    <col min="24" max="24" width="8.57421875" style="1121" customWidth="1" collapsed="1"/>
    <col min="25" max="25" width="12.28125" style="1121" customWidth="1"/>
    <col min="26" max="26" width="8.57421875" style="1125" customWidth="1"/>
    <col min="27" max="27" width="4.140625" style="1125" bestFit="1" customWidth="1"/>
    <col min="28" max="28" width="8.00390625" style="1125" bestFit="1" customWidth="1"/>
    <col min="29" max="29" width="7.57421875" style="1125" bestFit="1" customWidth="1"/>
    <col min="30" max="30" width="8.00390625" style="1125" bestFit="1" customWidth="1"/>
    <col min="31" max="31" width="16.57421875" style="1125" hidden="1" customWidth="1" outlineLevel="1"/>
    <col min="32" max="32" width="15.7109375" style="1121" hidden="1" customWidth="1" outlineLevel="1"/>
    <col min="33" max="33" width="15.8515625" style="1121" hidden="1" customWidth="1" outlineLevel="1"/>
    <col min="34" max="34" width="16.00390625" style="1121" hidden="1" customWidth="1" outlineLevel="1"/>
    <col min="35" max="35" width="14.57421875" style="1121" hidden="1" customWidth="1" outlineLevel="1"/>
    <col min="36" max="36" width="17.140625" style="1121" hidden="1" customWidth="1" outlineLevel="1"/>
    <col min="37" max="37" width="18.00390625" style="1121" customWidth="1" collapsed="1"/>
    <col min="38" max="38" width="15.140625" style="1121" customWidth="1"/>
    <col min="39" max="39" width="12.28125" style="1121" customWidth="1"/>
    <col min="40" max="40" width="30.421875" style="1121" customWidth="1"/>
    <col min="41" max="41" width="3.140625" style="1121" customWidth="1"/>
    <col min="42" max="42" width="3.57421875" style="1121" customWidth="1"/>
    <col min="43" max="43" width="24.28125" style="1121" customWidth="1"/>
    <col min="44" max="44" width="4.7109375" style="1121" customWidth="1"/>
    <col min="45" max="45" width="7.57421875" style="1121" customWidth="1"/>
    <col min="46" max="47" width="4.140625" style="1121" customWidth="1"/>
    <col min="48" max="48" width="7.140625" style="1121" customWidth="1"/>
    <col min="49" max="49" width="5.28125" style="1121" customWidth="1"/>
    <col min="50" max="50" width="5.421875" style="1121" customWidth="1"/>
    <col min="51" max="51" width="4.7109375" style="1121" customWidth="1"/>
    <col min="52" max="52" width="5.28125" style="1121" customWidth="1"/>
    <col min="53" max="54" width="13.28125" style="1121" customWidth="1"/>
    <col min="55" max="55" width="6.57421875" style="1121" customWidth="1"/>
    <col min="56" max="56" width="6.421875" style="1121" customWidth="1"/>
    <col min="57" max="60" width="11.421875" style="1121" customWidth="1"/>
    <col min="61" max="61" width="12.7109375" style="1121" customWidth="1"/>
    <col min="62" max="64" width="11.421875" style="1121" customWidth="1"/>
    <col min="65" max="65" width="21.00390625" style="1121" customWidth="1"/>
    <col min="66" max="16384" width="11.421875" style="1121" customWidth="1"/>
  </cols>
  <sheetData>
    <row r="1" spans="1:39" s="872" customFormat="1" ht="26.25">
      <c r="A1" s="871"/>
      <c r="N1" s="871"/>
      <c r="W1" s="871"/>
      <c r="Z1" s="871"/>
      <c r="AA1" s="871"/>
      <c r="AB1" s="871"/>
      <c r="AC1" s="871"/>
      <c r="AD1" s="871"/>
      <c r="AE1" s="871"/>
      <c r="AM1" s="873"/>
    </row>
    <row r="2" spans="1:39" s="872" customFormat="1" ht="26.25">
      <c r="A2" s="871"/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5"/>
      <c r="O2" s="874"/>
      <c r="P2" s="874"/>
      <c r="Q2" s="874"/>
      <c r="R2" s="874"/>
      <c r="S2" s="874"/>
      <c r="T2" s="874"/>
      <c r="U2" s="874"/>
      <c r="V2" s="874"/>
      <c r="W2" s="875"/>
      <c r="X2" s="874"/>
      <c r="Y2" s="874"/>
      <c r="Z2" s="875"/>
      <c r="AA2" s="875"/>
      <c r="AB2" s="875"/>
      <c r="AC2" s="875"/>
      <c r="AD2" s="875"/>
      <c r="AE2" s="875"/>
      <c r="AF2" s="874"/>
      <c r="AG2" s="874"/>
      <c r="AH2" s="874"/>
      <c r="AI2" s="874"/>
      <c r="AJ2" s="874"/>
      <c r="AK2" s="874"/>
      <c r="AL2" s="874"/>
      <c r="AM2" s="874"/>
    </row>
    <row r="3" spans="1:31" s="877" customFormat="1" ht="12.75">
      <c r="A3" s="876"/>
      <c r="N3" s="876"/>
      <c r="W3" s="876"/>
      <c r="Z3" s="876"/>
      <c r="AA3" s="876"/>
      <c r="AB3" s="876"/>
      <c r="AC3" s="876"/>
      <c r="AD3" s="876"/>
      <c r="AE3" s="876"/>
    </row>
    <row r="4" spans="1:31" s="880" customFormat="1" ht="11.25">
      <c r="A4" s="878" t="s">
        <v>53</v>
      </c>
      <c r="B4" s="879"/>
      <c r="C4" s="879"/>
      <c r="D4" s="879"/>
      <c r="N4" s="881"/>
      <c r="W4" s="881"/>
      <c r="Z4" s="881"/>
      <c r="AA4" s="881"/>
      <c r="AB4" s="881"/>
      <c r="AC4" s="881"/>
      <c r="AD4" s="881"/>
      <c r="AE4" s="881"/>
    </row>
    <row r="5" spans="1:31" s="880" customFormat="1" ht="11.25">
      <c r="A5" s="878" t="s">
        <v>54</v>
      </c>
      <c r="B5" s="879"/>
      <c r="C5" s="879"/>
      <c r="D5" s="879"/>
      <c r="N5" s="881"/>
      <c r="W5" s="881"/>
      <c r="Z5" s="881"/>
      <c r="AA5" s="881"/>
      <c r="AB5" s="881"/>
      <c r="AC5" s="881"/>
      <c r="AD5" s="881"/>
      <c r="AE5" s="881"/>
    </row>
    <row r="6" spans="14:31" s="877" customFormat="1" ht="13.5" thickBot="1">
      <c r="N6" s="876"/>
      <c r="W6" s="876"/>
      <c r="Z6" s="876"/>
      <c r="AA6" s="876"/>
      <c r="AB6" s="876"/>
      <c r="AC6" s="876"/>
      <c r="AD6" s="876"/>
      <c r="AE6" s="876"/>
    </row>
    <row r="7" spans="2:39" s="877" customFormat="1" ht="13.5" thickTop="1">
      <c r="B7" s="882"/>
      <c r="C7" s="883"/>
      <c r="D7" s="883"/>
      <c r="E7" s="883"/>
      <c r="F7" s="883"/>
      <c r="G7" s="884"/>
      <c r="H7" s="883"/>
      <c r="I7" s="883"/>
      <c r="J7" s="883"/>
      <c r="K7" s="883"/>
      <c r="L7" s="883"/>
      <c r="M7" s="883"/>
      <c r="N7" s="885"/>
      <c r="O7" s="883"/>
      <c r="P7" s="883"/>
      <c r="Q7" s="883"/>
      <c r="R7" s="883"/>
      <c r="S7" s="883"/>
      <c r="T7" s="883"/>
      <c r="U7" s="883"/>
      <c r="V7" s="883"/>
      <c r="W7" s="885"/>
      <c r="X7" s="883"/>
      <c r="Y7" s="883"/>
      <c r="Z7" s="885"/>
      <c r="AA7" s="885"/>
      <c r="AB7" s="885"/>
      <c r="AC7" s="885"/>
      <c r="AD7" s="885"/>
      <c r="AE7" s="885"/>
      <c r="AF7" s="883"/>
      <c r="AG7" s="883"/>
      <c r="AH7" s="883"/>
      <c r="AI7" s="883"/>
      <c r="AJ7" s="883"/>
      <c r="AK7" s="883"/>
      <c r="AL7" s="883"/>
      <c r="AM7" s="886"/>
    </row>
    <row r="8" spans="2:39" s="794" customFormat="1" ht="20.25">
      <c r="B8" s="887"/>
      <c r="C8" s="797"/>
      <c r="D8" s="797"/>
      <c r="E8" s="797"/>
      <c r="F8" s="795" t="s">
        <v>69</v>
      </c>
      <c r="G8" s="797"/>
      <c r="H8" s="797"/>
      <c r="I8" s="797"/>
      <c r="J8" s="797"/>
      <c r="N8" s="798"/>
      <c r="P8" s="797"/>
      <c r="Q8" s="797"/>
      <c r="R8" s="799"/>
      <c r="S8" s="799"/>
      <c r="T8" s="797"/>
      <c r="U8" s="797"/>
      <c r="V8" s="797"/>
      <c r="W8" s="800"/>
      <c r="X8" s="797"/>
      <c r="Y8" s="797"/>
      <c r="Z8" s="800"/>
      <c r="AA8" s="800"/>
      <c r="AB8" s="800"/>
      <c r="AC8" s="800"/>
      <c r="AD8" s="800"/>
      <c r="AE8" s="800"/>
      <c r="AF8" s="797"/>
      <c r="AG8" s="797"/>
      <c r="AH8" s="797"/>
      <c r="AI8" s="797"/>
      <c r="AJ8" s="797"/>
      <c r="AK8" s="797"/>
      <c r="AL8" s="797"/>
      <c r="AM8" s="888"/>
    </row>
    <row r="9" spans="2:39" s="877" customFormat="1" ht="12.75">
      <c r="B9" s="889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1"/>
      <c r="O9" s="890"/>
      <c r="P9" s="890"/>
      <c r="Q9" s="890"/>
      <c r="R9" s="890"/>
      <c r="S9" s="890"/>
      <c r="T9" s="890"/>
      <c r="U9" s="890"/>
      <c r="V9" s="890"/>
      <c r="W9" s="891"/>
      <c r="X9" s="890"/>
      <c r="Y9" s="890"/>
      <c r="Z9" s="891"/>
      <c r="AA9" s="891"/>
      <c r="AB9" s="891"/>
      <c r="AC9" s="891"/>
      <c r="AD9" s="891"/>
      <c r="AE9" s="891"/>
      <c r="AF9" s="890"/>
      <c r="AG9" s="890"/>
      <c r="AH9" s="890"/>
      <c r="AI9" s="890"/>
      <c r="AJ9" s="890"/>
      <c r="AK9" s="890"/>
      <c r="AL9" s="890"/>
      <c r="AM9" s="892"/>
    </row>
    <row r="10" spans="2:39" s="794" customFormat="1" ht="20.25">
      <c r="B10" s="887"/>
      <c r="C10" s="797"/>
      <c r="D10" s="797"/>
      <c r="E10" s="797"/>
      <c r="F10" s="174" t="s">
        <v>70</v>
      </c>
      <c r="G10" s="797"/>
      <c r="H10" s="797"/>
      <c r="I10" s="797"/>
      <c r="J10" s="797"/>
      <c r="K10" s="797"/>
      <c r="L10" s="797"/>
      <c r="M10" s="797"/>
      <c r="N10" s="800"/>
      <c r="O10" s="797"/>
      <c r="P10" s="797"/>
      <c r="Q10" s="797"/>
      <c r="R10" s="797"/>
      <c r="S10" s="797"/>
      <c r="T10" s="797"/>
      <c r="U10" s="797"/>
      <c r="V10" s="797"/>
      <c r="W10" s="800"/>
      <c r="X10" s="797"/>
      <c r="Y10" s="797"/>
      <c r="Z10" s="800"/>
      <c r="AA10" s="800"/>
      <c r="AB10" s="800"/>
      <c r="AC10" s="800"/>
      <c r="AD10" s="800"/>
      <c r="AE10" s="800"/>
      <c r="AF10" s="797"/>
      <c r="AG10" s="797"/>
      <c r="AH10" s="797"/>
      <c r="AI10" s="797"/>
      <c r="AJ10" s="797"/>
      <c r="AK10" s="797"/>
      <c r="AL10" s="797"/>
      <c r="AM10" s="888"/>
    </row>
    <row r="11" spans="2:39" s="877" customFormat="1" ht="27.75" customHeight="1">
      <c r="B11" s="889"/>
      <c r="C11" s="890"/>
      <c r="D11" s="890"/>
      <c r="E11" s="890"/>
      <c r="F11" s="799" t="s">
        <v>278</v>
      </c>
      <c r="G11" s="890"/>
      <c r="H11" s="890"/>
      <c r="I11" s="890"/>
      <c r="J11" s="890"/>
      <c r="K11" s="890"/>
      <c r="L11" s="890"/>
      <c r="M11" s="890"/>
      <c r="N11" s="891"/>
      <c r="O11" s="890"/>
      <c r="P11" s="890"/>
      <c r="Q11" s="890"/>
      <c r="R11" s="890"/>
      <c r="S11" s="890"/>
      <c r="T11" s="890"/>
      <c r="U11" s="890"/>
      <c r="V11" s="890"/>
      <c r="W11" s="891"/>
      <c r="X11" s="890"/>
      <c r="Y11" s="890"/>
      <c r="Z11" s="891"/>
      <c r="AA11" s="891"/>
      <c r="AB11" s="891"/>
      <c r="AC11" s="891"/>
      <c r="AD11" s="891"/>
      <c r="AE11" s="891"/>
      <c r="AF11" s="890"/>
      <c r="AG11" s="890"/>
      <c r="AH11" s="890"/>
      <c r="AI11" s="890"/>
      <c r="AJ11" s="890"/>
      <c r="AK11" s="890"/>
      <c r="AL11" s="890"/>
      <c r="AM11" s="892"/>
    </row>
    <row r="12" spans="2:39" s="877" customFormat="1" ht="27.75" customHeight="1">
      <c r="B12" s="889"/>
      <c r="C12" s="890"/>
      <c r="D12" s="890"/>
      <c r="E12" s="890"/>
      <c r="F12" s="799"/>
      <c r="G12" s="890"/>
      <c r="H12" s="890"/>
      <c r="I12" s="890"/>
      <c r="J12" s="890"/>
      <c r="K12" s="890"/>
      <c r="L12" s="890"/>
      <c r="M12" s="890"/>
      <c r="N12" s="891"/>
      <c r="O12" s="890"/>
      <c r="P12" s="890"/>
      <c r="Q12" s="890"/>
      <c r="R12" s="890"/>
      <c r="S12" s="890"/>
      <c r="T12" s="890"/>
      <c r="U12" s="890"/>
      <c r="V12" s="890"/>
      <c r="W12" s="891"/>
      <c r="X12" s="890"/>
      <c r="Y12" s="890"/>
      <c r="Z12" s="891"/>
      <c r="AA12" s="891"/>
      <c r="AB12" s="891"/>
      <c r="AC12" s="891"/>
      <c r="AD12" s="891"/>
      <c r="AE12" s="891"/>
      <c r="AF12" s="890"/>
      <c r="AG12" s="890"/>
      <c r="AH12" s="890"/>
      <c r="AI12" s="890"/>
      <c r="AJ12" s="890"/>
      <c r="AK12" s="890"/>
      <c r="AL12" s="890"/>
      <c r="AM12" s="892"/>
    </row>
    <row r="13" spans="2:73" s="893" customFormat="1" ht="19.5">
      <c r="B13" s="894"/>
      <c r="C13" s="895"/>
      <c r="D13" s="895"/>
      <c r="E13" s="895"/>
      <c r="F13" s="895" t="str">
        <f>'tot-0103'!B14</f>
        <v>Desde el 01 al 31 de marzo de 2001</v>
      </c>
      <c r="G13" s="895"/>
      <c r="H13" s="895"/>
      <c r="I13" s="895"/>
      <c r="J13" s="895"/>
      <c r="K13" s="895"/>
      <c r="L13" s="896"/>
      <c r="M13" s="896"/>
      <c r="N13" s="896"/>
      <c r="O13" s="896"/>
      <c r="P13" s="897"/>
      <c r="Q13" s="897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8"/>
      <c r="AN13" s="899"/>
      <c r="AO13" s="899"/>
      <c r="AP13" s="899"/>
      <c r="AQ13" s="899"/>
      <c r="AR13" s="899"/>
      <c r="AS13" s="899"/>
      <c r="AT13" s="899"/>
      <c r="AU13" s="899"/>
      <c r="AV13" s="899"/>
      <c r="AW13" s="899"/>
      <c r="AX13" s="899"/>
      <c r="AY13" s="899"/>
      <c r="AZ13" s="899"/>
      <c r="BA13" s="899"/>
      <c r="BB13" s="899"/>
      <c r="BC13" s="899"/>
      <c r="BD13" s="899"/>
      <c r="BE13" s="899"/>
      <c r="BF13" s="899"/>
      <c r="BG13" s="899"/>
      <c r="BH13" s="899"/>
      <c r="BI13" s="899"/>
      <c r="BJ13" s="899"/>
      <c r="BK13" s="899"/>
      <c r="BL13" s="899"/>
      <c r="BM13" s="899"/>
      <c r="BN13" s="899"/>
      <c r="BO13" s="899"/>
      <c r="BP13" s="899"/>
      <c r="BQ13" s="899"/>
      <c r="BR13" s="899"/>
      <c r="BS13" s="899"/>
      <c r="BT13" s="899"/>
      <c r="BU13" s="899"/>
    </row>
    <row r="14" spans="2:73" s="893" customFormat="1" ht="9.75" customHeight="1">
      <c r="B14" s="894"/>
      <c r="C14" s="895"/>
      <c r="D14" s="895"/>
      <c r="E14" s="895"/>
      <c r="F14" s="895"/>
      <c r="G14" s="895"/>
      <c r="H14" s="895"/>
      <c r="I14" s="895"/>
      <c r="J14" s="895"/>
      <c r="K14" s="895"/>
      <c r="L14" s="896"/>
      <c r="M14" s="896"/>
      <c r="N14" s="896"/>
      <c r="O14" s="896"/>
      <c r="P14" s="897"/>
      <c r="Q14" s="897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  <c r="AL14" s="896"/>
      <c r="AM14" s="898"/>
      <c r="AN14" s="899"/>
      <c r="AO14" s="899"/>
      <c r="AP14" s="899"/>
      <c r="AQ14" s="899"/>
      <c r="AR14" s="899"/>
      <c r="AS14" s="899"/>
      <c r="AT14" s="899"/>
      <c r="AU14" s="899"/>
      <c r="AV14" s="899"/>
      <c r="AW14" s="899"/>
      <c r="AX14" s="899"/>
      <c r="AY14" s="899"/>
      <c r="AZ14" s="899"/>
      <c r="BA14" s="899"/>
      <c r="BB14" s="899"/>
      <c r="BC14" s="899"/>
      <c r="BD14" s="899"/>
      <c r="BE14" s="899"/>
      <c r="BF14" s="899"/>
      <c r="BG14" s="899"/>
      <c r="BH14" s="899"/>
      <c r="BI14" s="899"/>
      <c r="BJ14" s="899"/>
      <c r="BK14" s="899"/>
      <c r="BL14" s="899"/>
      <c r="BM14" s="899"/>
      <c r="BN14" s="899"/>
      <c r="BO14" s="899"/>
      <c r="BP14" s="899"/>
      <c r="BQ14" s="899"/>
      <c r="BR14" s="899"/>
      <c r="BS14" s="899"/>
      <c r="BT14" s="899"/>
      <c r="BU14" s="899"/>
    </row>
    <row r="15" spans="2:73" s="877" customFormat="1" ht="42.75" customHeight="1" thickBot="1">
      <c r="B15" s="889"/>
      <c r="C15" s="890"/>
      <c r="D15" s="890"/>
      <c r="E15" s="890"/>
      <c r="F15" s="890"/>
      <c r="G15" s="900"/>
      <c r="H15" s="900"/>
      <c r="I15" s="890"/>
      <c r="J15" s="890"/>
      <c r="K15" s="890"/>
      <c r="L15" s="901"/>
      <c r="M15" s="902"/>
      <c r="N15" s="903"/>
      <c r="O15" s="903"/>
      <c r="P15" s="902"/>
      <c r="Q15" s="902"/>
      <c r="R15" s="902"/>
      <c r="S15" s="903"/>
      <c r="T15" s="903"/>
      <c r="U15" s="903"/>
      <c r="V15" s="903"/>
      <c r="W15" s="903"/>
      <c r="X15" s="901"/>
      <c r="Y15" s="902"/>
      <c r="Z15" s="903"/>
      <c r="AA15" s="903"/>
      <c r="AB15" s="902"/>
      <c r="AC15" s="902"/>
      <c r="AD15" s="902"/>
      <c r="AE15" s="903"/>
      <c r="AF15" s="903"/>
      <c r="AG15" s="903"/>
      <c r="AH15" s="903"/>
      <c r="AI15" s="903"/>
      <c r="AJ15" s="903"/>
      <c r="AK15" s="903"/>
      <c r="AL15" s="903"/>
      <c r="AM15" s="892"/>
      <c r="AN15" s="876"/>
      <c r="AO15" s="876"/>
      <c r="AP15" s="876"/>
      <c r="AQ15" s="876"/>
      <c r="AR15" s="876"/>
      <c r="AS15" s="876"/>
      <c r="AT15" s="876"/>
      <c r="AU15" s="876"/>
      <c r="AV15" s="876"/>
      <c r="AW15" s="876"/>
      <c r="AX15" s="876"/>
      <c r="AY15" s="876"/>
      <c r="AZ15" s="876"/>
      <c r="BA15" s="876"/>
      <c r="BB15" s="876"/>
      <c r="BC15" s="876"/>
      <c r="BD15" s="876"/>
      <c r="BE15" s="876"/>
      <c r="BF15" s="876"/>
      <c r="BG15" s="876"/>
      <c r="BH15" s="876"/>
      <c r="BI15" s="876"/>
      <c r="BJ15" s="876"/>
      <c r="BK15" s="876"/>
      <c r="BL15" s="876"/>
      <c r="BM15" s="876"/>
      <c r="BN15" s="876"/>
      <c r="BO15" s="876"/>
      <c r="BP15" s="876"/>
      <c r="BQ15" s="876"/>
      <c r="BR15" s="876"/>
      <c r="BS15" s="876"/>
      <c r="BT15" s="876"/>
      <c r="BU15" s="876"/>
    </row>
    <row r="16" spans="2:39" s="877" customFormat="1" ht="16.5" customHeight="1" thickBot="1" thickTop="1">
      <c r="B16" s="889"/>
      <c r="C16" s="890"/>
      <c r="D16" s="890"/>
      <c r="E16" s="890"/>
      <c r="F16" s="904" t="s">
        <v>72</v>
      </c>
      <c r="G16" s="905">
        <f>'LI-0103'!E16</f>
        <v>55.308</v>
      </c>
      <c r="H16" s="906"/>
      <c r="I16" s="890"/>
      <c r="J16" s="890"/>
      <c r="K16" s="890"/>
      <c r="L16" s="907"/>
      <c r="M16" s="890"/>
      <c r="N16" s="891"/>
      <c r="O16" s="890"/>
      <c r="P16" s="890"/>
      <c r="Q16" s="890"/>
      <c r="R16" s="890"/>
      <c r="S16" s="890"/>
      <c r="T16" s="908" t="s">
        <v>250</v>
      </c>
      <c r="U16" s="909"/>
      <c r="V16" s="910"/>
      <c r="W16" s="891"/>
      <c r="X16" s="890"/>
      <c r="Y16" s="890"/>
      <c r="Z16" s="891"/>
      <c r="AA16" s="891"/>
      <c r="AB16" s="891"/>
      <c r="AC16" s="891"/>
      <c r="AD16" s="891"/>
      <c r="AE16" s="891"/>
      <c r="AF16" s="890"/>
      <c r="AG16" s="890"/>
      <c r="AH16" s="911" t="s">
        <v>250</v>
      </c>
      <c r="AI16" s="912"/>
      <c r="AJ16" s="913"/>
      <c r="AK16" s="890"/>
      <c r="AL16" s="890"/>
      <c r="AM16" s="892"/>
    </row>
    <row r="17" spans="2:39" s="877" customFormat="1" ht="16.5" customHeight="1" thickBot="1" thickTop="1">
      <c r="B17" s="889"/>
      <c r="C17" s="890"/>
      <c r="D17" s="890"/>
      <c r="E17" s="890"/>
      <c r="F17" s="904" t="s">
        <v>73</v>
      </c>
      <c r="G17" s="905">
        <f>'LI-0103'!E17</f>
        <v>46.09</v>
      </c>
      <c r="H17" s="906"/>
      <c r="I17" s="890"/>
      <c r="J17" s="890"/>
      <c r="K17" s="890"/>
      <c r="L17" s="907"/>
      <c r="M17" s="914"/>
      <c r="N17" s="891"/>
      <c r="O17" s="890"/>
      <c r="P17" s="890"/>
      <c r="Q17" s="890"/>
      <c r="R17" s="890"/>
      <c r="S17" s="890"/>
      <c r="T17" s="915" t="s">
        <v>251</v>
      </c>
      <c r="U17" s="916"/>
      <c r="V17" s="917"/>
      <c r="W17" s="876"/>
      <c r="X17" s="918"/>
      <c r="Z17" s="876"/>
      <c r="AA17" s="876"/>
      <c r="AB17" s="876"/>
      <c r="AC17" s="876"/>
      <c r="AD17" s="876"/>
      <c r="AE17" s="876"/>
      <c r="AH17" s="919" t="s">
        <v>252</v>
      </c>
      <c r="AI17" s="920"/>
      <c r="AJ17" s="921"/>
      <c r="AK17" s="922"/>
      <c r="AL17" s="922"/>
      <c r="AM17" s="923"/>
    </row>
    <row r="18" spans="2:39" s="877" customFormat="1" ht="14.25" thickBot="1" thickTop="1">
      <c r="B18" s="889"/>
      <c r="C18" s="890"/>
      <c r="D18" s="890"/>
      <c r="E18" s="890"/>
      <c r="F18" s="890"/>
      <c r="G18" s="924"/>
      <c r="H18" s="890"/>
      <c r="I18" s="890"/>
      <c r="J18" s="890"/>
      <c r="K18" s="890"/>
      <c r="L18" s="890"/>
      <c r="M18" s="890"/>
      <c r="N18" s="891"/>
      <c r="O18" s="890"/>
      <c r="P18" s="925"/>
      <c r="Q18" s="890"/>
      <c r="R18" s="890"/>
      <c r="S18" s="890"/>
      <c r="T18" s="926" t="s">
        <v>253</v>
      </c>
      <c r="U18" s="927"/>
      <c r="V18" s="928"/>
      <c r="W18" s="891"/>
      <c r="X18" s="890"/>
      <c r="Y18" s="890"/>
      <c r="Z18" s="891"/>
      <c r="AA18" s="891"/>
      <c r="AB18" s="891"/>
      <c r="AC18" s="891"/>
      <c r="AD18" s="891"/>
      <c r="AE18" s="891"/>
      <c r="AF18" s="890"/>
      <c r="AG18" s="890"/>
      <c r="AH18" s="929" t="s">
        <v>254</v>
      </c>
      <c r="AI18" s="930"/>
      <c r="AJ18" s="931"/>
      <c r="AK18" s="890"/>
      <c r="AL18" s="890"/>
      <c r="AM18" s="892"/>
    </row>
    <row r="19" spans="2:39" s="877" customFormat="1" ht="39.75" thickBot="1" thickTop="1">
      <c r="B19" s="889"/>
      <c r="C19" s="890"/>
      <c r="D19" s="932" t="s">
        <v>255</v>
      </c>
      <c r="E19" s="933" t="s">
        <v>74</v>
      </c>
      <c r="F19" s="934" t="s">
        <v>56</v>
      </c>
      <c r="G19" s="935" t="s">
        <v>75</v>
      </c>
      <c r="H19" s="936" t="s">
        <v>76</v>
      </c>
      <c r="I19" s="937" t="s">
        <v>77</v>
      </c>
      <c r="J19" s="938" t="s">
        <v>78</v>
      </c>
      <c r="K19" s="939" t="s">
        <v>79</v>
      </c>
      <c r="L19" s="934" t="s">
        <v>80</v>
      </c>
      <c r="M19" s="940" t="s">
        <v>81</v>
      </c>
      <c r="N19" s="941" t="s">
        <v>82</v>
      </c>
      <c r="O19" s="942" t="s">
        <v>83</v>
      </c>
      <c r="P19" s="943" t="s">
        <v>84</v>
      </c>
      <c r="Q19" s="936" t="s">
        <v>85</v>
      </c>
      <c r="R19" s="940" t="s">
        <v>86</v>
      </c>
      <c r="S19" s="934" t="s">
        <v>87</v>
      </c>
      <c r="T19" s="944" t="s">
        <v>90</v>
      </c>
      <c r="U19" s="945"/>
      <c r="V19" s="946"/>
      <c r="W19" s="947" t="s">
        <v>256</v>
      </c>
      <c r="X19" s="948" t="s">
        <v>257</v>
      </c>
      <c r="Y19" s="948" t="s">
        <v>258</v>
      </c>
      <c r="Z19" s="949" t="s">
        <v>259</v>
      </c>
      <c r="AA19" s="949" t="s">
        <v>260</v>
      </c>
      <c r="AB19" s="949" t="s">
        <v>261</v>
      </c>
      <c r="AC19" s="949" t="s">
        <v>262</v>
      </c>
      <c r="AD19" s="949" t="s">
        <v>263</v>
      </c>
      <c r="AE19" s="950" t="s">
        <v>264</v>
      </c>
      <c r="AF19" s="950" t="s">
        <v>265</v>
      </c>
      <c r="AG19" s="950" t="s">
        <v>266</v>
      </c>
      <c r="AH19" s="944" t="s">
        <v>90</v>
      </c>
      <c r="AI19" s="945"/>
      <c r="AJ19" s="946"/>
      <c r="AK19" s="949" t="s">
        <v>267</v>
      </c>
      <c r="AL19" s="948" t="s">
        <v>95</v>
      </c>
      <c r="AM19" s="951"/>
    </row>
    <row r="20" spans="2:39" s="877" customFormat="1" ht="16.5" customHeight="1" thickBot="1" thickTop="1">
      <c r="B20" s="889"/>
      <c r="C20" s="952"/>
      <c r="D20" s="953"/>
      <c r="E20" s="954"/>
      <c r="F20" s="955"/>
      <c r="G20" s="956"/>
      <c r="H20" s="955"/>
      <c r="I20" s="955"/>
      <c r="J20" s="957"/>
      <c r="K20" s="958"/>
      <c r="L20" s="959"/>
      <c r="M20" s="960"/>
      <c r="N20" s="961"/>
      <c r="O20" s="961"/>
      <c r="P20" s="962"/>
      <c r="Q20" s="961"/>
      <c r="R20" s="961"/>
      <c r="S20" s="961"/>
      <c r="T20" s="963"/>
      <c r="U20" s="963"/>
      <c r="V20" s="964"/>
      <c r="W20" s="965"/>
      <c r="X20" s="953"/>
      <c r="Y20" s="966"/>
      <c r="Z20" s="966"/>
      <c r="AA20" s="967"/>
      <c r="AB20" s="967"/>
      <c r="AC20" s="967"/>
      <c r="AD20" s="968"/>
      <c r="AE20" s="969"/>
      <c r="AF20" s="969"/>
      <c r="AG20" s="969"/>
      <c r="AH20" s="963"/>
      <c r="AI20" s="963"/>
      <c r="AJ20" s="964"/>
      <c r="AK20" s="970"/>
      <c r="AL20" s="971"/>
      <c r="AM20" s="892"/>
    </row>
    <row r="21" spans="2:39" s="877" customFormat="1" ht="16.5" customHeight="1" thickBot="1" thickTop="1">
      <c r="B21" s="889"/>
      <c r="C21" s="972"/>
      <c r="D21" s="973"/>
      <c r="E21" s="974"/>
      <c r="F21" s="975"/>
      <c r="G21" s="976"/>
      <c r="H21" s="975"/>
      <c r="I21" s="975"/>
      <c r="J21" s="977"/>
      <c r="K21" s="978"/>
      <c r="L21" s="979"/>
      <c r="M21" s="980"/>
      <c r="N21" s="981"/>
      <c r="O21" s="981"/>
      <c r="P21" s="982"/>
      <c r="Q21" s="981"/>
      <c r="R21" s="981"/>
      <c r="S21" s="981"/>
      <c r="T21" s="983"/>
      <c r="U21" s="983"/>
      <c r="V21" s="984"/>
      <c r="W21" s="985"/>
      <c r="X21" s="973"/>
      <c r="Y21" s="986"/>
      <c r="Z21" s="986"/>
      <c r="AA21" s="987"/>
      <c r="AB21" s="987"/>
      <c r="AC21" s="987"/>
      <c r="AD21" s="988"/>
      <c r="AE21" s="989"/>
      <c r="AF21" s="989"/>
      <c r="AG21" s="989"/>
      <c r="AH21" s="983"/>
      <c r="AI21" s="983"/>
      <c r="AJ21" s="984"/>
      <c r="AK21" s="990"/>
      <c r="AL21" s="991"/>
      <c r="AM21" s="892"/>
    </row>
    <row r="22" spans="2:39" s="876" customFormat="1" ht="16.5" customHeight="1">
      <c r="B22" s="992"/>
      <c r="C22" s="1342" t="s">
        <v>268</v>
      </c>
      <c r="D22" s="993"/>
      <c r="E22" s="994">
        <v>8</v>
      </c>
      <c r="F22" s="995" t="s">
        <v>14</v>
      </c>
      <c r="G22" s="995">
        <v>500</v>
      </c>
      <c r="H22" s="995">
        <v>421</v>
      </c>
      <c r="I22" s="995" t="s">
        <v>6</v>
      </c>
      <c r="J22" s="996">
        <f aca="true" t="shared" si="0" ref="J22:J29">IF(I22="A",200,IF(I22="B",60,20))</f>
        <v>200</v>
      </c>
      <c r="K22" s="997">
        <f aca="true" t="shared" si="1" ref="K22:K29">IF(G22=500,IF(H22&lt;100,100*$G$16/100,H22*$G$16/100),IF(H22&lt;100,100*$G$17/100,H22*$G$17/100))</f>
        <v>232.84668000000002</v>
      </c>
      <c r="L22" s="998">
        <v>36959.84722222222</v>
      </c>
      <c r="M22" s="999">
        <v>36961.569444444445</v>
      </c>
      <c r="N22" s="1000">
        <f aca="true" t="shared" si="2" ref="N22:N29">IF(F22="","",(M22-L22)*24)</f>
        <v>41.333333333430346</v>
      </c>
      <c r="O22" s="1001">
        <f aca="true" t="shared" si="3" ref="O22:O29">IF(F22="","",ROUND((M22-L22)*24*60,0))</f>
        <v>2480</v>
      </c>
      <c r="P22" s="1002" t="s">
        <v>178</v>
      </c>
      <c r="Q22" s="1003" t="str">
        <f aca="true" t="shared" si="4" ref="Q22:Q29">IF(F22="","","--")</f>
        <v>--</v>
      </c>
      <c r="R22" s="1004" t="str">
        <f aca="true" t="shared" si="5" ref="R22:R29">IF(F22="","","NO")</f>
        <v>NO</v>
      </c>
      <c r="S22" s="1004" t="str">
        <f aca="true" t="shared" si="6" ref="S22:S29">IF(F22="","",IF(OR(P22="P",P22="RP"),"--","NO"))</f>
        <v>NO</v>
      </c>
      <c r="T22" s="1005">
        <f aca="true" t="shared" si="7" ref="T22:T29">IF(AND(P22="F",S22="NO"),K22*J22*IF(R22="SI",1.2,1),"--")</f>
        <v>46569.336</v>
      </c>
      <c r="U22" s="1005">
        <f aca="true" t="shared" si="8" ref="U22:U29">IF(AND(P22="F",AE22&gt;=10),K22*J22*IF(R22="SI",1.2,1)*IF(AE22&lt;=300,ROUND(AE22/60,2),5),"--")</f>
        <v>232846.68000000002</v>
      </c>
      <c r="V22" s="1006">
        <f aca="true" t="shared" si="9" ref="V22:V29">IF(AND(P22="F",AE22&gt;300),(ROUND(AE22/60,2)-5)*K22*J22*0.1*IF(R22="SI",1.2,1),"--")</f>
        <v>786462.9463680001</v>
      </c>
      <c r="W22" s="1007">
        <f aca="true" t="shared" si="10" ref="W22:W29">IF(F22="","",SUM(T22:V22)*IF(X22="SI",1,2))</f>
        <v>1065878.962368</v>
      </c>
      <c r="X22" s="1008" t="str">
        <f aca="true" t="shared" si="11" ref="X22:X29">IF(F22="","","SI")</f>
        <v>SI</v>
      </c>
      <c r="Y22" s="1009">
        <v>4</v>
      </c>
      <c r="Z22" s="1010">
        <v>0</v>
      </c>
      <c r="AA22" s="1011">
        <f>IF(F22="","",'tiempos E.T'!$D$31)</f>
        <v>0.7</v>
      </c>
      <c r="AB22" s="1012">
        <f>IF(F22="","",'tiempos E.T'!$D$33+Z22)</f>
        <v>82.80000000000001</v>
      </c>
      <c r="AC22" s="1012">
        <f>IF(F22="","",'tiempos E.T'!$D$34)</f>
        <v>165.60000000000002</v>
      </c>
      <c r="AD22" s="1013">
        <f aca="true" t="shared" si="12" ref="AD22:AD29">IF(F22="","",(AC22+AB22)*AA22)</f>
        <v>173.88000000000002</v>
      </c>
      <c r="AE22" s="1014">
        <f aca="true" t="shared" si="13" ref="AE22:AE29">AD22*60</f>
        <v>10432.800000000001</v>
      </c>
      <c r="AF22" s="1015">
        <f aca="true" t="shared" si="14" ref="AF22:AF29">LOG(W22)/LOG(AC22)</f>
        <v>2.716333486894012</v>
      </c>
      <c r="AG22" s="1015">
        <f aca="true" t="shared" si="15" ref="AG22:AG29">1/(2*Y22)</f>
        <v>0.125</v>
      </c>
      <c r="AH22" s="1005">
        <f aca="true" t="shared" si="16" ref="AH22:AH29">IF(AND(P22="F",S22="NO"),K22*J22*IF(R22="SI",1.2,1),"--")</f>
        <v>46569.336</v>
      </c>
      <c r="AI22" s="1005">
        <f aca="true" t="shared" si="17" ref="AI22:AI29">IF(AND(P22="F",O22&gt;=10),K22*J22*IF(R22="SI",1.2,1)*IF(O22&lt;=300,ROUND(O22/60,2),5),"--")</f>
        <v>232846.68000000002</v>
      </c>
      <c r="AJ22" s="1006">
        <f aca="true" t="shared" si="18" ref="AJ22:AJ29">IF(AND(P22="F",O22&gt;300),(ROUND(O22/60,2)-5)*K22*J22*0.1*IF(R22="SI",1.2,1),"--")</f>
        <v>169186.397688</v>
      </c>
      <c r="AK22" s="1016">
        <f aca="true" t="shared" si="19" ref="AK22:AK29">IF(F22="","",SUM(AH22:AJ22)*IF(X22="SI",1,2))</f>
        <v>448602.413688</v>
      </c>
      <c r="AL22" s="1017">
        <f aca="true" t="shared" si="20" ref="AL22:AL29">IF(F22=""," ",IF(N22&lt;=AB22,0,(IF(N22&gt;AD22,AK22,(N22-AB22)^AF22*1/(1-AG22*(N22-AD22))))))</f>
        <v>0</v>
      </c>
      <c r="AM22" s="1018"/>
    </row>
    <row r="23" spans="2:39" s="876" customFormat="1" ht="16.5" customHeight="1">
      <c r="B23" s="992"/>
      <c r="C23" s="1343"/>
      <c r="D23" s="1019"/>
      <c r="E23" s="1020">
        <v>9</v>
      </c>
      <c r="F23" s="1021" t="s">
        <v>15</v>
      </c>
      <c r="G23" s="1022">
        <v>500</v>
      </c>
      <c r="H23" s="1023">
        <v>421</v>
      </c>
      <c r="I23" s="1022" t="s">
        <v>6</v>
      </c>
      <c r="J23" s="1024">
        <f t="shared" si="0"/>
        <v>200</v>
      </c>
      <c r="K23" s="1025">
        <f t="shared" si="1"/>
        <v>232.84668000000002</v>
      </c>
      <c r="L23" s="1026">
        <v>36959.84722222222</v>
      </c>
      <c r="M23" s="1027">
        <v>36963.893055555556</v>
      </c>
      <c r="N23" s="1028">
        <f t="shared" si="2"/>
        <v>97.10000000009313</v>
      </c>
      <c r="O23" s="1029">
        <f t="shared" si="3"/>
        <v>5826</v>
      </c>
      <c r="P23" s="1030" t="s">
        <v>178</v>
      </c>
      <c r="Q23" s="1031" t="str">
        <f t="shared" si="4"/>
        <v>--</v>
      </c>
      <c r="R23" s="1032" t="str">
        <f t="shared" si="5"/>
        <v>NO</v>
      </c>
      <c r="S23" s="1032" t="str">
        <f t="shared" si="6"/>
        <v>NO</v>
      </c>
      <c r="T23" s="1033">
        <f t="shared" si="7"/>
        <v>46569.336</v>
      </c>
      <c r="U23" s="1033">
        <f t="shared" si="8"/>
        <v>232846.68000000002</v>
      </c>
      <c r="V23" s="1034">
        <f t="shared" si="9"/>
        <v>786462.9463680001</v>
      </c>
      <c r="W23" s="1035">
        <f t="shared" si="10"/>
        <v>1065878.962368</v>
      </c>
      <c r="X23" s="1036" t="str">
        <f t="shared" si="11"/>
        <v>SI</v>
      </c>
      <c r="Y23" s="1037">
        <v>19</v>
      </c>
      <c r="Z23" s="1038">
        <v>0</v>
      </c>
      <c r="AA23" s="1039">
        <f>IF(F23="","",'tiempos E.T'!$D$31)</f>
        <v>0.7</v>
      </c>
      <c r="AB23" s="1040">
        <f>IF(F23="","",'tiempos E.T'!$D$33+Z23)</f>
        <v>82.80000000000001</v>
      </c>
      <c r="AC23" s="1040">
        <f>IF(F23="","",'tiempos E.T'!$D$34)</f>
        <v>165.60000000000002</v>
      </c>
      <c r="AD23" s="1041">
        <f t="shared" si="12"/>
        <v>173.88000000000002</v>
      </c>
      <c r="AE23" s="1042">
        <f t="shared" si="13"/>
        <v>10432.800000000001</v>
      </c>
      <c r="AF23" s="1043">
        <f t="shared" si="14"/>
        <v>2.716333486894012</v>
      </c>
      <c r="AG23" s="1043">
        <f t="shared" si="15"/>
        <v>0.02631578947368421</v>
      </c>
      <c r="AH23" s="1044">
        <f t="shared" si="16"/>
        <v>46569.336</v>
      </c>
      <c r="AI23" s="1044">
        <f t="shared" si="17"/>
        <v>232846.68000000002</v>
      </c>
      <c r="AJ23" s="1045">
        <f t="shared" si="18"/>
        <v>428903.5845600001</v>
      </c>
      <c r="AK23" s="1046">
        <f t="shared" si="19"/>
        <v>708319.6005600002</v>
      </c>
      <c r="AL23" s="1047">
        <f t="shared" si="20"/>
        <v>455.1927574418735</v>
      </c>
      <c r="AM23" s="1018"/>
    </row>
    <row r="24" spans="2:39" s="876" customFormat="1" ht="16.5" customHeight="1">
      <c r="B24" s="992"/>
      <c r="C24" s="1343"/>
      <c r="D24" s="1019"/>
      <c r="E24" s="1020"/>
      <c r="F24" s="1021"/>
      <c r="G24" s="1022"/>
      <c r="H24" s="1023"/>
      <c r="I24" s="1022"/>
      <c r="J24" s="1024">
        <f t="shared" si="0"/>
        <v>20</v>
      </c>
      <c r="K24" s="1025">
        <f t="shared" si="1"/>
        <v>46.09</v>
      </c>
      <c r="L24" s="1048"/>
      <c r="M24" s="1048"/>
      <c r="N24" s="1028">
        <f t="shared" si="2"/>
      </c>
      <c r="O24" s="1029">
        <f t="shared" si="3"/>
      </c>
      <c r="P24" s="1049"/>
      <c r="Q24" s="1031">
        <f t="shared" si="4"/>
      </c>
      <c r="R24" s="1032">
        <f t="shared" si="5"/>
      </c>
      <c r="S24" s="1032">
        <f t="shared" si="6"/>
      </c>
      <c r="T24" s="1033" t="str">
        <f t="shared" si="7"/>
        <v>--</v>
      </c>
      <c r="U24" s="1033" t="e">
        <f t="shared" si="8"/>
        <v>#VALUE!</v>
      </c>
      <c r="V24" s="1034" t="e">
        <f t="shared" si="9"/>
        <v>#VALUE!</v>
      </c>
      <c r="W24" s="1050">
        <f t="shared" si="10"/>
      </c>
      <c r="X24" s="1036">
        <f t="shared" si="11"/>
      </c>
      <c r="Y24" s="1051"/>
      <c r="Z24" s="1052"/>
      <c r="AA24" s="1039">
        <f>IF(F24="","",'tiempos E.T'!$D$31)</f>
      </c>
      <c r="AB24" s="1040">
        <f>IF(F24="","",'tiempos E.T'!$D$33+Z24)</f>
      </c>
      <c r="AC24" s="1040">
        <f>IF(F24="","",'tiempos E.T'!$D$34)</f>
      </c>
      <c r="AD24" s="1054">
        <f t="shared" si="12"/>
      </c>
      <c r="AE24" s="1055" t="e">
        <f t="shared" si="13"/>
        <v>#VALUE!</v>
      </c>
      <c r="AF24" s="1056" t="e">
        <f t="shared" si="14"/>
        <v>#VALUE!</v>
      </c>
      <c r="AG24" s="1056" t="e">
        <f t="shared" si="15"/>
        <v>#DIV/0!</v>
      </c>
      <c r="AH24" s="1033" t="str">
        <f t="shared" si="16"/>
        <v>--</v>
      </c>
      <c r="AI24" s="1033" t="str">
        <f t="shared" si="17"/>
        <v>--</v>
      </c>
      <c r="AJ24" s="1034" t="str">
        <f t="shared" si="18"/>
        <v>--</v>
      </c>
      <c r="AK24" s="1054">
        <f t="shared" si="19"/>
      </c>
      <c r="AL24" s="1054" t="str">
        <f t="shared" si="20"/>
        <v> </v>
      </c>
      <c r="AM24" s="1018"/>
    </row>
    <row r="25" spans="2:39" s="891" customFormat="1" ht="16.5" customHeight="1" thickBot="1">
      <c r="B25" s="992"/>
      <c r="C25" s="1344"/>
      <c r="D25" s="1057"/>
      <c r="E25" s="1058"/>
      <c r="F25" s="1059"/>
      <c r="G25" s="1060"/>
      <c r="H25" s="1061"/>
      <c r="I25" s="1060"/>
      <c r="J25" s="1062">
        <f t="shared" si="0"/>
        <v>20</v>
      </c>
      <c r="K25" s="1063">
        <f t="shared" si="1"/>
        <v>46.09</v>
      </c>
      <c r="L25" s="1064"/>
      <c r="M25" s="1064"/>
      <c r="N25" s="1065">
        <f t="shared" si="2"/>
      </c>
      <c r="O25" s="1066">
        <f t="shared" si="3"/>
      </c>
      <c r="P25" s="1067"/>
      <c r="Q25" s="1068">
        <f t="shared" si="4"/>
      </c>
      <c r="R25" s="1069">
        <f t="shared" si="5"/>
      </c>
      <c r="S25" s="1069">
        <f t="shared" si="6"/>
      </c>
      <c r="T25" s="1070" t="str">
        <f t="shared" si="7"/>
        <v>--</v>
      </c>
      <c r="U25" s="1070" t="e">
        <f t="shared" si="8"/>
        <v>#VALUE!</v>
      </c>
      <c r="V25" s="1071" t="e">
        <f t="shared" si="9"/>
        <v>#VALUE!</v>
      </c>
      <c r="W25" s="1072">
        <f t="shared" si="10"/>
      </c>
      <c r="X25" s="1073">
        <f t="shared" si="11"/>
      </c>
      <c r="Y25" s="1074"/>
      <c r="Z25" s="1075"/>
      <c r="AA25" s="1039">
        <f>IF(F25="","",'tiempos E.T'!$D$31)</f>
      </c>
      <c r="AB25" s="1040">
        <f>IF(F25="","",'tiempos E.T'!$D$33+Z25)</f>
      </c>
      <c r="AC25" s="1040">
        <f>IF(F25="","",'tiempos E.T'!$D$34)</f>
      </c>
      <c r="AD25" s="1076">
        <f t="shared" si="12"/>
      </c>
      <c r="AE25" s="1077" t="e">
        <f t="shared" si="13"/>
        <v>#VALUE!</v>
      </c>
      <c r="AF25" s="1078" t="e">
        <f t="shared" si="14"/>
        <v>#VALUE!</v>
      </c>
      <c r="AG25" s="1078" t="e">
        <f t="shared" si="15"/>
        <v>#DIV/0!</v>
      </c>
      <c r="AH25" s="1070" t="str">
        <f t="shared" si="16"/>
        <v>--</v>
      </c>
      <c r="AI25" s="1070" t="str">
        <f t="shared" si="17"/>
        <v>--</v>
      </c>
      <c r="AJ25" s="1071" t="str">
        <f t="shared" si="18"/>
        <v>--</v>
      </c>
      <c r="AK25" s="1076">
        <f t="shared" si="19"/>
      </c>
      <c r="AL25" s="1076" t="str">
        <f t="shared" si="20"/>
        <v> </v>
      </c>
      <c r="AM25" s="1018"/>
    </row>
    <row r="26" spans="2:39" s="876" customFormat="1" ht="16.5" customHeight="1">
      <c r="B26" s="992"/>
      <c r="C26" s="1342" t="s">
        <v>269</v>
      </c>
      <c r="D26" s="993"/>
      <c r="E26" s="994"/>
      <c r="F26" s="995"/>
      <c r="G26" s="995"/>
      <c r="H26" s="995"/>
      <c r="I26" s="995"/>
      <c r="J26" s="996">
        <f t="shared" si="0"/>
        <v>20</v>
      </c>
      <c r="K26" s="997">
        <f t="shared" si="1"/>
        <v>46.09</v>
      </c>
      <c r="L26" s="998"/>
      <c r="M26" s="999"/>
      <c r="N26" s="1000">
        <f t="shared" si="2"/>
      </c>
      <c r="O26" s="1001">
        <f t="shared" si="3"/>
      </c>
      <c r="P26" s="1002"/>
      <c r="Q26" s="1003">
        <f t="shared" si="4"/>
      </c>
      <c r="R26" s="1004">
        <f t="shared" si="5"/>
      </c>
      <c r="S26" s="1004">
        <f t="shared" si="6"/>
      </c>
      <c r="T26" s="1005" t="str">
        <f t="shared" si="7"/>
        <v>--</v>
      </c>
      <c r="U26" s="1005" t="e">
        <f t="shared" si="8"/>
        <v>#VALUE!</v>
      </c>
      <c r="V26" s="1006" t="e">
        <f t="shared" si="9"/>
        <v>#VALUE!</v>
      </c>
      <c r="W26" s="1007">
        <f t="shared" si="10"/>
      </c>
      <c r="X26" s="1008">
        <f t="shared" si="11"/>
      </c>
      <c r="Y26" s="1009"/>
      <c r="Z26" s="1010"/>
      <c r="AA26" s="1011">
        <f>IF(F26="","",'tiempos E.T'!$D$31)</f>
      </c>
      <c r="AB26" s="1012">
        <f>IF(F26="","",'tiempos E.T'!$D$33+Z26)</f>
      </c>
      <c r="AC26" s="1012">
        <f>IF(F26="","",'tiempos E.T'!$D$34)</f>
      </c>
      <c r="AD26" s="1013">
        <f t="shared" si="12"/>
      </c>
      <c r="AE26" s="1014" t="e">
        <f t="shared" si="13"/>
        <v>#VALUE!</v>
      </c>
      <c r="AF26" s="1015" t="e">
        <f t="shared" si="14"/>
        <v>#VALUE!</v>
      </c>
      <c r="AG26" s="1015" t="e">
        <f t="shared" si="15"/>
        <v>#DIV/0!</v>
      </c>
      <c r="AH26" s="1005" t="str">
        <f t="shared" si="16"/>
        <v>--</v>
      </c>
      <c r="AI26" s="1005" t="str">
        <f t="shared" si="17"/>
        <v>--</v>
      </c>
      <c r="AJ26" s="1006" t="str">
        <f t="shared" si="18"/>
        <v>--</v>
      </c>
      <c r="AK26" s="1016">
        <f t="shared" si="19"/>
      </c>
      <c r="AL26" s="1017" t="str">
        <f t="shared" si="20"/>
        <v> </v>
      </c>
      <c r="AM26" s="1018"/>
    </row>
    <row r="27" spans="2:39" s="876" customFormat="1" ht="16.5" customHeight="1">
      <c r="B27" s="992"/>
      <c r="C27" s="1343"/>
      <c r="D27" s="1019"/>
      <c r="E27" s="1020"/>
      <c r="F27" s="1021"/>
      <c r="G27" s="1022"/>
      <c r="H27" s="1023"/>
      <c r="I27" s="1022"/>
      <c r="J27" s="1024">
        <f t="shared" si="0"/>
        <v>20</v>
      </c>
      <c r="K27" s="1025">
        <f t="shared" si="1"/>
        <v>46.09</v>
      </c>
      <c r="L27" s="1026"/>
      <c r="M27" s="1027"/>
      <c r="N27" s="1028">
        <f t="shared" si="2"/>
      </c>
      <c r="O27" s="1029">
        <f t="shared" si="3"/>
      </c>
      <c r="P27" s="1030"/>
      <c r="Q27" s="1031">
        <f t="shared" si="4"/>
      </c>
      <c r="R27" s="1032">
        <f t="shared" si="5"/>
      </c>
      <c r="S27" s="1032">
        <f t="shared" si="6"/>
      </c>
      <c r="T27" s="1033" t="str">
        <f t="shared" si="7"/>
        <v>--</v>
      </c>
      <c r="U27" s="1033" t="e">
        <f t="shared" si="8"/>
        <v>#VALUE!</v>
      </c>
      <c r="V27" s="1034" t="e">
        <f t="shared" si="9"/>
        <v>#VALUE!</v>
      </c>
      <c r="W27" s="1035">
        <f t="shared" si="10"/>
      </c>
      <c r="X27" s="1036">
        <f t="shared" si="11"/>
      </c>
      <c r="Y27" s="1037"/>
      <c r="Z27" s="1038"/>
      <c r="AA27" s="1039">
        <f>IF(F27="","",'tiempos E.T'!$D$31)</f>
      </c>
      <c r="AB27" s="1040">
        <f>IF(F27="","",'tiempos E.T'!$D$33+Z27)</f>
      </c>
      <c r="AC27" s="1040">
        <f>IF(F27="","",'tiempos E.T'!$D$34)</f>
      </c>
      <c r="AD27" s="1041">
        <f t="shared" si="12"/>
      </c>
      <c r="AE27" s="1042" t="e">
        <f t="shared" si="13"/>
        <v>#VALUE!</v>
      </c>
      <c r="AF27" s="1043" t="e">
        <f t="shared" si="14"/>
        <v>#VALUE!</v>
      </c>
      <c r="AG27" s="1043" t="e">
        <f t="shared" si="15"/>
        <v>#DIV/0!</v>
      </c>
      <c r="AH27" s="1044" t="str">
        <f t="shared" si="16"/>
        <v>--</v>
      </c>
      <c r="AI27" s="1044" t="str">
        <f t="shared" si="17"/>
        <v>--</v>
      </c>
      <c r="AJ27" s="1045" t="str">
        <f t="shared" si="18"/>
        <v>--</v>
      </c>
      <c r="AK27" s="1046">
        <f t="shared" si="19"/>
      </c>
      <c r="AL27" s="1047" t="str">
        <f t="shared" si="20"/>
        <v> </v>
      </c>
      <c r="AM27" s="1018"/>
    </row>
    <row r="28" spans="2:39" s="876" customFormat="1" ht="16.5" customHeight="1">
      <c r="B28" s="992"/>
      <c r="C28" s="1343"/>
      <c r="D28" s="1019"/>
      <c r="E28" s="1020"/>
      <c r="F28" s="1021"/>
      <c r="G28" s="1022"/>
      <c r="H28" s="1023"/>
      <c r="I28" s="1022"/>
      <c r="J28" s="1024">
        <f t="shared" si="0"/>
        <v>20</v>
      </c>
      <c r="K28" s="1025">
        <f t="shared" si="1"/>
        <v>46.09</v>
      </c>
      <c r="L28" s="1048"/>
      <c r="M28" s="1048"/>
      <c r="N28" s="1028">
        <f t="shared" si="2"/>
      </c>
      <c r="O28" s="1029">
        <f t="shared" si="3"/>
      </c>
      <c r="P28" s="1049"/>
      <c r="Q28" s="1031">
        <f t="shared" si="4"/>
      </c>
      <c r="R28" s="1032">
        <f t="shared" si="5"/>
      </c>
      <c r="S28" s="1032">
        <f t="shared" si="6"/>
      </c>
      <c r="T28" s="1033" t="str">
        <f t="shared" si="7"/>
        <v>--</v>
      </c>
      <c r="U28" s="1033" t="e">
        <f t="shared" si="8"/>
        <v>#VALUE!</v>
      </c>
      <c r="V28" s="1034" t="e">
        <f t="shared" si="9"/>
        <v>#VALUE!</v>
      </c>
      <c r="W28" s="1050">
        <f t="shared" si="10"/>
      </c>
      <c r="X28" s="1036">
        <f t="shared" si="11"/>
      </c>
      <c r="Y28" s="1051"/>
      <c r="Z28" s="1052"/>
      <c r="AA28" s="1039">
        <f>IF(F28="","",'tiempos E.T'!$D$31)</f>
      </c>
      <c r="AB28" s="1040">
        <f>IF(F28="","",'tiempos E.T'!$D$33+Z28)</f>
      </c>
      <c r="AC28" s="1040">
        <f>IF(F28="","",'tiempos E.T'!$D$34)</f>
      </c>
      <c r="AD28" s="1054">
        <f t="shared" si="12"/>
      </c>
      <c r="AE28" s="1055" t="e">
        <f t="shared" si="13"/>
        <v>#VALUE!</v>
      </c>
      <c r="AF28" s="1056" t="e">
        <f t="shared" si="14"/>
        <v>#VALUE!</v>
      </c>
      <c r="AG28" s="1056" t="e">
        <f t="shared" si="15"/>
        <v>#DIV/0!</v>
      </c>
      <c r="AH28" s="1033" t="str">
        <f t="shared" si="16"/>
        <v>--</v>
      </c>
      <c r="AI28" s="1033" t="str">
        <f t="shared" si="17"/>
        <v>--</v>
      </c>
      <c r="AJ28" s="1034" t="str">
        <f t="shared" si="18"/>
        <v>--</v>
      </c>
      <c r="AK28" s="1054">
        <f t="shared" si="19"/>
      </c>
      <c r="AL28" s="1054" t="str">
        <f t="shared" si="20"/>
        <v> </v>
      </c>
      <c r="AM28" s="1018"/>
    </row>
    <row r="29" spans="2:39" s="891" customFormat="1" ht="16.5" customHeight="1" thickBot="1">
      <c r="B29" s="992"/>
      <c r="C29" s="1344"/>
      <c r="D29" s="1057"/>
      <c r="E29" s="1058"/>
      <c r="F29" s="1059"/>
      <c r="G29" s="1060"/>
      <c r="H29" s="1061"/>
      <c r="I29" s="1060"/>
      <c r="J29" s="1062">
        <f t="shared" si="0"/>
        <v>20</v>
      </c>
      <c r="K29" s="1063">
        <f t="shared" si="1"/>
        <v>46.09</v>
      </c>
      <c r="L29" s="1064"/>
      <c r="M29" s="1064"/>
      <c r="N29" s="1065">
        <f t="shared" si="2"/>
      </c>
      <c r="O29" s="1066">
        <f t="shared" si="3"/>
      </c>
      <c r="P29" s="1067"/>
      <c r="Q29" s="1068">
        <f t="shared" si="4"/>
      </c>
      <c r="R29" s="1069">
        <f t="shared" si="5"/>
      </c>
      <c r="S29" s="1069">
        <f t="shared" si="6"/>
      </c>
      <c r="T29" s="1070" t="str">
        <f t="shared" si="7"/>
        <v>--</v>
      </c>
      <c r="U29" s="1070" t="e">
        <f t="shared" si="8"/>
        <v>#VALUE!</v>
      </c>
      <c r="V29" s="1071" t="e">
        <f t="shared" si="9"/>
        <v>#VALUE!</v>
      </c>
      <c r="W29" s="1072">
        <f t="shared" si="10"/>
      </c>
      <c r="X29" s="1073">
        <f t="shared" si="11"/>
      </c>
      <c r="Y29" s="1074"/>
      <c r="Z29" s="1075"/>
      <c r="AA29" s="1039">
        <f>IF(F29="","",'tiempos E.T'!$D$31)</f>
      </c>
      <c r="AB29" s="1040">
        <f>IF(F29="","",'tiempos E.T'!$D$33+Z29)</f>
      </c>
      <c r="AC29" s="1040">
        <f>IF(F29="","",'tiempos E.T'!$D$34)</f>
      </c>
      <c r="AD29" s="1076">
        <f t="shared" si="12"/>
      </c>
      <c r="AE29" s="1077" t="e">
        <f t="shared" si="13"/>
        <v>#VALUE!</v>
      </c>
      <c r="AF29" s="1078" t="e">
        <f t="shared" si="14"/>
        <v>#VALUE!</v>
      </c>
      <c r="AG29" s="1078" t="e">
        <f t="shared" si="15"/>
        <v>#DIV/0!</v>
      </c>
      <c r="AH29" s="1070" t="str">
        <f t="shared" si="16"/>
        <v>--</v>
      </c>
      <c r="AI29" s="1070" t="str">
        <f t="shared" si="17"/>
        <v>--</v>
      </c>
      <c r="AJ29" s="1071" t="str">
        <f t="shared" si="18"/>
        <v>--</v>
      </c>
      <c r="AK29" s="1076">
        <f t="shared" si="19"/>
      </c>
      <c r="AL29" s="1076" t="str">
        <f t="shared" si="20"/>
        <v> </v>
      </c>
      <c r="AM29" s="1018"/>
    </row>
    <row r="30" spans="1:40" s="876" customFormat="1" ht="16.5" customHeight="1" thickBot="1">
      <c r="A30" s="877"/>
      <c r="B30" s="889"/>
      <c r="C30" s="1086"/>
      <c r="D30" s="1087"/>
      <c r="E30" s="1088"/>
      <c r="F30" s="1089"/>
      <c r="G30" s="1090"/>
      <c r="H30" s="1089"/>
      <c r="I30" s="1091"/>
      <c r="J30" s="1092"/>
      <c r="K30" s="1093"/>
      <c r="L30" s="1094"/>
      <c r="M30" s="1094"/>
      <c r="N30" s="1095"/>
      <c r="O30" s="1095"/>
      <c r="P30" s="1094"/>
      <c r="Q30" s="1096"/>
      <c r="R30" s="1095"/>
      <c r="S30" s="1095"/>
      <c r="T30" s="1097"/>
      <c r="U30" s="1097"/>
      <c r="V30" s="1098"/>
      <c r="W30" s="1099"/>
      <c r="X30" s="1100"/>
      <c r="Y30" s="1101"/>
      <c r="Z30" s="1101"/>
      <c r="AA30" s="1102"/>
      <c r="AB30" s="1103"/>
      <c r="AC30" s="1103"/>
      <c r="AD30" s="1104"/>
      <c r="AE30" s="1105"/>
      <c r="AF30" s="1106"/>
      <c r="AG30" s="1106"/>
      <c r="AH30" s="1107"/>
      <c r="AI30" s="1107"/>
      <c r="AJ30" s="1108"/>
      <c r="AK30" s="1104"/>
      <c r="AL30" s="1109"/>
      <c r="AM30" s="1018"/>
      <c r="AN30" s="877"/>
    </row>
    <row r="31" spans="2:39" s="877" customFormat="1" ht="16.5" customHeight="1" thickBot="1" thickTop="1">
      <c r="B31" s="889"/>
      <c r="C31" s="890"/>
      <c r="D31" s="890"/>
      <c r="E31" s="1110"/>
      <c r="F31" s="1111"/>
      <c r="G31" s="1112"/>
      <c r="H31" s="924"/>
      <c r="I31" s="1113"/>
      <c r="J31" s="924"/>
      <c r="K31" s="1114"/>
      <c r="L31" s="1114"/>
      <c r="M31" s="1114"/>
      <c r="N31" s="1115"/>
      <c r="O31" s="1114"/>
      <c r="P31" s="1114"/>
      <c r="Q31" s="1116"/>
      <c r="R31" s="1114"/>
      <c r="S31" s="1114"/>
      <c r="T31" s="1117">
        <f>SUM(T21:T30)</f>
        <v>93138.672</v>
      </c>
      <c r="U31" s="1117" t="e">
        <f>SUM(U21:U30)</f>
        <v>#VALUE!</v>
      </c>
      <c r="V31" s="1117" t="e">
        <f>SUM(V21:V30)</f>
        <v>#VALUE!</v>
      </c>
      <c r="W31" s="1118"/>
      <c r="X31" s="1119"/>
      <c r="Y31" s="1118"/>
      <c r="Z31" s="1118"/>
      <c r="AA31" s="1118"/>
      <c r="AB31" s="1118"/>
      <c r="AC31" s="1118"/>
      <c r="AD31" s="1118"/>
      <c r="AE31" s="1118"/>
      <c r="AF31" s="1118"/>
      <c r="AG31" s="1118"/>
      <c r="AH31" s="1117">
        <f>SUM(AH21:AH30)</f>
        <v>93138.672</v>
      </c>
      <c r="AI31" s="1117">
        <f>SUM(AI21:AI30)</f>
        <v>465693.36000000004</v>
      </c>
      <c r="AJ31" s="1117">
        <f>SUM(AJ21:AJ30)</f>
        <v>598089.9822480001</v>
      </c>
      <c r="AK31" s="1118"/>
      <c r="AL31" s="1120">
        <f>ROUND(SUM(AL21:AL30),2)</f>
        <v>455.19</v>
      </c>
      <c r="AM31" s="1018"/>
    </row>
    <row r="32" spans="2:39" ht="13.5" thickTop="1">
      <c r="B32" s="1122"/>
      <c r="D32" s="1123" t="s">
        <v>270</v>
      </c>
      <c r="E32" s="1123" t="s">
        <v>271</v>
      </c>
      <c r="AM32" s="1126"/>
    </row>
    <row r="33" spans="2:39" ht="12.75">
      <c r="B33" s="1122"/>
      <c r="D33" s="1123"/>
      <c r="AM33" s="1126"/>
    </row>
    <row r="34" spans="2:39" ht="12.75">
      <c r="B34" s="1122"/>
      <c r="C34" s="1123"/>
      <c r="D34" s="1123"/>
      <c r="L34" s="1123"/>
      <c r="AM34" s="1126"/>
    </row>
    <row r="35" spans="2:39" s="877" customFormat="1" ht="16.5" customHeight="1" thickBot="1">
      <c r="B35" s="1127"/>
      <c r="C35" s="1128"/>
      <c r="D35" s="1128"/>
      <c r="E35" s="1128"/>
      <c r="F35" s="1128"/>
      <c r="G35" s="1128"/>
      <c r="H35" s="1128"/>
      <c r="I35" s="1128"/>
      <c r="J35" s="1128"/>
      <c r="K35" s="1128"/>
      <c r="L35" s="1128"/>
      <c r="M35" s="1128"/>
      <c r="N35" s="1129"/>
      <c r="O35" s="1128"/>
      <c r="P35" s="1128"/>
      <c r="Q35" s="1128"/>
      <c r="R35" s="1128"/>
      <c r="S35" s="1128"/>
      <c r="T35" s="1128"/>
      <c r="U35" s="1128"/>
      <c r="V35" s="1128"/>
      <c r="W35" s="1129"/>
      <c r="X35" s="1128"/>
      <c r="Y35" s="1128"/>
      <c r="Z35" s="1129"/>
      <c r="AA35" s="1129"/>
      <c r="AB35" s="1129"/>
      <c r="AC35" s="1129"/>
      <c r="AD35" s="1129"/>
      <c r="AE35" s="1129"/>
      <c r="AF35" s="1128"/>
      <c r="AG35" s="1128"/>
      <c r="AH35" s="1128"/>
      <c r="AI35" s="1128"/>
      <c r="AJ35" s="1128"/>
      <c r="AK35" s="1128"/>
      <c r="AL35" s="1128"/>
      <c r="AM35" s="1130"/>
    </row>
    <row r="36" spans="2:39" ht="16.5" customHeight="1" thickTop="1">
      <c r="B36" s="1131"/>
      <c r="C36" s="1131"/>
      <c r="D36" s="1131"/>
      <c r="AM36" s="1131"/>
    </row>
    <row r="37" spans="6:15" ht="15.75">
      <c r="F37" s="1132"/>
      <c r="G37" s="1132"/>
      <c r="H37" s="1132"/>
      <c r="I37" s="1132"/>
      <c r="J37" s="1132"/>
      <c r="K37" s="1132"/>
      <c r="L37" s="1132"/>
      <c r="M37" s="1132"/>
      <c r="N37" s="1133"/>
      <c r="O37" s="1132"/>
    </row>
    <row r="38" spans="6:15" ht="15.75">
      <c r="F38" s="1134" t="s">
        <v>272</v>
      </c>
      <c r="G38" s="1132"/>
      <c r="H38" s="1135"/>
      <c r="I38" s="1132"/>
      <c r="J38" s="1132"/>
      <c r="K38" s="1132"/>
      <c r="L38" s="1132" t="s">
        <v>273</v>
      </c>
      <c r="M38" s="1132"/>
      <c r="N38" s="1133"/>
      <c r="O38" s="1132"/>
    </row>
    <row r="39" spans="6:15" ht="15.75">
      <c r="F39" s="1136" t="s">
        <v>274</v>
      </c>
      <c r="G39" s="1132"/>
      <c r="H39" s="1132"/>
      <c r="I39" s="1132"/>
      <c r="J39" s="1132"/>
      <c r="K39" s="1132"/>
      <c r="L39" s="1132"/>
      <c r="M39" s="1132"/>
      <c r="N39" s="1133"/>
      <c r="O39" s="1132"/>
    </row>
    <row r="40" spans="6:15" ht="15.75">
      <c r="F40" s="1132"/>
      <c r="G40" s="1132"/>
      <c r="H40" s="1132"/>
      <c r="I40" s="1132"/>
      <c r="J40" s="1132"/>
      <c r="K40" s="1132"/>
      <c r="L40" s="1132"/>
      <c r="M40" s="1132"/>
      <c r="N40" s="1133"/>
      <c r="O40" s="1132"/>
    </row>
  </sheetData>
  <sheetProtection sheet="1" objects="1" scenarios="1"/>
  <mergeCells count="2">
    <mergeCell ref="C22:C25"/>
    <mergeCell ref="C26:C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2">
    <pageSetUpPr fitToPage="1"/>
  </sheetPr>
  <dimension ref="A1:AC157"/>
  <sheetViews>
    <sheetView zoomScale="75" zoomScaleNormal="75" workbookViewId="0" topLeftCell="G16">
      <selection activeCell="P38" sqref="P3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108" customFormat="1" ht="26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692"/>
    </row>
    <row r="2" spans="1:28" s="108" customFormat="1" ht="26.25">
      <c r="A2" s="158"/>
      <c r="B2" s="201" t="str">
        <f>+'tot-0103'!B2</f>
        <v>ANEXO a la Resolución E.N.R.E. N°  113  /2002</v>
      </c>
      <c r="C2" s="201"/>
      <c r="D2" s="201"/>
      <c r="E2" s="109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28" s="16" customFormat="1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s="115" customFormat="1" ht="11.25">
      <c r="A4" s="225" t="s">
        <v>100</v>
      </c>
      <c r="B4" s="226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</row>
    <row r="5" spans="1:28" s="115" customFormat="1" ht="11.25">
      <c r="A5" s="225" t="s">
        <v>54</v>
      </c>
      <c r="B5" s="226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</row>
    <row r="6" spans="1:28" s="16" customFormat="1" ht="13.5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s="16" customFormat="1" ht="13.5" thickTop="1">
      <c r="A7" s="73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62"/>
    </row>
    <row r="8" spans="1:28" s="10" customFormat="1" ht="20.25">
      <c r="A8" s="203"/>
      <c r="B8" s="204"/>
      <c r="C8" s="203"/>
      <c r="D8" s="206" t="s">
        <v>69</v>
      </c>
      <c r="E8" s="203"/>
      <c r="F8" s="203"/>
      <c r="G8" s="205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46"/>
      <c r="S8" s="46"/>
      <c r="T8" s="46"/>
      <c r="U8" s="46"/>
      <c r="V8" s="46"/>
      <c r="W8" s="46"/>
      <c r="X8" s="46"/>
      <c r="Y8" s="46"/>
      <c r="Z8" s="46"/>
      <c r="AA8" s="46"/>
      <c r="AB8" s="175"/>
    </row>
    <row r="9" spans="1:28" s="16" customFormat="1" ht="12.75">
      <c r="A9" s="73"/>
      <c r="B9" s="193"/>
      <c r="C9" s="73"/>
      <c r="D9" s="74"/>
      <c r="E9" s="199"/>
      <c r="F9" s="73"/>
      <c r="G9" s="74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74"/>
      <c r="T9" s="74"/>
      <c r="U9" s="74"/>
      <c r="V9" s="74"/>
      <c r="W9" s="74"/>
      <c r="X9" s="74"/>
      <c r="Y9" s="74"/>
      <c r="Z9" s="74"/>
      <c r="AA9" s="74"/>
      <c r="AB9" s="163"/>
    </row>
    <row r="10" spans="1:28" s="10" customFormat="1" ht="20.25">
      <c r="A10" s="203"/>
      <c r="B10" s="204"/>
      <c r="C10" s="203"/>
      <c r="D10" s="206" t="s">
        <v>101</v>
      </c>
      <c r="E10" s="203"/>
      <c r="F10" s="76"/>
      <c r="G10" s="46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75"/>
    </row>
    <row r="11" spans="1:28" s="16" customFormat="1" ht="12.75">
      <c r="A11" s="73"/>
      <c r="B11" s="193"/>
      <c r="C11" s="73"/>
      <c r="D11" s="74"/>
      <c r="E11" s="74"/>
      <c r="F11" s="74"/>
      <c r="G11" s="74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163"/>
    </row>
    <row r="12" spans="1:28" s="16" customFormat="1" ht="20.25">
      <c r="A12" s="203"/>
      <c r="B12" s="204"/>
      <c r="C12" s="203"/>
      <c r="D12" s="207" t="s">
        <v>102</v>
      </c>
      <c r="E12" s="203"/>
      <c r="F12" s="203"/>
      <c r="G12" s="203"/>
      <c r="H12" s="200"/>
      <c r="I12" s="200"/>
      <c r="J12" s="200"/>
      <c r="K12" s="200"/>
      <c r="L12" s="200"/>
      <c r="M12" s="73"/>
      <c r="N12" s="73"/>
      <c r="O12" s="73"/>
      <c r="P12" s="73"/>
      <c r="Q12" s="73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163"/>
    </row>
    <row r="13" spans="1:28" s="16" customFormat="1" ht="12.75">
      <c r="A13" s="73"/>
      <c r="B13" s="193"/>
      <c r="C13" s="73"/>
      <c r="D13" s="74"/>
      <c r="E13" s="74"/>
      <c r="F13" s="74"/>
      <c r="G13" s="194"/>
      <c r="H13" s="74"/>
      <c r="I13" s="74"/>
      <c r="J13" s="74"/>
      <c r="K13" s="74"/>
      <c r="L13" s="74"/>
      <c r="M13" s="73"/>
      <c r="N13" s="73"/>
      <c r="O13" s="73"/>
      <c r="P13" s="73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163"/>
    </row>
    <row r="14" spans="1:28" s="15" customFormat="1" ht="19.5">
      <c r="A14" s="208"/>
      <c r="B14" s="209" t="str">
        <f>+'tot-0103'!B14</f>
        <v>Desde el 01 al 31 de marzo de 2001</v>
      </c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0"/>
      <c r="N14" s="210"/>
      <c r="O14" s="210"/>
      <c r="P14" s="210"/>
      <c r="Q14" s="210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</row>
    <row r="15" spans="1:28" s="16" customFormat="1" ht="13.5" thickBot="1">
      <c r="A15" s="73"/>
      <c r="B15" s="193"/>
      <c r="C15" s="73"/>
      <c r="D15" s="74"/>
      <c r="E15" s="74"/>
      <c r="F15" s="74"/>
      <c r="G15" s="194"/>
      <c r="H15" s="74"/>
      <c r="I15" s="74"/>
      <c r="J15" s="74"/>
      <c r="K15" s="74"/>
      <c r="L15" s="74"/>
      <c r="M15" s="73"/>
      <c r="N15" s="73"/>
      <c r="O15" s="73"/>
      <c r="P15" s="73"/>
      <c r="Q15" s="73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63"/>
    </row>
    <row r="16" spans="1:28" s="16" customFormat="1" ht="16.5" customHeight="1" thickBot="1" thickTop="1">
      <c r="A16" s="73"/>
      <c r="B16" s="193"/>
      <c r="C16" s="73"/>
      <c r="D16" s="351" t="s">
        <v>103</v>
      </c>
      <c r="E16" s="352"/>
      <c r="F16" s="353">
        <v>0.151</v>
      </c>
      <c r="H16" s="73"/>
      <c r="I16" s="73"/>
      <c r="J16" s="73"/>
      <c r="K16" s="73"/>
      <c r="L16" s="73"/>
      <c r="M16" s="73"/>
      <c r="N16" s="73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163"/>
    </row>
    <row r="17" spans="1:28" s="16" customFormat="1" ht="16.5" customHeight="1" thickBot="1" thickTop="1">
      <c r="A17" s="73"/>
      <c r="B17" s="193"/>
      <c r="C17" s="73"/>
      <c r="D17" s="213" t="s">
        <v>104</v>
      </c>
      <c r="E17" s="214"/>
      <c r="F17" s="215">
        <v>200</v>
      </c>
      <c r="G17"/>
      <c r="H17" s="74"/>
      <c r="I17" s="693" t="s">
        <v>187</v>
      </c>
      <c r="J17" s="694"/>
      <c r="K17" s="1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5"/>
      <c r="W17" s="75"/>
      <c r="X17" s="75"/>
      <c r="Y17" s="75"/>
      <c r="Z17" s="75"/>
      <c r="AA17" s="73"/>
      <c r="AB17" s="163"/>
    </row>
    <row r="18" spans="1:28" s="16" customFormat="1" ht="16.5" customHeight="1" thickBot="1" thickTop="1">
      <c r="A18" s="73"/>
      <c r="B18" s="193"/>
      <c r="C18" s="73"/>
      <c r="D18" s="74"/>
      <c r="E18" s="74"/>
      <c r="F18" s="74"/>
      <c r="G18" s="195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163"/>
    </row>
    <row r="19" spans="1:28" s="16" customFormat="1" ht="33.75" customHeight="1" thickBot="1" thickTop="1">
      <c r="A19" s="73"/>
      <c r="B19" s="193"/>
      <c r="C19" s="216" t="s">
        <v>74</v>
      </c>
      <c r="D19" s="219" t="s">
        <v>105</v>
      </c>
      <c r="E19" s="217" t="s">
        <v>43</v>
      </c>
      <c r="F19" s="220" t="s">
        <v>106</v>
      </c>
      <c r="G19" s="221" t="s">
        <v>75</v>
      </c>
      <c r="H19" s="348" t="s">
        <v>79</v>
      </c>
      <c r="I19" s="217" t="s">
        <v>80</v>
      </c>
      <c r="J19" s="217" t="s">
        <v>81</v>
      </c>
      <c r="K19" s="219" t="s">
        <v>107</v>
      </c>
      <c r="L19" s="219" t="s">
        <v>83</v>
      </c>
      <c r="M19" s="185" t="s">
        <v>84</v>
      </c>
      <c r="N19" s="185" t="s">
        <v>85</v>
      </c>
      <c r="O19" s="218" t="s">
        <v>87</v>
      </c>
      <c r="P19" s="217" t="s">
        <v>108</v>
      </c>
      <c r="Q19" s="466" t="s">
        <v>78</v>
      </c>
      <c r="R19" s="471" t="s">
        <v>88</v>
      </c>
      <c r="S19" s="477" t="s">
        <v>89</v>
      </c>
      <c r="T19" s="345" t="s">
        <v>109</v>
      </c>
      <c r="U19" s="347"/>
      <c r="V19" s="493" t="s">
        <v>110</v>
      </c>
      <c r="W19" s="494"/>
      <c r="X19" s="506" t="s">
        <v>92</v>
      </c>
      <c r="Y19" s="511" t="s">
        <v>93</v>
      </c>
      <c r="Z19" s="187" t="s">
        <v>94</v>
      </c>
      <c r="AA19" s="221" t="s">
        <v>95</v>
      </c>
      <c r="AB19" s="163"/>
    </row>
    <row r="20" spans="1:28" s="16" customFormat="1" ht="16.5" customHeight="1" hidden="1" thickTop="1">
      <c r="A20" s="73"/>
      <c r="B20" s="193"/>
      <c r="C20" s="463"/>
      <c r="D20" s="463"/>
      <c r="E20" s="463"/>
      <c r="F20" s="463"/>
      <c r="G20" s="464"/>
      <c r="H20" s="462"/>
      <c r="I20" s="463"/>
      <c r="J20" s="463"/>
      <c r="K20" s="463"/>
      <c r="L20" s="463"/>
      <c r="M20" s="463"/>
      <c r="N20" s="434"/>
      <c r="O20" s="465"/>
      <c r="P20" s="463"/>
      <c r="Q20" s="467"/>
      <c r="R20" s="472"/>
      <c r="S20" s="478"/>
      <c r="T20" s="483"/>
      <c r="U20" s="484"/>
      <c r="V20" s="495"/>
      <c r="W20" s="496"/>
      <c r="X20" s="507"/>
      <c r="Y20" s="512"/>
      <c r="Z20" s="465"/>
      <c r="AA20" s="632"/>
      <c r="AB20" s="163"/>
    </row>
    <row r="21" spans="1:28" s="16" customFormat="1" ht="16.5" customHeight="1" thickTop="1">
      <c r="A21" s="73"/>
      <c r="B21" s="193"/>
      <c r="C21" s="48"/>
      <c r="D21" s="48"/>
      <c r="E21" s="48"/>
      <c r="F21" s="48"/>
      <c r="G21" s="49"/>
      <c r="H21" s="355"/>
      <c r="I21" s="48"/>
      <c r="J21" s="48"/>
      <c r="K21" s="48"/>
      <c r="L21" s="48"/>
      <c r="M21" s="48"/>
      <c r="N21" s="18"/>
      <c r="O21" s="50"/>
      <c r="P21" s="48"/>
      <c r="Q21" s="468"/>
      <c r="R21" s="473"/>
      <c r="S21" s="479"/>
      <c r="T21" s="485"/>
      <c r="U21" s="486"/>
      <c r="V21" s="497"/>
      <c r="W21" s="498"/>
      <c r="X21" s="508"/>
      <c r="Y21" s="513"/>
      <c r="Z21" s="50"/>
      <c r="AA21" s="222"/>
      <c r="AB21" s="163"/>
    </row>
    <row r="22" spans="1:28" s="16" customFormat="1" ht="16.5" customHeight="1">
      <c r="A22" s="73"/>
      <c r="B22" s="193"/>
      <c r="C22" s="51">
        <v>30</v>
      </c>
      <c r="D22" s="52" t="s">
        <v>23</v>
      </c>
      <c r="E22" s="53" t="s">
        <v>21</v>
      </c>
      <c r="F22" s="54">
        <v>300</v>
      </c>
      <c r="G22" s="55" t="s">
        <v>20</v>
      </c>
      <c r="H22" s="629">
        <f aca="true" t="shared" si="0" ref="H22:H41">F22*$F$16</f>
        <v>45.3</v>
      </c>
      <c r="I22" s="57">
        <v>36956.35833333333</v>
      </c>
      <c r="J22" s="58">
        <v>36956.70694444444</v>
      </c>
      <c r="K22" s="59">
        <f aca="true" t="shared" si="1" ref="K22:K41">IF(D22="","",(J22-I22)*24)</f>
        <v>8.36666666669771</v>
      </c>
      <c r="L22" s="60">
        <f aca="true" t="shared" si="2" ref="L22:L41">IF(D22="","",ROUND((J22-I22)*24*60,0))</f>
        <v>502</v>
      </c>
      <c r="M22" s="56" t="s">
        <v>177</v>
      </c>
      <c r="N22" s="28" t="str">
        <f aca="true" t="shared" si="3" ref="N22:N41">IF(D22="","","--")</f>
        <v>--</v>
      </c>
      <c r="O22" s="61" t="str">
        <f aca="true" t="shared" si="4" ref="O22:O41">IF(D22="","",IF(OR(M22="P",M22="RP"),"--","NO"))</f>
        <v>--</v>
      </c>
      <c r="P22" s="23" t="str">
        <f aca="true" t="shared" si="5" ref="P22:P41">IF(D22="","","NO")</f>
        <v>NO</v>
      </c>
      <c r="Q22" s="469">
        <f aca="true" t="shared" si="6" ref="Q22:Q41">$F$17*IF(OR(M22="P",M22="RP"),0.1,1)*IF(P22="SI",1,0.1)</f>
        <v>2</v>
      </c>
      <c r="R22" s="474">
        <f aca="true" t="shared" si="7" ref="R22:R41">IF(M22="P",H22*Q22*ROUND(L22/60,2),"--")</f>
        <v>758.3219999999999</v>
      </c>
      <c r="S22" s="480" t="str">
        <f aca="true" t="shared" si="8" ref="S22:S41">IF(M22="RP",H22*Q22*N22/100*ROUND(L22/60,2),"--")</f>
        <v>--</v>
      </c>
      <c r="T22" s="487" t="str">
        <f aca="true" t="shared" si="9" ref="T22:T41">IF(AND(M22="F",O22="NO"),H22*Q22,"--")</f>
        <v>--</v>
      </c>
      <c r="U22" s="488" t="str">
        <f aca="true" t="shared" si="10" ref="U22:U41">IF(M22="F",H22*Q22*ROUND(L22/60,2),"--")</f>
        <v>--</v>
      </c>
      <c r="V22" s="499" t="str">
        <f aca="true" t="shared" si="11" ref="V22:V41">IF(AND(M22="R",O22="NO"),H22*Q22*N22/100,"--")</f>
        <v>--</v>
      </c>
      <c r="W22" s="500" t="str">
        <f aca="true" t="shared" si="12" ref="W22:W41">IF(M22="R",H22*Q22*N22/100*ROUND(L22/60,2),"--")</f>
        <v>--</v>
      </c>
      <c r="X22" s="509" t="str">
        <f aca="true" t="shared" si="13" ref="X22:X41">IF(M22="RF",H22*Q22*ROUND(L22/60,2),"--")</f>
        <v>--</v>
      </c>
      <c r="Y22" s="514" t="str">
        <f aca="true" t="shared" si="14" ref="Y22:Y41">IF(M22="RR",H22*Q22*N22/100*ROUND(L22/60,2),"--")</f>
        <v>--</v>
      </c>
      <c r="Z22" s="62" t="str">
        <f aca="true" t="shared" si="15" ref="Z22:Z41">IF(D22="","","SI")</f>
        <v>SI</v>
      </c>
      <c r="AA22" s="223">
        <f aca="true" t="shared" si="16" ref="AA22:AA41">IF(D22="","",SUM(R22:Y22)*IF(Z22="SI",1,2))</f>
        <v>758.3219999999999</v>
      </c>
      <c r="AB22" s="163"/>
    </row>
    <row r="23" spans="1:28" s="16" customFormat="1" ht="16.5" customHeight="1">
      <c r="A23" s="73"/>
      <c r="B23" s="193"/>
      <c r="C23" s="51">
        <v>31</v>
      </c>
      <c r="D23" s="52" t="s">
        <v>23</v>
      </c>
      <c r="E23" s="53" t="s">
        <v>21</v>
      </c>
      <c r="F23" s="54">
        <v>300</v>
      </c>
      <c r="G23" s="55" t="s">
        <v>20</v>
      </c>
      <c r="H23" s="629">
        <f t="shared" si="0"/>
        <v>45.3</v>
      </c>
      <c r="I23" s="57">
        <v>36957.35763888889</v>
      </c>
      <c r="J23" s="58">
        <v>36957.686111111114</v>
      </c>
      <c r="K23" s="59">
        <f t="shared" si="1"/>
        <v>7.883333333360497</v>
      </c>
      <c r="L23" s="60">
        <f t="shared" si="2"/>
        <v>473</v>
      </c>
      <c r="M23" s="56" t="s">
        <v>177</v>
      </c>
      <c r="N23" s="28" t="str">
        <f t="shared" si="3"/>
        <v>--</v>
      </c>
      <c r="O23" s="61" t="str">
        <f t="shared" si="4"/>
        <v>--</v>
      </c>
      <c r="P23" s="23" t="str">
        <f t="shared" si="5"/>
        <v>NO</v>
      </c>
      <c r="Q23" s="469">
        <f t="shared" si="6"/>
        <v>2</v>
      </c>
      <c r="R23" s="474">
        <f t="shared" si="7"/>
        <v>713.928</v>
      </c>
      <c r="S23" s="480" t="str">
        <f t="shared" si="8"/>
        <v>--</v>
      </c>
      <c r="T23" s="487" t="str">
        <f t="shared" si="9"/>
        <v>--</v>
      </c>
      <c r="U23" s="488" t="str">
        <f t="shared" si="10"/>
        <v>--</v>
      </c>
      <c r="V23" s="499" t="str">
        <f t="shared" si="11"/>
        <v>--</v>
      </c>
      <c r="W23" s="500" t="str">
        <f t="shared" si="12"/>
        <v>--</v>
      </c>
      <c r="X23" s="509" t="str">
        <f t="shared" si="13"/>
        <v>--</v>
      </c>
      <c r="Y23" s="514" t="str">
        <f t="shared" si="14"/>
        <v>--</v>
      </c>
      <c r="Z23" s="62" t="str">
        <f t="shared" si="15"/>
        <v>SI</v>
      </c>
      <c r="AA23" s="223">
        <f t="shared" si="16"/>
        <v>713.928</v>
      </c>
      <c r="AB23" s="163"/>
    </row>
    <row r="24" spans="1:28" s="16" customFormat="1" ht="16.5" customHeight="1">
      <c r="A24" s="73"/>
      <c r="B24" s="193"/>
      <c r="C24" s="51">
        <v>32</v>
      </c>
      <c r="D24" s="52" t="s">
        <v>23</v>
      </c>
      <c r="E24" s="53" t="s">
        <v>21</v>
      </c>
      <c r="F24" s="54">
        <v>300</v>
      </c>
      <c r="G24" s="55" t="s">
        <v>20</v>
      </c>
      <c r="H24" s="629">
        <f t="shared" si="0"/>
        <v>45.3</v>
      </c>
      <c r="I24" s="57">
        <v>36958.35625</v>
      </c>
      <c r="J24" s="58">
        <v>36958.669444444444</v>
      </c>
      <c r="K24" s="59">
        <f t="shared" si="1"/>
        <v>7.516666666720994</v>
      </c>
      <c r="L24" s="60">
        <f t="shared" si="2"/>
        <v>451</v>
      </c>
      <c r="M24" s="56" t="s">
        <v>177</v>
      </c>
      <c r="N24" s="28" t="str">
        <f t="shared" si="3"/>
        <v>--</v>
      </c>
      <c r="O24" s="61" t="str">
        <f t="shared" si="4"/>
        <v>--</v>
      </c>
      <c r="P24" s="23" t="str">
        <f t="shared" si="5"/>
        <v>NO</v>
      </c>
      <c r="Q24" s="469">
        <f t="shared" si="6"/>
        <v>2</v>
      </c>
      <c r="R24" s="474">
        <f t="shared" si="7"/>
        <v>681.3119999999999</v>
      </c>
      <c r="S24" s="480" t="str">
        <f t="shared" si="8"/>
        <v>--</v>
      </c>
      <c r="T24" s="487" t="str">
        <f t="shared" si="9"/>
        <v>--</v>
      </c>
      <c r="U24" s="488" t="str">
        <f t="shared" si="10"/>
        <v>--</v>
      </c>
      <c r="V24" s="499" t="str">
        <f t="shared" si="11"/>
        <v>--</v>
      </c>
      <c r="W24" s="500" t="str">
        <f t="shared" si="12"/>
        <v>--</v>
      </c>
      <c r="X24" s="509" t="str">
        <f t="shared" si="13"/>
        <v>--</v>
      </c>
      <c r="Y24" s="514" t="str">
        <f t="shared" si="14"/>
        <v>--</v>
      </c>
      <c r="Z24" s="62" t="str">
        <f t="shared" si="15"/>
        <v>SI</v>
      </c>
      <c r="AA24" s="223">
        <f t="shared" si="16"/>
        <v>681.3119999999999</v>
      </c>
      <c r="AB24" s="163"/>
    </row>
    <row r="25" spans="1:28" s="16" customFormat="1" ht="16.5" customHeight="1">
      <c r="A25" s="73"/>
      <c r="B25" s="193"/>
      <c r="C25" s="51">
        <v>33</v>
      </c>
      <c r="D25" s="52" t="s">
        <v>24</v>
      </c>
      <c r="E25" s="53" t="s">
        <v>21</v>
      </c>
      <c r="F25" s="54">
        <v>300</v>
      </c>
      <c r="G25" s="55" t="s">
        <v>20</v>
      </c>
      <c r="H25" s="629">
        <f t="shared" si="0"/>
        <v>45.3</v>
      </c>
      <c r="I25" s="57">
        <v>36963.33819444444</v>
      </c>
      <c r="J25" s="58">
        <v>36963.72222222222</v>
      </c>
      <c r="K25" s="59">
        <f t="shared" si="1"/>
        <v>9.216666666674428</v>
      </c>
      <c r="L25" s="60">
        <f t="shared" si="2"/>
        <v>553</v>
      </c>
      <c r="M25" s="56" t="s">
        <v>177</v>
      </c>
      <c r="N25" s="28" t="str">
        <f t="shared" si="3"/>
        <v>--</v>
      </c>
      <c r="O25" s="61" t="str">
        <f t="shared" si="4"/>
        <v>--</v>
      </c>
      <c r="P25" s="23" t="str">
        <f t="shared" si="5"/>
        <v>NO</v>
      </c>
      <c r="Q25" s="469">
        <f t="shared" si="6"/>
        <v>2</v>
      </c>
      <c r="R25" s="474">
        <f t="shared" si="7"/>
        <v>835.332</v>
      </c>
      <c r="S25" s="480" t="str">
        <f t="shared" si="8"/>
        <v>--</v>
      </c>
      <c r="T25" s="487" t="str">
        <f t="shared" si="9"/>
        <v>--</v>
      </c>
      <c r="U25" s="488" t="str">
        <f t="shared" si="10"/>
        <v>--</v>
      </c>
      <c r="V25" s="499" t="str">
        <f t="shared" si="11"/>
        <v>--</v>
      </c>
      <c r="W25" s="500" t="str">
        <f t="shared" si="12"/>
        <v>--</v>
      </c>
      <c r="X25" s="509" t="str">
        <f t="shared" si="13"/>
        <v>--</v>
      </c>
      <c r="Y25" s="514" t="str">
        <f t="shared" si="14"/>
        <v>--</v>
      </c>
      <c r="Z25" s="62" t="str">
        <f t="shared" si="15"/>
        <v>SI</v>
      </c>
      <c r="AA25" s="223">
        <f t="shared" si="16"/>
        <v>835.332</v>
      </c>
      <c r="AB25" s="163"/>
    </row>
    <row r="26" spans="1:28" s="16" customFormat="1" ht="16.5" customHeight="1">
      <c r="A26" s="73"/>
      <c r="B26" s="193"/>
      <c r="C26" s="51">
        <v>34</v>
      </c>
      <c r="D26" s="52" t="s">
        <v>24</v>
      </c>
      <c r="E26" s="53" t="s">
        <v>21</v>
      </c>
      <c r="F26" s="54">
        <v>300</v>
      </c>
      <c r="G26" s="55" t="s">
        <v>20</v>
      </c>
      <c r="H26" s="629">
        <f t="shared" si="0"/>
        <v>45.3</v>
      </c>
      <c r="I26" s="57">
        <v>36964.36944444444</v>
      </c>
      <c r="J26" s="58">
        <v>36964.7375</v>
      </c>
      <c r="K26" s="59">
        <f t="shared" si="1"/>
        <v>8.833333333488554</v>
      </c>
      <c r="L26" s="60">
        <f t="shared" si="2"/>
        <v>530</v>
      </c>
      <c r="M26" s="56" t="s">
        <v>177</v>
      </c>
      <c r="N26" s="28" t="str">
        <f t="shared" si="3"/>
        <v>--</v>
      </c>
      <c r="O26" s="61" t="str">
        <f t="shared" si="4"/>
        <v>--</v>
      </c>
      <c r="P26" s="23" t="str">
        <f t="shared" si="5"/>
        <v>NO</v>
      </c>
      <c r="Q26" s="469">
        <f t="shared" si="6"/>
        <v>2</v>
      </c>
      <c r="R26" s="474">
        <f t="shared" si="7"/>
        <v>799.9979999999999</v>
      </c>
      <c r="S26" s="480" t="str">
        <f t="shared" si="8"/>
        <v>--</v>
      </c>
      <c r="T26" s="487" t="str">
        <f t="shared" si="9"/>
        <v>--</v>
      </c>
      <c r="U26" s="488" t="str">
        <f t="shared" si="10"/>
        <v>--</v>
      </c>
      <c r="V26" s="499" t="str">
        <f t="shared" si="11"/>
        <v>--</v>
      </c>
      <c r="W26" s="500" t="str">
        <f t="shared" si="12"/>
        <v>--</v>
      </c>
      <c r="X26" s="509" t="str">
        <f t="shared" si="13"/>
        <v>--</v>
      </c>
      <c r="Y26" s="514" t="str">
        <f t="shared" si="14"/>
        <v>--</v>
      </c>
      <c r="Z26" s="62" t="str">
        <f t="shared" si="15"/>
        <v>SI</v>
      </c>
      <c r="AA26" s="223">
        <f t="shared" si="16"/>
        <v>799.9979999999999</v>
      </c>
      <c r="AB26" s="163"/>
    </row>
    <row r="27" spans="1:28" s="16" customFormat="1" ht="16.5" customHeight="1">
      <c r="A27" s="73"/>
      <c r="B27" s="193"/>
      <c r="C27" s="51">
        <v>35</v>
      </c>
      <c r="D27" s="52" t="s">
        <v>24</v>
      </c>
      <c r="E27" s="53" t="s">
        <v>21</v>
      </c>
      <c r="F27" s="54">
        <v>300</v>
      </c>
      <c r="G27" s="55" t="s">
        <v>20</v>
      </c>
      <c r="H27" s="629">
        <f t="shared" si="0"/>
        <v>45.3</v>
      </c>
      <c r="I27" s="57">
        <v>36965.33611111111</v>
      </c>
      <c r="J27" s="58">
        <v>36965.69097222222</v>
      </c>
      <c r="K27" s="59">
        <f t="shared" si="1"/>
        <v>8.516666666662786</v>
      </c>
      <c r="L27" s="60">
        <f t="shared" si="2"/>
        <v>511</v>
      </c>
      <c r="M27" s="56" t="s">
        <v>177</v>
      </c>
      <c r="N27" s="28" t="str">
        <f t="shared" si="3"/>
        <v>--</v>
      </c>
      <c r="O27" s="61" t="str">
        <f t="shared" si="4"/>
        <v>--</v>
      </c>
      <c r="P27" s="23" t="str">
        <f t="shared" si="5"/>
        <v>NO</v>
      </c>
      <c r="Q27" s="469">
        <f t="shared" si="6"/>
        <v>2</v>
      </c>
      <c r="R27" s="474">
        <f t="shared" si="7"/>
        <v>771.9119999999999</v>
      </c>
      <c r="S27" s="480" t="str">
        <f t="shared" si="8"/>
        <v>--</v>
      </c>
      <c r="T27" s="487" t="str">
        <f t="shared" si="9"/>
        <v>--</v>
      </c>
      <c r="U27" s="488" t="str">
        <f t="shared" si="10"/>
        <v>--</v>
      </c>
      <c r="V27" s="499" t="str">
        <f t="shared" si="11"/>
        <v>--</v>
      </c>
      <c r="W27" s="500" t="str">
        <f t="shared" si="12"/>
        <v>--</v>
      </c>
      <c r="X27" s="509" t="str">
        <f t="shared" si="13"/>
        <v>--</v>
      </c>
      <c r="Y27" s="514" t="str">
        <f t="shared" si="14"/>
        <v>--</v>
      </c>
      <c r="Z27" s="62" t="str">
        <f t="shared" si="15"/>
        <v>SI</v>
      </c>
      <c r="AA27" s="223">
        <f t="shared" si="16"/>
        <v>771.9119999999999</v>
      </c>
      <c r="AB27" s="163"/>
    </row>
    <row r="28" spans="1:29" s="16" customFormat="1" ht="16.5" customHeight="1">
      <c r="A28" s="73"/>
      <c r="B28" s="193"/>
      <c r="C28" s="51"/>
      <c r="D28" s="52"/>
      <c r="E28" s="53"/>
      <c r="F28" s="54"/>
      <c r="G28" s="55"/>
      <c r="H28" s="629">
        <f t="shared" si="0"/>
        <v>0</v>
      </c>
      <c r="I28" s="57"/>
      <c r="J28" s="58"/>
      <c r="K28" s="59">
        <f t="shared" si="1"/>
      </c>
      <c r="L28" s="60">
        <f t="shared" si="2"/>
      </c>
      <c r="M28" s="56"/>
      <c r="N28" s="28">
        <f t="shared" si="3"/>
      </c>
      <c r="O28" s="61">
        <f t="shared" si="4"/>
      </c>
      <c r="P28" s="23">
        <f t="shared" si="5"/>
      </c>
      <c r="Q28" s="469">
        <f t="shared" si="6"/>
        <v>20</v>
      </c>
      <c r="R28" s="474" t="str">
        <f t="shared" si="7"/>
        <v>--</v>
      </c>
      <c r="S28" s="480" t="str">
        <f t="shared" si="8"/>
        <v>--</v>
      </c>
      <c r="T28" s="487" t="str">
        <f t="shared" si="9"/>
        <v>--</v>
      </c>
      <c r="U28" s="488" t="str">
        <f t="shared" si="10"/>
        <v>--</v>
      </c>
      <c r="V28" s="499" t="str">
        <f t="shared" si="11"/>
        <v>--</v>
      </c>
      <c r="W28" s="500" t="str">
        <f t="shared" si="12"/>
        <v>--</v>
      </c>
      <c r="X28" s="509" t="str">
        <f t="shared" si="13"/>
        <v>--</v>
      </c>
      <c r="Y28" s="514" t="str">
        <f t="shared" si="14"/>
        <v>--</v>
      </c>
      <c r="Z28" s="62">
        <f t="shared" si="15"/>
      </c>
      <c r="AA28" s="223">
        <f t="shared" si="16"/>
      </c>
      <c r="AB28" s="163"/>
      <c r="AC28" s="74"/>
    </row>
    <row r="29" spans="1:28" s="16" customFormat="1" ht="16.5" customHeight="1">
      <c r="A29" s="73"/>
      <c r="B29" s="193"/>
      <c r="C29" s="51"/>
      <c r="D29" s="52"/>
      <c r="E29" s="53"/>
      <c r="F29" s="54"/>
      <c r="G29" s="55"/>
      <c r="H29" s="629">
        <f t="shared" si="0"/>
        <v>0</v>
      </c>
      <c r="I29" s="57"/>
      <c r="J29" s="58"/>
      <c r="K29" s="59">
        <f t="shared" si="1"/>
      </c>
      <c r="L29" s="60">
        <f t="shared" si="2"/>
      </c>
      <c r="M29" s="56"/>
      <c r="N29" s="28">
        <f t="shared" si="3"/>
      </c>
      <c r="O29" s="61">
        <f t="shared" si="4"/>
      </c>
      <c r="P29" s="23">
        <f t="shared" si="5"/>
      </c>
      <c r="Q29" s="469">
        <f t="shared" si="6"/>
        <v>20</v>
      </c>
      <c r="R29" s="474" t="str">
        <f t="shared" si="7"/>
        <v>--</v>
      </c>
      <c r="S29" s="480" t="str">
        <f t="shared" si="8"/>
        <v>--</v>
      </c>
      <c r="T29" s="487" t="str">
        <f t="shared" si="9"/>
        <v>--</v>
      </c>
      <c r="U29" s="488" t="str">
        <f t="shared" si="10"/>
        <v>--</v>
      </c>
      <c r="V29" s="499" t="str">
        <f t="shared" si="11"/>
        <v>--</v>
      </c>
      <c r="W29" s="500" t="str">
        <f t="shared" si="12"/>
        <v>--</v>
      </c>
      <c r="X29" s="509" t="str">
        <f t="shared" si="13"/>
        <v>--</v>
      </c>
      <c r="Y29" s="514" t="str">
        <f t="shared" si="14"/>
        <v>--</v>
      </c>
      <c r="Z29" s="62">
        <f t="shared" si="15"/>
      </c>
      <c r="AA29" s="223">
        <f t="shared" si="16"/>
      </c>
      <c r="AB29" s="163"/>
    </row>
    <row r="30" spans="1:28" s="16" customFormat="1" ht="16.5" customHeight="1">
      <c r="A30" s="73"/>
      <c r="B30" s="193"/>
      <c r="C30" s="51"/>
      <c r="D30" s="52"/>
      <c r="E30" s="53"/>
      <c r="F30" s="54"/>
      <c r="G30" s="55"/>
      <c r="H30" s="629">
        <f t="shared" si="0"/>
        <v>0</v>
      </c>
      <c r="I30" s="57"/>
      <c r="J30" s="58"/>
      <c r="K30" s="59">
        <f t="shared" si="1"/>
      </c>
      <c r="L30" s="60">
        <f t="shared" si="2"/>
      </c>
      <c r="M30" s="56"/>
      <c r="N30" s="28">
        <f t="shared" si="3"/>
      </c>
      <c r="O30" s="61">
        <f t="shared" si="4"/>
      </c>
      <c r="P30" s="23">
        <f t="shared" si="5"/>
      </c>
      <c r="Q30" s="469">
        <f t="shared" si="6"/>
        <v>20</v>
      </c>
      <c r="R30" s="474" t="str">
        <f t="shared" si="7"/>
        <v>--</v>
      </c>
      <c r="S30" s="480" t="str">
        <f t="shared" si="8"/>
        <v>--</v>
      </c>
      <c r="T30" s="487" t="str">
        <f t="shared" si="9"/>
        <v>--</v>
      </c>
      <c r="U30" s="488" t="str">
        <f t="shared" si="10"/>
        <v>--</v>
      </c>
      <c r="V30" s="499" t="str">
        <f t="shared" si="11"/>
        <v>--</v>
      </c>
      <c r="W30" s="500" t="str">
        <f t="shared" si="12"/>
        <v>--</v>
      </c>
      <c r="X30" s="509" t="str">
        <f t="shared" si="13"/>
        <v>--</v>
      </c>
      <c r="Y30" s="514" t="str">
        <f t="shared" si="14"/>
        <v>--</v>
      </c>
      <c r="Z30" s="62">
        <f t="shared" si="15"/>
      </c>
      <c r="AA30" s="223">
        <f t="shared" si="16"/>
      </c>
      <c r="AB30" s="163"/>
    </row>
    <row r="31" spans="1:28" s="16" customFormat="1" ht="16.5" customHeight="1">
      <c r="A31" s="73"/>
      <c r="B31" s="193"/>
      <c r="C31" s="51"/>
      <c r="D31" s="52"/>
      <c r="E31" s="53"/>
      <c r="F31" s="54"/>
      <c r="G31" s="55"/>
      <c r="H31" s="629">
        <f t="shared" si="0"/>
        <v>0</v>
      </c>
      <c r="I31" s="57"/>
      <c r="J31" s="58"/>
      <c r="K31" s="59">
        <f t="shared" si="1"/>
      </c>
      <c r="L31" s="60">
        <f t="shared" si="2"/>
      </c>
      <c r="M31" s="56"/>
      <c r="N31" s="28">
        <f t="shared" si="3"/>
      </c>
      <c r="O31" s="61">
        <f t="shared" si="4"/>
      </c>
      <c r="P31" s="23">
        <f t="shared" si="5"/>
      </c>
      <c r="Q31" s="469">
        <f t="shared" si="6"/>
        <v>20</v>
      </c>
      <c r="R31" s="474" t="str">
        <f t="shared" si="7"/>
        <v>--</v>
      </c>
      <c r="S31" s="480" t="str">
        <f t="shared" si="8"/>
        <v>--</v>
      </c>
      <c r="T31" s="487" t="str">
        <f t="shared" si="9"/>
        <v>--</v>
      </c>
      <c r="U31" s="488" t="str">
        <f t="shared" si="10"/>
        <v>--</v>
      </c>
      <c r="V31" s="499" t="str">
        <f t="shared" si="11"/>
        <v>--</v>
      </c>
      <c r="W31" s="500" t="str">
        <f t="shared" si="12"/>
        <v>--</v>
      </c>
      <c r="X31" s="509" t="str">
        <f t="shared" si="13"/>
        <v>--</v>
      </c>
      <c r="Y31" s="514" t="str">
        <f t="shared" si="14"/>
        <v>--</v>
      </c>
      <c r="Z31" s="62">
        <f t="shared" si="15"/>
      </c>
      <c r="AA31" s="223">
        <f t="shared" si="16"/>
      </c>
      <c r="AB31" s="163"/>
    </row>
    <row r="32" spans="1:28" s="16" customFormat="1" ht="16.5" customHeight="1">
      <c r="A32" s="73"/>
      <c r="B32" s="193"/>
      <c r="C32" s="51"/>
      <c r="D32" s="52"/>
      <c r="E32" s="63"/>
      <c r="F32" s="54"/>
      <c r="G32" s="55"/>
      <c r="H32" s="629">
        <f t="shared" si="0"/>
        <v>0</v>
      </c>
      <c r="I32" s="57"/>
      <c r="J32" s="58"/>
      <c r="K32" s="59">
        <f t="shared" si="1"/>
      </c>
      <c r="L32" s="60">
        <f t="shared" si="2"/>
      </c>
      <c r="M32" s="56"/>
      <c r="N32" s="28">
        <f t="shared" si="3"/>
      </c>
      <c r="O32" s="61">
        <f t="shared" si="4"/>
      </c>
      <c r="P32" s="23">
        <f t="shared" si="5"/>
      </c>
      <c r="Q32" s="469">
        <f t="shared" si="6"/>
        <v>20</v>
      </c>
      <c r="R32" s="474" t="str">
        <f t="shared" si="7"/>
        <v>--</v>
      </c>
      <c r="S32" s="480" t="str">
        <f t="shared" si="8"/>
        <v>--</v>
      </c>
      <c r="T32" s="487" t="str">
        <f t="shared" si="9"/>
        <v>--</v>
      </c>
      <c r="U32" s="488" t="str">
        <f t="shared" si="10"/>
        <v>--</v>
      </c>
      <c r="V32" s="499" t="str">
        <f t="shared" si="11"/>
        <v>--</v>
      </c>
      <c r="W32" s="500" t="str">
        <f t="shared" si="12"/>
        <v>--</v>
      </c>
      <c r="X32" s="509" t="str">
        <f t="shared" si="13"/>
        <v>--</v>
      </c>
      <c r="Y32" s="514" t="str">
        <f t="shared" si="14"/>
        <v>--</v>
      </c>
      <c r="Z32" s="62">
        <f t="shared" si="15"/>
      </c>
      <c r="AA32" s="223">
        <f t="shared" si="16"/>
      </c>
      <c r="AB32" s="163"/>
    </row>
    <row r="33" spans="1:28" s="16" customFormat="1" ht="16.5" customHeight="1">
      <c r="A33" s="73"/>
      <c r="B33" s="193"/>
      <c r="C33" s="51"/>
      <c r="D33" s="52"/>
      <c r="E33" s="63"/>
      <c r="F33" s="54"/>
      <c r="G33" s="55"/>
      <c r="H33" s="629">
        <f t="shared" si="0"/>
        <v>0</v>
      </c>
      <c r="I33" s="57"/>
      <c r="J33" s="58"/>
      <c r="K33" s="59">
        <f t="shared" si="1"/>
      </c>
      <c r="L33" s="60">
        <f t="shared" si="2"/>
      </c>
      <c r="M33" s="56"/>
      <c r="N33" s="28">
        <f t="shared" si="3"/>
      </c>
      <c r="O33" s="61">
        <f t="shared" si="4"/>
      </c>
      <c r="P33" s="23">
        <f t="shared" si="5"/>
      </c>
      <c r="Q33" s="469">
        <f t="shared" si="6"/>
        <v>20</v>
      </c>
      <c r="R33" s="474" t="str">
        <f t="shared" si="7"/>
        <v>--</v>
      </c>
      <c r="S33" s="480" t="str">
        <f t="shared" si="8"/>
        <v>--</v>
      </c>
      <c r="T33" s="487" t="str">
        <f t="shared" si="9"/>
        <v>--</v>
      </c>
      <c r="U33" s="488" t="str">
        <f t="shared" si="10"/>
        <v>--</v>
      </c>
      <c r="V33" s="499" t="str">
        <f t="shared" si="11"/>
        <v>--</v>
      </c>
      <c r="W33" s="500" t="str">
        <f t="shared" si="12"/>
        <v>--</v>
      </c>
      <c r="X33" s="509" t="str">
        <f t="shared" si="13"/>
        <v>--</v>
      </c>
      <c r="Y33" s="514" t="str">
        <f t="shared" si="14"/>
        <v>--</v>
      </c>
      <c r="Z33" s="62">
        <f t="shared" si="15"/>
      </c>
      <c r="AA33" s="223">
        <f t="shared" si="16"/>
      </c>
      <c r="AB33" s="163"/>
    </row>
    <row r="34" spans="1:28" s="16" customFormat="1" ht="16.5" customHeight="1">
      <c r="A34" s="73"/>
      <c r="B34" s="193"/>
      <c r="C34" s="51"/>
      <c r="D34" s="52"/>
      <c r="E34" s="63"/>
      <c r="F34" s="54"/>
      <c r="G34" s="55"/>
      <c r="H34" s="629">
        <f t="shared" si="0"/>
        <v>0</v>
      </c>
      <c r="I34" s="57"/>
      <c r="J34" s="58"/>
      <c r="K34" s="59">
        <f t="shared" si="1"/>
      </c>
      <c r="L34" s="60">
        <f t="shared" si="2"/>
      </c>
      <c r="M34" s="56"/>
      <c r="N34" s="28">
        <f t="shared" si="3"/>
      </c>
      <c r="O34" s="61">
        <f t="shared" si="4"/>
      </c>
      <c r="P34" s="23">
        <f t="shared" si="5"/>
      </c>
      <c r="Q34" s="469">
        <f t="shared" si="6"/>
        <v>20</v>
      </c>
      <c r="R34" s="474" t="str">
        <f t="shared" si="7"/>
        <v>--</v>
      </c>
      <c r="S34" s="480" t="str">
        <f t="shared" si="8"/>
        <v>--</v>
      </c>
      <c r="T34" s="487" t="str">
        <f t="shared" si="9"/>
        <v>--</v>
      </c>
      <c r="U34" s="488" t="str">
        <f t="shared" si="10"/>
        <v>--</v>
      </c>
      <c r="V34" s="499" t="str">
        <f t="shared" si="11"/>
        <v>--</v>
      </c>
      <c r="W34" s="500" t="str">
        <f t="shared" si="12"/>
        <v>--</v>
      </c>
      <c r="X34" s="509" t="str">
        <f t="shared" si="13"/>
        <v>--</v>
      </c>
      <c r="Y34" s="514" t="str">
        <f t="shared" si="14"/>
        <v>--</v>
      </c>
      <c r="Z34" s="62">
        <f t="shared" si="15"/>
      </c>
      <c r="AA34" s="223">
        <f t="shared" si="16"/>
      </c>
      <c r="AB34" s="163"/>
    </row>
    <row r="35" spans="1:28" s="16" customFormat="1" ht="16.5" customHeight="1">
      <c r="A35" s="73"/>
      <c r="B35" s="193"/>
      <c r="C35" s="51"/>
      <c r="D35" s="52"/>
      <c r="E35" s="63"/>
      <c r="F35" s="54"/>
      <c r="G35" s="55"/>
      <c r="H35" s="629">
        <f t="shared" si="0"/>
        <v>0</v>
      </c>
      <c r="I35" s="57"/>
      <c r="J35" s="58"/>
      <c r="K35" s="59">
        <f t="shared" si="1"/>
      </c>
      <c r="L35" s="60">
        <f t="shared" si="2"/>
      </c>
      <c r="M35" s="56"/>
      <c r="N35" s="28">
        <f t="shared" si="3"/>
      </c>
      <c r="O35" s="61">
        <f t="shared" si="4"/>
      </c>
      <c r="P35" s="23">
        <f t="shared" si="5"/>
      </c>
      <c r="Q35" s="469">
        <f t="shared" si="6"/>
        <v>20</v>
      </c>
      <c r="R35" s="474" t="str">
        <f t="shared" si="7"/>
        <v>--</v>
      </c>
      <c r="S35" s="480" t="str">
        <f t="shared" si="8"/>
        <v>--</v>
      </c>
      <c r="T35" s="487" t="str">
        <f t="shared" si="9"/>
        <v>--</v>
      </c>
      <c r="U35" s="488" t="str">
        <f t="shared" si="10"/>
        <v>--</v>
      </c>
      <c r="V35" s="499" t="str">
        <f t="shared" si="11"/>
        <v>--</v>
      </c>
      <c r="W35" s="500" t="str">
        <f t="shared" si="12"/>
        <v>--</v>
      </c>
      <c r="X35" s="509" t="str">
        <f t="shared" si="13"/>
        <v>--</v>
      </c>
      <c r="Y35" s="514" t="str">
        <f t="shared" si="14"/>
        <v>--</v>
      </c>
      <c r="Z35" s="62">
        <f t="shared" si="15"/>
      </c>
      <c r="AA35" s="223">
        <f t="shared" si="16"/>
      </c>
      <c r="AB35" s="163"/>
    </row>
    <row r="36" spans="1:28" s="16" customFormat="1" ht="16.5" customHeight="1">
      <c r="A36" s="73"/>
      <c r="B36" s="193"/>
      <c r="C36" s="51"/>
      <c r="D36" s="52"/>
      <c r="E36" s="63"/>
      <c r="F36" s="54"/>
      <c r="G36" s="55"/>
      <c r="H36" s="629">
        <f t="shared" si="0"/>
        <v>0</v>
      </c>
      <c r="I36" s="57"/>
      <c r="J36" s="58"/>
      <c r="K36" s="59">
        <f t="shared" si="1"/>
      </c>
      <c r="L36" s="60">
        <f t="shared" si="2"/>
      </c>
      <c r="M36" s="56"/>
      <c r="N36" s="28">
        <f t="shared" si="3"/>
      </c>
      <c r="O36" s="61">
        <f t="shared" si="4"/>
      </c>
      <c r="P36" s="23">
        <f t="shared" si="5"/>
      </c>
      <c r="Q36" s="469">
        <f t="shared" si="6"/>
        <v>20</v>
      </c>
      <c r="R36" s="474" t="str">
        <f t="shared" si="7"/>
        <v>--</v>
      </c>
      <c r="S36" s="480" t="str">
        <f t="shared" si="8"/>
        <v>--</v>
      </c>
      <c r="T36" s="487" t="str">
        <f t="shared" si="9"/>
        <v>--</v>
      </c>
      <c r="U36" s="488" t="str">
        <f t="shared" si="10"/>
        <v>--</v>
      </c>
      <c r="V36" s="499" t="str">
        <f t="shared" si="11"/>
        <v>--</v>
      </c>
      <c r="W36" s="500" t="str">
        <f t="shared" si="12"/>
        <v>--</v>
      </c>
      <c r="X36" s="509" t="str">
        <f t="shared" si="13"/>
        <v>--</v>
      </c>
      <c r="Y36" s="514" t="str">
        <f t="shared" si="14"/>
        <v>--</v>
      </c>
      <c r="Z36" s="62">
        <f t="shared" si="15"/>
      </c>
      <c r="AA36" s="223">
        <f t="shared" si="16"/>
      </c>
      <c r="AB36" s="163"/>
    </row>
    <row r="37" spans="1:28" s="16" customFormat="1" ht="16.5" customHeight="1">
      <c r="A37" s="73"/>
      <c r="B37" s="193"/>
      <c r="C37" s="51"/>
      <c r="D37" s="52"/>
      <c r="E37" s="63"/>
      <c r="F37" s="54"/>
      <c r="G37" s="55"/>
      <c r="H37" s="629">
        <f t="shared" si="0"/>
        <v>0</v>
      </c>
      <c r="I37" s="57"/>
      <c r="J37" s="58"/>
      <c r="K37" s="59">
        <f t="shared" si="1"/>
      </c>
      <c r="L37" s="60">
        <f t="shared" si="2"/>
      </c>
      <c r="M37" s="56"/>
      <c r="N37" s="28">
        <f t="shared" si="3"/>
      </c>
      <c r="O37" s="61">
        <f t="shared" si="4"/>
      </c>
      <c r="P37" s="23">
        <f t="shared" si="5"/>
      </c>
      <c r="Q37" s="469">
        <f t="shared" si="6"/>
        <v>20</v>
      </c>
      <c r="R37" s="474" t="str">
        <f t="shared" si="7"/>
        <v>--</v>
      </c>
      <c r="S37" s="480" t="str">
        <f t="shared" si="8"/>
        <v>--</v>
      </c>
      <c r="T37" s="487" t="str">
        <f t="shared" si="9"/>
        <v>--</v>
      </c>
      <c r="U37" s="488" t="str">
        <f t="shared" si="10"/>
        <v>--</v>
      </c>
      <c r="V37" s="499" t="str">
        <f t="shared" si="11"/>
        <v>--</v>
      </c>
      <c r="W37" s="500" t="str">
        <f t="shared" si="12"/>
        <v>--</v>
      </c>
      <c r="X37" s="509" t="str">
        <f t="shared" si="13"/>
        <v>--</v>
      </c>
      <c r="Y37" s="514" t="str">
        <f t="shared" si="14"/>
        <v>--</v>
      </c>
      <c r="Z37" s="62">
        <f t="shared" si="15"/>
      </c>
      <c r="AA37" s="223">
        <f t="shared" si="16"/>
      </c>
      <c r="AB37" s="163"/>
    </row>
    <row r="38" spans="1:28" s="16" customFormat="1" ht="16.5" customHeight="1">
      <c r="A38" s="73"/>
      <c r="B38" s="193"/>
      <c r="C38" s="51"/>
      <c r="D38" s="52"/>
      <c r="E38" s="63"/>
      <c r="F38" s="54"/>
      <c r="G38" s="55"/>
      <c r="H38" s="629">
        <f t="shared" si="0"/>
        <v>0</v>
      </c>
      <c r="I38" s="57"/>
      <c r="J38" s="58"/>
      <c r="K38" s="59">
        <f t="shared" si="1"/>
      </c>
      <c r="L38" s="60">
        <f t="shared" si="2"/>
      </c>
      <c r="M38" s="56"/>
      <c r="N38" s="28">
        <f t="shared" si="3"/>
      </c>
      <c r="O38" s="61">
        <f t="shared" si="4"/>
      </c>
      <c r="P38" s="23">
        <f t="shared" si="5"/>
      </c>
      <c r="Q38" s="469">
        <f t="shared" si="6"/>
        <v>20</v>
      </c>
      <c r="R38" s="474" t="str">
        <f t="shared" si="7"/>
        <v>--</v>
      </c>
      <c r="S38" s="480" t="str">
        <f t="shared" si="8"/>
        <v>--</v>
      </c>
      <c r="T38" s="487" t="str">
        <f t="shared" si="9"/>
        <v>--</v>
      </c>
      <c r="U38" s="488" t="str">
        <f t="shared" si="10"/>
        <v>--</v>
      </c>
      <c r="V38" s="499" t="str">
        <f t="shared" si="11"/>
        <v>--</v>
      </c>
      <c r="W38" s="500" t="str">
        <f t="shared" si="12"/>
        <v>--</v>
      </c>
      <c r="X38" s="509" t="str">
        <f t="shared" si="13"/>
        <v>--</v>
      </c>
      <c r="Y38" s="514" t="str">
        <f t="shared" si="14"/>
        <v>--</v>
      </c>
      <c r="Z38" s="62">
        <f t="shared" si="15"/>
      </c>
      <c r="AA38" s="223">
        <f t="shared" si="16"/>
      </c>
      <c r="AB38" s="163"/>
    </row>
    <row r="39" spans="1:28" s="16" customFormat="1" ht="16.5" customHeight="1">
      <c r="A39" s="73"/>
      <c r="B39" s="193"/>
      <c r="C39" s="51"/>
      <c r="D39" s="52"/>
      <c r="E39" s="63"/>
      <c r="F39" s="54"/>
      <c r="G39" s="55"/>
      <c r="H39" s="629">
        <f t="shared" si="0"/>
        <v>0</v>
      </c>
      <c r="I39" s="57"/>
      <c r="J39" s="58"/>
      <c r="K39" s="59">
        <f t="shared" si="1"/>
      </c>
      <c r="L39" s="60">
        <f t="shared" si="2"/>
      </c>
      <c r="M39" s="56"/>
      <c r="N39" s="28">
        <f t="shared" si="3"/>
      </c>
      <c r="O39" s="61">
        <f t="shared" si="4"/>
      </c>
      <c r="P39" s="23">
        <f t="shared" si="5"/>
      </c>
      <c r="Q39" s="469">
        <f t="shared" si="6"/>
        <v>20</v>
      </c>
      <c r="R39" s="474" t="str">
        <f t="shared" si="7"/>
        <v>--</v>
      </c>
      <c r="S39" s="480" t="str">
        <f t="shared" si="8"/>
        <v>--</v>
      </c>
      <c r="T39" s="487" t="str">
        <f t="shared" si="9"/>
        <v>--</v>
      </c>
      <c r="U39" s="488" t="str">
        <f t="shared" si="10"/>
        <v>--</v>
      </c>
      <c r="V39" s="499" t="str">
        <f t="shared" si="11"/>
        <v>--</v>
      </c>
      <c r="W39" s="500" t="str">
        <f t="shared" si="12"/>
        <v>--</v>
      </c>
      <c r="X39" s="509" t="str">
        <f t="shared" si="13"/>
        <v>--</v>
      </c>
      <c r="Y39" s="514" t="str">
        <f t="shared" si="14"/>
        <v>--</v>
      </c>
      <c r="Z39" s="62">
        <f t="shared" si="15"/>
      </c>
      <c r="AA39" s="223">
        <f t="shared" si="16"/>
      </c>
      <c r="AB39" s="163"/>
    </row>
    <row r="40" spans="1:28" s="16" customFormat="1" ht="16.5" customHeight="1">
      <c r="A40" s="73"/>
      <c r="B40" s="193"/>
      <c r="C40" s="51"/>
      <c r="D40" s="52"/>
      <c r="E40" s="63"/>
      <c r="F40" s="54"/>
      <c r="G40" s="55"/>
      <c r="H40" s="629">
        <f t="shared" si="0"/>
        <v>0</v>
      </c>
      <c r="I40" s="57"/>
      <c r="J40" s="58"/>
      <c r="K40" s="59">
        <f t="shared" si="1"/>
      </c>
      <c r="L40" s="60">
        <f t="shared" si="2"/>
      </c>
      <c r="M40" s="56"/>
      <c r="N40" s="28">
        <f t="shared" si="3"/>
      </c>
      <c r="O40" s="61">
        <f t="shared" si="4"/>
      </c>
      <c r="P40" s="23">
        <f t="shared" si="5"/>
      </c>
      <c r="Q40" s="469">
        <f t="shared" si="6"/>
        <v>20</v>
      </c>
      <c r="R40" s="474" t="str">
        <f t="shared" si="7"/>
        <v>--</v>
      </c>
      <c r="S40" s="480" t="str">
        <f t="shared" si="8"/>
        <v>--</v>
      </c>
      <c r="T40" s="487" t="str">
        <f t="shared" si="9"/>
        <v>--</v>
      </c>
      <c r="U40" s="488" t="str">
        <f t="shared" si="10"/>
        <v>--</v>
      </c>
      <c r="V40" s="499" t="str">
        <f t="shared" si="11"/>
        <v>--</v>
      </c>
      <c r="W40" s="500" t="str">
        <f t="shared" si="12"/>
        <v>--</v>
      </c>
      <c r="X40" s="509" t="str">
        <f t="shared" si="13"/>
        <v>--</v>
      </c>
      <c r="Y40" s="514" t="str">
        <f t="shared" si="14"/>
        <v>--</v>
      </c>
      <c r="Z40" s="62">
        <f t="shared" si="15"/>
      </c>
      <c r="AA40" s="223">
        <f t="shared" si="16"/>
      </c>
      <c r="AB40" s="163"/>
    </row>
    <row r="41" spans="1:28" s="16" customFormat="1" ht="16.5" customHeight="1">
      <c r="A41" s="73"/>
      <c r="B41" s="193"/>
      <c r="C41" s="51"/>
      <c r="D41" s="52"/>
      <c r="E41" s="63"/>
      <c r="F41" s="54"/>
      <c r="G41" s="55"/>
      <c r="H41" s="629">
        <f t="shared" si="0"/>
        <v>0</v>
      </c>
      <c r="I41" s="57"/>
      <c r="J41" s="58"/>
      <c r="K41" s="59">
        <f t="shared" si="1"/>
      </c>
      <c r="L41" s="60">
        <f t="shared" si="2"/>
      </c>
      <c r="M41" s="56"/>
      <c r="N41" s="28">
        <f t="shared" si="3"/>
      </c>
      <c r="O41" s="61">
        <f t="shared" si="4"/>
      </c>
      <c r="P41" s="23">
        <f t="shared" si="5"/>
      </c>
      <c r="Q41" s="469">
        <f t="shared" si="6"/>
        <v>20</v>
      </c>
      <c r="R41" s="474" t="str">
        <f t="shared" si="7"/>
        <v>--</v>
      </c>
      <c r="S41" s="480" t="str">
        <f t="shared" si="8"/>
        <v>--</v>
      </c>
      <c r="T41" s="487" t="str">
        <f t="shared" si="9"/>
        <v>--</v>
      </c>
      <c r="U41" s="488" t="str">
        <f t="shared" si="10"/>
        <v>--</v>
      </c>
      <c r="V41" s="499" t="str">
        <f t="shared" si="11"/>
        <v>--</v>
      </c>
      <c r="W41" s="500" t="str">
        <f t="shared" si="12"/>
        <v>--</v>
      </c>
      <c r="X41" s="509" t="str">
        <f t="shared" si="13"/>
        <v>--</v>
      </c>
      <c r="Y41" s="514" t="str">
        <f t="shared" si="14"/>
        <v>--</v>
      </c>
      <c r="Z41" s="62">
        <f t="shared" si="15"/>
      </c>
      <c r="AA41" s="223">
        <f t="shared" si="16"/>
      </c>
      <c r="AB41" s="163"/>
    </row>
    <row r="42" spans="1:28" s="16" customFormat="1" ht="16.5" customHeight="1" thickBot="1">
      <c r="A42" s="73"/>
      <c r="B42" s="193"/>
      <c r="C42" s="64"/>
      <c r="D42" s="65"/>
      <c r="E42" s="66"/>
      <c r="F42" s="65"/>
      <c r="G42" s="67"/>
      <c r="H42" s="350"/>
      <c r="I42" s="64"/>
      <c r="J42" s="69"/>
      <c r="K42" s="69"/>
      <c r="L42" s="70"/>
      <c r="M42" s="68"/>
      <c r="N42" s="38"/>
      <c r="O42" s="71"/>
      <c r="P42" s="68"/>
      <c r="Q42" s="470"/>
      <c r="R42" s="475"/>
      <c r="S42" s="481"/>
      <c r="T42" s="489"/>
      <c r="U42" s="490"/>
      <c r="V42" s="501"/>
      <c r="W42" s="502"/>
      <c r="X42" s="510"/>
      <c r="Y42" s="515"/>
      <c r="Z42" s="72"/>
      <c r="AA42" s="224"/>
      <c r="AB42" s="163"/>
    </row>
    <row r="43" spans="1:28" s="16" customFormat="1" ht="16.5" customHeight="1" thickBot="1" thickTop="1">
      <c r="A43" s="73"/>
      <c r="B43" s="193"/>
      <c r="C43" s="282" t="s">
        <v>96</v>
      </c>
      <c r="D43" s="283" t="s">
        <v>97</v>
      </c>
      <c r="E43" s="74"/>
      <c r="F43" s="74"/>
      <c r="G43" s="74"/>
      <c r="H43" s="74"/>
      <c r="I43" s="74"/>
      <c r="J43" s="75"/>
      <c r="K43" s="74"/>
      <c r="L43" s="74"/>
      <c r="M43" s="74"/>
      <c r="N43" s="74"/>
      <c r="O43" s="74"/>
      <c r="P43" s="74"/>
      <c r="Q43" s="74"/>
      <c r="R43" s="476">
        <f aca="true" t="shared" si="17" ref="R43:Y43">SUM(R20:R42)</f>
        <v>4560.804</v>
      </c>
      <c r="S43" s="482">
        <f t="shared" si="17"/>
        <v>0</v>
      </c>
      <c r="T43" s="491">
        <f t="shared" si="17"/>
        <v>0</v>
      </c>
      <c r="U43" s="492">
        <f t="shared" si="17"/>
        <v>0</v>
      </c>
      <c r="V43" s="503">
        <f t="shared" si="17"/>
        <v>0</v>
      </c>
      <c r="W43" s="504">
        <f t="shared" si="17"/>
        <v>0</v>
      </c>
      <c r="X43" s="565">
        <f t="shared" si="17"/>
        <v>0</v>
      </c>
      <c r="Y43" s="566">
        <f t="shared" si="17"/>
        <v>0</v>
      </c>
      <c r="Z43" s="73"/>
      <c r="AA43" s="712">
        <f>ROUND(SUM(AA20:AA42),2)</f>
        <v>4560.8</v>
      </c>
      <c r="AB43" s="163"/>
    </row>
    <row r="44" spans="1:28" s="286" customFormat="1" ht="9.75" thickTop="1">
      <c r="A44" s="296"/>
      <c r="B44" s="297"/>
      <c r="C44" s="284"/>
      <c r="D44" s="285" t="s">
        <v>98</v>
      </c>
      <c r="E44" s="298"/>
      <c r="F44" s="298"/>
      <c r="G44" s="298"/>
      <c r="H44" s="298"/>
      <c r="I44" s="298"/>
      <c r="J44" s="299"/>
      <c r="K44" s="298"/>
      <c r="L44" s="298"/>
      <c r="M44" s="298"/>
      <c r="N44" s="298"/>
      <c r="O44" s="298"/>
      <c r="P44" s="298"/>
      <c r="Q44" s="298"/>
      <c r="R44" s="301"/>
      <c r="S44" s="301"/>
      <c r="T44" s="301"/>
      <c r="U44" s="301"/>
      <c r="V44" s="301"/>
      <c r="W44" s="301"/>
      <c r="X44" s="301"/>
      <c r="Y44" s="301"/>
      <c r="Z44" s="296"/>
      <c r="AA44" s="300"/>
      <c r="AB44" s="302"/>
    </row>
    <row r="45" spans="1:28" s="16" customFormat="1" ht="16.5" customHeight="1" thickBot="1">
      <c r="A45" s="73"/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8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W160"/>
  <sheetViews>
    <sheetView zoomScale="75" zoomScaleNormal="75" workbookViewId="0" topLeftCell="C16">
      <selection activeCell="T45" sqref="T4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108" customFormat="1" ht="26.25">
      <c r="A1" s="158"/>
      <c r="U1" s="691"/>
    </row>
    <row r="2" spans="1:21" s="108" customFormat="1" ht="26.25">
      <c r="A2" s="158"/>
      <c r="B2" s="109" t="str">
        <f>+'tot-0103'!B2</f>
        <v>ANEXO a la Resolución E.N.R.E. N°  113  /2002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21" s="16" customFormat="1" ht="13.5" thickTop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227"/>
    </row>
    <row r="8" spans="2:21" s="10" customFormat="1" ht="20.25">
      <c r="B8" s="173"/>
      <c r="C8" s="11"/>
      <c r="D8" s="76" t="s">
        <v>69</v>
      </c>
      <c r="L8" s="203"/>
      <c r="M8" s="203"/>
      <c r="N8" s="46"/>
      <c r="O8" s="11"/>
      <c r="P8" s="11"/>
      <c r="Q8" s="11"/>
      <c r="R8" s="11"/>
      <c r="S8" s="11"/>
      <c r="T8" s="11"/>
      <c r="U8" s="236"/>
    </row>
    <row r="9" spans="2:21" s="16" customFormat="1" ht="12.75">
      <c r="B9" s="140"/>
      <c r="C9" s="1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14"/>
      <c r="P9" s="14"/>
      <c r="Q9" s="14"/>
      <c r="R9" s="14"/>
      <c r="S9" s="14"/>
      <c r="T9" s="14"/>
      <c r="U9" s="144"/>
    </row>
    <row r="10" spans="2:21" s="10" customFormat="1" ht="20.25">
      <c r="B10" s="173"/>
      <c r="C10" s="11"/>
      <c r="D10" s="207" t="s">
        <v>111</v>
      </c>
      <c r="E10" s="47"/>
      <c r="F10" s="203"/>
      <c r="G10" s="237"/>
      <c r="I10" s="237"/>
      <c r="J10" s="237"/>
      <c r="K10" s="237"/>
      <c r="L10" s="237"/>
      <c r="M10" s="237"/>
      <c r="N10" s="237"/>
      <c r="O10" s="11"/>
      <c r="P10" s="11"/>
      <c r="Q10" s="11"/>
      <c r="R10" s="11"/>
      <c r="S10" s="11"/>
      <c r="T10" s="11"/>
      <c r="U10" s="236"/>
    </row>
    <row r="11" spans="2:21" s="16" customFormat="1" ht="13.5">
      <c r="B11" s="140"/>
      <c r="C11" s="14"/>
      <c r="D11" s="235"/>
      <c r="E11" s="235"/>
      <c r="F11" s="73"/>
      <c r="G11" s="228"/>
      <c r="H11" s="142"/>
      <c r="I11" s="228"/>
      <c r="J11" s="228"/>
      <c r="K11" s="228"/>
      <c r="L11" s="228"/>
      <c r="M11" s="228"/>
      <c r="N11" s="228"/>
      <c r="O11" s="14"/>
      <c r="P11" s="14"/>
      <c r="Q11" s="14"/>
      <c r="R11" s="14"/>
      <c r="S11" s="14"/>
      <c r="T11" s="14"/>
      <c r="U11" s="144"/>
    </row>
    <row r="12" spans="2:21" s="10" customFormat="1" ht="20.25">
      <c r="B12" s="173"/>
      <c r="C12" s="11"/>
      <c r="D12" s="207" t="s">
        <v>112</v>
      </c>
      <c r="E12" s="47"/>
      <c r="F12" s="203"/>
      <c r="G12" s="237"/>
      <c r="I12" s="237"/>
      <c r="J12" s="237"/>
      <c r="K12" s="237"/>
      <c r="L12" s="237"/>
      <c r="M12" s="237"/>
      <c r="N12" s="237"/>
      <c r="O12" s="11"/>
      <c r="P12" s="11"/>
      <c r="Q12" s="11"/>
      <c r="R12" s="11"/>
      <c r="S12" s="11"/>
      <c r="T12" s="11"/>
      <c r="U12" s="236"/>
    </row>
    <row r="13" spans="2:21" s="16" customFormat="1" ht="13.5">
      <c r="B13" s="140"/>
      <c r="C13" s="14"/>
      <c r="D13" s="235"/>
      <c r="E13" s="235"/>
      <c r="F13" s="73"/>
      <c r="G13" s="228"/>
      <c r="H13" s="142"/>
      <c r="I13" s="228"/>
      <c r="J13" s="228"/>
      <c r="K13" s="228"/>
      <c r="L13" s="228"/>
      <c r="M13" s="228"/>
      <c r="N13" s="228"/>
      <c r="O13" s="14"/>
      <c r="P13" s="14"/>
      <c r="Q13" s="14"/>
      <c r="R13" s="14"/>
      <c r="S13" s="14"/>
      <c r="T13" s="14"/>
      <c r="U13" s="144"/>
    </row>
    <row r="14" spans="2:21" s="16" customFormat="1" ht="19.5">
      <c r="B14" s="128" t="str">
        <f>+'tot-0103'!B14</f>
        <v>Desde el 01 al 31 de marzo de 2001</v>
      </c>
      <c r="C14" s="131"/>
      <c r="D14" s="131"/>
      <c r="E14" s="131"/>
      <c r="F14" s="131"/>
      <c r="G14" s="238"/>
      <c r="H14" s="238"/>
      <c r="I14" s="238"/>
      <c r="J14" s="238"/>
      <c r="K14" s="238"/>
      <c r="L14" s="238"/>
      <c r="M14" s="238"/>
      <c r="N14" s="238"/>
      <c r="O14" s="131"/>
      <c r="P14" s="131"/>
      <c r="Q14" s="131"/>
      <c r="R14" s="131"/>
      <c r="S14" s="131"/>
      <c r="T14" s="131"/>
      <c r="U14" s="239"/>
    </row>
    <row r="15" spans="2:21" s="16" customFormat="1" ht="14.25" thickBot="1">
      <c r="B15" s="240"/>
      <c r="C15" s="241"/>
      <c r="D15" s="241"/>
      <c r="E15" s="241"/>
      <c r="F15" s="241"/>
      <c r="G15" s="242"/>
      <c r="H15" s="242"/>
      <c r="I15" s="242"/>
      <c r="J15" s="242"/>
      <c r="K15" s="242"/>
      <c r="L15" s="242"/>
      <c r="M15" s="242"/>
      <c r="N15" s="242"/>
      <c r="O15" s="241"/>
      <c r="P15" s="241"/>
      <c r="Q15" s="241"/>
      <c r="R15" s="241"/>
      <c r="S15" s="241"/>
      <c r="T15" s="241"/>
      <c r="U15" s="243"/>
    </row>
    <row r="16" spans="2:21" s="16" customFormat="1" ht="15" thickBot="1" thickTop="1">
      <c r="B16" s="140"/>
      <c r="C16" s="14"/>
      <c r="D16" s="244"/>
      <c r="E16" s="244"/>
      <c r="F16" s="245" t="s">
        <v>113</v>
      </c>
      <c r="G16" s="14"/>
      <c r="H16" s="14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4"/>
    </row>
    <row r="17" spans="2:21" s="16" customFormat="1" ht="16.5" customHeight="1" thickBot="1" thickTop="1">
      <c r="B17" s="140"/>
      <c r="C17" s="14"/>
      <c r="D17" s="696" t="s">
        <v>114</v>
      </c>
      <c r="E17" s="697">
        <v>30.168</v>
      </c>
      <c r="F17" s="698">
        <v>200</v>
      </c>
      <c r="T17" s="165"/>
      <c r="U17" s="144"/>
    </row>
    <row r="18" spans="2:21" s="16" customFormat="1" ht="16.5" customHeight="1" thickBot="1" thickTop="1">
      <c r="B18" s="140"/>
      <c r="C18" s="14"/>
      <c r="D18" s="699" t="s">
        <v>115</v>
      </c>
      <c r="E18" s="700">
        <v>27.15</v>
      </c>
      <c r="F18" s="698">
        <v>100</v>
      </c>
      <c r="M18" s="14"/>
      <c r="N18" s="14"/>
      <c r="O18" s="14"/>
      <c r="P18" s="14"/>
      <c r="Q18" s="14"/>
      <c r="R18" s="14"/>
      <c r="S18" s="14"/>
      <c r="T18" s="14"/>
      <c r="U18" s="144"/>
    </row>
    <row r="19" spans="2:21" s="16" customFormat="1" ht="16.5" customHeight="1" thickBot="1" thickTop="1">
      <c r="B19" s="140"/>
      <c r="C19" s="14"/>
      <c r="D19" s="701" t="s">
        <v>116</v>
      </c>
      <c r="E19" s="700">
        <v>24.135</v>
      </c>
      <c r="F19" s="698">
        <v>40</v>
      </c>
      <c r="I19" s="693"/>
      <c r="J19" s="694"/>
      <c r="K19" s="14"/>
      <c r="M19" s="14"/>
      <c r="O19" s="14"/>
      <c r="P19" s="14"/>
      <c r="Q19" s="14"/>
      <c r="R19" s="14"/>
      <c r="S19" s="14"/>
      <c r="T19" s="14"/>
      <c r="U19" s="144"/>
    </row>
    <row r="20" spans="2:21" s="16" customFormat="1" ht="16.5" customHeight="1" thickBot="1" thickTop="1">
      <c r="B20" s="140"/>
      <c r="C20" s="21"/>
      <c r="D20" s="93"/>
      <c r="E20" s="93"/>
      <c r="F20" s="229"/>
      <c r="G20" s="230"/>
      <c r="H20" s="230"/>
      <c r="I20" s="230"/>
      <c r="J20" s="230"/>
      <c r="K20" s="230"/>
      <c r="L20" s="230"/>
      <c r="M20" s="230"/>
      <c r="N20" s="84"/>
      <c r="O20" s="231"/>
      <c r="P20" s="232"/>
      <c r="Q20" s="232"/>
      <c r="R20" s="232"/>
      <c r="S20" s="233"/>
      <c r="T20" s="234"/>
      <c r="U20" s="144"/>
    </row>
    <row r="21" spans="2:21" s="16" customFormat="1" ht="33.75" customHeight="1" thickBot="1" thickTop="1">
      <c r="B21" s="140"/>
      <c r="C21" s="180" t="s">
        <v>74</v>
      </c>
      <c r="D21" s="186" t="s">
        <v>105</v>
      </c>
      <c r="E21" s="184" t="s">
        <v>43</v>
      </c>
      <c r="F21" s="247" t="s">
        <v>75</v>
      </c>
      <c r="G21" s="348" t="s">
        <v>79</v>
      </c>
      <c r="H21" s="182" t="s">
        <v>80</v>
      </c>
      <c r="I21" s="184" t="s">
        <v>81</v>
      </c>
      <c r="J21" s="248" t="s">
        <v>82</v>
      </c>
      <c r="K21" s="248" t="s">
        <v>83</v>
      </c>
      <c r="L21" s="185" t="s">
        <v>84</v>
      </c>
      <c r="M21" s="183" t="s">
        <v>87</v>
      </c>
      <c r="N21" s="517" t="s">
        <v>78</v>
      </c>
      <c r="O21" s="505" t="s">
        <v>99</v>
      </c>
      <c r="P21" s="526" t="s">
        <v>117</v>
      </c>
      <c r="Q21" s="527"/>
      <c r="R21" s="539" t="s">
        <v>92</v>
      </c>
      <c r="S21" s="187" t="s">
        <v>94</v>
      </c>
      <c r="T21" s="221" t="s">
        <v>95</v>
      </c>
      <c r="U21" s="144"/>
    </row>
    <row r="22" spans="2:21" s="16" customFormat="1" ht="16.5" customHeight="1" hidden="1" thickTop="1">
      <c r="B22" s="140"/>
      <c r="C22" s="20"/>
      <c r="D22" s="78"/>
      <c r="E22" s="78"/>
      <c r="F22" s="78"/>
      <c r="G22" s="356"/>
      <c r="H22" s="78"/>
      <c r="I22" s="78"/>
      <c r="J22" s="78"/>
      <c r="K22" s="78"/>
      <c r="L22" s="78"/>
      <c r="M22" s="78"/>
      <c r="N22" s="520"/>
      <c r="O22" s="524"/>
      <c r="P22" s="528"/>
      <c r="Q22" s="529"/>
      <c r="R22" s="540"/>
      <c r="S22" s="78"/>
      <c r="T22" s="633"/>
      <c r="U22" s="144"/>
    </row>
    <row r="23" spans="2:21" s="16" customFormat="1" ht="16.5" customHeight="1" thickTop="1">
      <c r="B23" s="140"/>
      <c r="C23" s="20"/>
      <c r="D23" s="79"/>
      <c r="E23" s="79"/>
      <c r="F23" s="79"/>
      <c r="G23" s="357"/>
      <c r="H23" s="79"/>
      <c r="I23" s="79"/>
      <c r="J23" s="79"/>
      <c r="K23" s="79"/>
      <c r="L23" s="79"/>
      <c r="M23" s="79"/>
      <c r="N23" s="516"/>
      <c r="O23" s="521"/>
      <c r="P23" s="530"/>
      <c r="Q23" s="531"/>
      <c r="R23" s="536"/>
      <c r="S23" s="79"/>
      <c r="T23" s="249"/>
      <c r="U23" s="144"/>
    </row>
    <row r="24" spans="2:21" s="16" customFormat="1" ht="16.5" customHeight="1">
      <c r="B24" s="140"/>
      <c r="C24" s="20">
        <v>37</v>
      </c>
      <c r="D24" s="79" t="s">
        <v>37</v>
      </c>
      <c r="E24" s="79" t="s">
        <v>38</v>
      </c>
      <c r="F24" s="80">
        <v>500</v>
      </c>
      <c r="G24" s="349">
        <f aca="true" t="shared" si="0" ref="G24:G43">IF(F24=500,$E$17,IF(F24=220,$E$18,$E$19))</f>
        <v>30.168</v>
      </c>
      <c r="H24" s="81">
        <v>36954.34027777778</v>
      </c>
      <c r="I24" s="82">
        <v>36954.674305555556</v>
      </c>
      <c r="J24" s="83">
        <f aca="true" t="shared" si="1" ref="J24:J43">IF(D24="","",(I24-H24)*24)</f>
        <v>8.016666666604578</v>
      </c>
      <c r="K24" s="30">
        <f aca="true" t="shared" si="2" ref="K24:K43">IF(D24="","",ROUND((I24-H24)*24*60,0))</f>
        <v>481</v>
      </c>
      <c r="L24" s="27" t="s">
        <v>177</v>
      </c>
      <c r="M24" s="23" t="str">
        <f aca="true" t="shared" si="3" ref="M24:M43">IF(D24="","",IF(L24="P","--","NO"))</f>
        <v>--</v>
      </c>
      <c r="N24" s="518">
        <f aca="true" t="shared" si="4" ref="N24:N43">IF(F24=500,$F$17,IF(F24=220,$F$18,$F$19))</f>
        <v>200</v>
      </c>
      <c r="O24" s="522">
        <f aca="true" t="shared" si="5" ref="O24:O43">IF(L24="P",G24*N24*ROUND(K24/60,2)*0.1,"--")</f>
        <v>4838.9472</v>
      </c>
      <c r="P24" s="530" t="str">
        <f aca="true" t="shared" si="6" ref="P24:P43">IF(AND(L24="F",M24="NO"),G24*N24,"--")</f>
        <v>--</v>
      </c>
      <c r="Q24" s="531" t="str">
        <f aca="true" t="shared" si="7" ref="Q24:Q43">IF(L24="F",G24*N24*ROUND(K24/60,2),"--")</f>
        <v>--</v>
      </c>
      <c r="R24" s="536" t="str">
        <f aca="true" t="shared" si="8" ref="R24:R43">IF(L24="RF",G24*N24*ROUND(K24/60,2),"--")</f>
        <v>--</v>
      </c>
      <c r="S24" s="85" t="str">
        <f aca="true" t="shared" si="9" ref="S24:S43">IF(D24="","","SI")</f>
        <v>SI</v>
      </c>
      <c r="T24" s="86">
        <f aca="true" t="shared" si="10" ref="T24:T43">IF(D24="","",SUM(O24:R24)*IF(S24="SI",1,2))</f>
        <v>4838.9472</v>
      </c>
      <c r="U24" s="144"/>
    </row>
    <row r="25" spans="2:21" s="16" customFormat="1" ht="16.5" customHeight="1">
      <c r="B25" s="140"/>
      <c r="C25" s="20">
        <v>38</v>
      </c>
      <c r="D25" s="79" t="s">
        <v>33</v>
      </c>
      <c r="E25" s="79" t="s">
        <v>34</v>
      </c>
      <c r="F25" s="80">
        <v>132</v>
      </c>
      <c r="G25" s="349">
        <f t="shared" si="0"/>
        <v>24.135</v>
      </c>
      <c r="H25" s="81">
        <v>36956.38125</v>
      </c>
      <c r="I25" s="82">
        <v>36956.67569444444</v>
      </c>
      <c r="J25" s="83">
        <f t="shared" si="1"/>
        <v>7.066666666651145</v>
      </c>
      <c r="K25" s="30">
        <f t="shared" si="2"/>
        <v>424</v>
      </c>
      <c r="L25" s="27" t="s">
        <v>177</v>
      </c>
      <c r="M25" s="23" t="str">
        <f t="shared" si="3"/>
        <v>--</v>
      </c>
      <c r="N25" s="518">
        <f t="shared" si="4"/>
        <v>40</v>
      </c>
      <c r="O25" s="522">
        <f t="shared" si="5"/>
        <v>682.5378000000001</v>
      </c>
      <c r="P25" s="530" t="str">
        <f t="shared" si="6"/>
        <v>--</v>
      </c>
      <c r="Q25" s="531" t="str">
        <f t="shared" si="7"/>
        <v>--</v>
      </c>
      <c r="R25" s="536" t="str">
        <f t="shared" si="8"/>
        <v>--</v>
      </c>
      <c r="S25" s="85" t="str">
        <f t="shared" si="9"/>
        <v>SI</v>
      </c>
      <c r="T25" s="86">
        <f t="shared" si="10"/>
        <v>682.5378000000001</v>
      </c>
      <c r="U25" s="144"/>
    </row>
    <row r="26" spans="2:21" s="16" customFormat="1" ht="16.5" customHeight="1">
      <c r="B26" s="140"/>
      <c r="C26" s="20">
        <v>39</v>
      </c>
      <c r="D26" s="79" t="s">
        <v>26</v>
      </c>
      <c r="E26" s="79" t="s">
        <v>42</v>
      </c>
      <c r="F26" s="80">
        <v>132</v>
      </c>
      <c r="G26" s="349">
        <f t="shared" si="0"/>
        <v>24.135</v>
      </c>
      <c r="H26" s="81">
        <v>36959.84722222222</v>
      </c>
      <c r="I26" s="82">
        <v>36959.92013888889</v>
      </c>
      <c r="J26" s="83">
        <f t="shared" si="1"/>
        <v>1.7500000001164153</v>
      </c>
      <c r="K26" s="30">
        <f t="shared" si="2"/>
        <v>105</v>
      </c>
      <c r="L26" s="27" t="s">
        <v>178</v>
      </c>
      <c r="M26" s="23" t="str">
        <f t="shared" si="3"/>
        <v>NO</v>
      </c>
      <c r="N26" s="518">
        <f t="shared" si="4"/>
        <v>40</v>
      </c>
      <c r="O26" s="522" t="str">
        <f t="shared" si="5"/>
        <v>--</v>
      </c>
      <c r="P26" s="530">
        <f t="shared" si="6"/>
        <v>965.4000000000001</v>
      </c>
      <c r="Q26" s="531">
        <f t="shared" si="7"/>
        <v>1689.4500000000003</v>
      </c>
      <c r="R26" s="536" t="str">
        <f t="shared" si="8"/>
        <v>--</v>
      </c>
      <c r="S26" s="85" t="str">
        <f t="shared" si="9"/>
        <v>SI</v>
      </c>
      <c r="T26" s="86">
        <f t="shared" si="10"/>
        <v>2654.8500000000004</v>
      </c>
      <c r="U26" s="144"/>
    </row>
    <row r="27" spans="2:21" s="16" customFormat="1" ht="16.5" customHeight="1">
      <c r="B27" s="140"/>
      <c r="C27" s="20">
        <v>40</v>
      </c>
      <c r="D27" s="79" t="s">
        <v>25</v>
      </c>
      <c r="E27" s="79" t="s">
        <v>39</v>
      </c>
      <c r="F27" s="80">
        <v>132</v>
      </c>
      <c r="G27" s="349">
        <f t="shared" si="0"/>
        <v>24.135</v>
      </c>
      <c r="H27" s="81">
        <v>36961.60138888889</v>
      </c>
      <c r="I27" s="82">
        <v>36961.64236111111</v>
      </c>
      <c r="J27" s="83">
        <f t="shared" si="1"/>
        <v>0.9833333332207985</v>
      </c>
      <c r="K27" s="30">
        <f t="shared" si="2"/>
        <v>59</v>
      </c>
      <c r="L27" s="27" t="s">
        <v>177</v>
      </c>
      <c r="M27" s="23" t="str">
        <f t="shared" si="3"/>
        <v>--</v>
      </c>
      <c r="N27" s="518">
        <f t="shared" si="4"/>
        <v>40</v>
      </c>
      <c r="O27" s="522">
        <f t="shared" si="5"/>
        <v>94.60920000000002</v>
      </c>
      <c r="P27" s="530" t="str">
        <f t="shared" si="6"/>
        <v>--</v>
      </c>
      <c r="Q27" s="531" t="str">
        <f t="shared" si="7"/>
        <v>--</v>
      </c>
      <c r="R27" s="536" t="str">
        <f t="shared" si="8"/>
        <v>--</v>
      </c>
      <c r="S27" s="85" t="str">
        <f t="shared" si="9"/>
        <v>SI</v>
      </c>
      <c r="T27" s="86">
        <f t="shared" si="10"/>
        <v>94.60920000000002</v>
      </c>
      <c r="U27" s="144"/>
    </row>
    <row r="28" spans="2:21" s="16" customFormat="1" ht="16.5" customHeight="1">
      <c r="B28" s="140"/>
      <c r="C28" s="20">
        <v>41</v>
      </c>
      <c r="D28" s="79" t="s">
        <v>30</v>
      </c>
      <c r="E28" s="79" t="s">
        <v>31</v>
      </c>
      <c r="F28" s="80">
        <v>500</v>
      </c>
      <c r="G28" s="349">
        <f t="shared" si="0"/>
        <v>30.168</v>
      </c>
      <c r="H28" s="81">
        <v>36968.28611111111</v>
      </c>
      <c r="I28" s="82">
        <v>36968.614583333336</v>
      </c>
      <c r="J28" s="83">
        <f t="shared" si="1"/>
        <v>7.883333333360497</v>
      </c>
      <c r="K28" s="30">
        <f t="shared" si="2"/>
        <v>473</v>
      </c>
      <c r="L28" s="27" t="s">
        <v>177</v>
      </c>
      <c r="M28" s="23" t="str">
        <f t="shared" si="3"/>
        <v>--</v>
      </c>
      <c r="N28" s="518">
        <f t="shared" si="4"/>
        <v>200</v>
      </c>
      <c r="O28" s="522">
        <f t="shared" si="5"/>
        <v>4754.4767999999995</v>
      </c>
      <c r="P28" s="530" t="str">
        <f t="shared" si="6"/>
        <v>--</v>
      </c>
      <c r="Q28" s="531" t="str">
        <f t="shared" si="7"/>
        <v>--</v>
      </c>
      <c r="R28" s="536" t="str">
        <f t="shared" si="8"/>
        <v>--</v>
      </c>
      <c r="S28" s="85" t="str">
        <f t="shared" si="9"/>
        <v>SI</v>
      </c>
      <c r="T28" s="86">
        <f t="shared" si="10"/>
        <v>4754.4767999999995</v>
      </c>
      <c r="U28" s="144"/>
    </row>
    <row r="29" spans="2:21" s="16" customFormat="1" ht="16.5" customHeight="1">
      <c r="B29" s="140"/>
      <c r="C29" s="20">
        <v>42</v>
      </c>
      <c r="D29" s="79" t="s">
        <v>25</v>
      </c>
      <c r="E29" s="79" t="s">
        <v>40</v>
      </c>
      <c r="F29" s="80">
        <v>132</v>
      </c>
      <c r="G29" s="349">
        <f t="shared" si="0"/>
        <v>24.135</v>
      </c>
      <c r="H29" s="81">
        <v>36968.376388888886</v>
      </c>
      <c r="I29" s="82">
        <v>36968.48333333333</v>
      </c>
      <c r="J29" s="83">
        <f t="shared" si="1"/>
        <v>2.5666666666511446</v>
      </c>
      <c r="K29" s="30">
        <f t="shared" si="2"/>
        <v>154</v>
      </c>
      <c r="L29" s="27" t="s">
        <v>177</v>
      </c>
      <c r="M29" s="23" t="str">
        <f t="shared" si="3"/>
        <v>--</v>
      </c>
      <c r="N29" s="518">
        <f t="shared" si="4"/>
        <v>40</v>
      </c>
      <c r="O29" s="522">
        <f t="shared" si="5"/>
        <v>248.1078</v>
      </c>
      <c r="P29" s="530" t="str">
        <f t="shared" si="6"/>
        <v>--</v>
      </c>
      <c r="Q29" s="531" t="str">
        <f t="shared" si="7"/>
        <v>--</v>
      </c>
      <c r="R29" s="536" t="str">
        <f t="shared" si="8"/>
        <v>--</v>
      </c>
      <c r="S29" s="85" t="str">
        <f t="shared" si="9"/>
        <v>SI</v>
      </c>
      <c r="T29" s="86">
        <f t="shared" si="10"/>
        <v>248.1078</v>
      </c>
      <c r="U29" s="144"/>
    </row>
    <row r="30" spans="2:21" s="16" customFormat="1" ht="16.5" customHeight="1">
      <c r="B30" s="140"/>
      <c r="C30" s="20">
        <v>43</v>
      </c>
      <c r="D30" s="79" t="s">
        <v>35</v>
      </c>
      <c r="E30" s="79" t="s">
        <v>36</v>
      </c>
      <c r="F30" s="80">
        <v>500</v>
      </c>
      <c r="G30" s="349">
        <f t="shared" si="0"/>
        <v>30.168</v>
      </c>
      <c r="H30" s="81">
        <v>36968.83611111111</v>
      </c>
      <c r="I30" s="82">
        <v>36968.9375</v>
      </c>
      <c r="J30" s="83">
        <f t="shared" si="1"/>
        <v>2.433333333407063</v>
      </c>
      <c r="K30" s="30">
        <f t="shared" si="2"/>
        <v>146</v>
      </c>
      <c r="L30" s="27" t="s">
        <v>178</v>
      </c>
      <c r="M30" s="23" t="str">
        <f t="shared" si="3"/>
        <v>NO</v>
      </c>
      <c r="N30" s="518">
        <f t="shared" si="4"/>
        <v>200</v>
      </c>
      <c r="O30" s="522" t="str">
        <f t="shared" si="5"/>
        <v>--</v>
      </c>
      <c r="P30" s="530">
        <f t="shared" si="6"/>
        <v>6033.599999999999</v>
      </c>
      <c r="Q30" s="531">
        <f t="shared" si="7"/>
        <v>14661.648</v>
      </c>
      <c r="R30" s="536" t="str">
        <f t="shared" si="8"/>
        <v>--</v>
      </c>
      <c r="S30" s="85" t="str">
        <f t="shared" si="9"/>
        <v>SI</v>
      </c>
      <c r="T30" s="86">
        <f t="shared" si="10"/>
        <v>20695.248</v>
      </c>
      <c r="U30" s="144"/>
    </row>
    <row r="31" spans="2:21" s="16" customFormat="1" ht="16.5" customHeight="1">
      <c r="B31" s="140"/>
      <c r="C31" s="20">
        <v>44</v>
      </c>
      <c r="D31" s="79" t="s">
        <v>19</v>
      </c>
      <c r="E31" s="79" t="s">
        <v>32</v>
      </c>
      <c r="F31" s="80">
        <v>500</v>
      </c>
      <c r="G31" s="349">
        <f t="shared" si="0"/>
        <v>30.168</v>
      </c>
      <c r="H31" s="81">
        <v>36973.40277777778</v>
      </c>
      <c r="I31" s="82">
        <v>36973.634722222225</v>
      </c>
      <c r="J31" s="83">
        <f t="shared" si="1"/>
        <v>5.566666666651145</v>
      </c>
      <c r="K31" s="30">
        <f t="shared" si="2"/>
        <v>334</v>
      </c>
      <c r="L31" s="27" t="s">
        <v>177</v>
      </c>
      <c r="M31" s="23" t="str">
        <f t="shared" si="3"/>
        <v>--</v>
      </c>
      <c r="N31" s="518">
        <f t="shared" si="4"/>
        <v>200</v>
      </c>
      <c r="O31" s="522">
        <f t="shared" si="5"/>
        <v>3360.7152000000006</v>
      </c>
      <c r="P31" s="530" t="str">
        <f t="shared" si="6"/>
        <v>--</v>
      </c>
      <c r="Q31" s="531" t="str">
        <f t="shared" si="7"/>
        <v>--</v>
      </c>
      <c r="R31" s="536" t="str">
        <f t="shared" si="8"/>
        <v>--</v>
      </c>
      <c r="S31" s="85" t="str">
        <f t="shared" si="9"/>
        <v>SI</v>
      </c>
      <c r="T31" s="86">
        <f t="shared" si="10"/>
        <v>3360.7152000000006</v>
      </c>
      <c r="U31" s="144"/>
    </row>
    <row r="32" spans="2:21" s="16" customFormat="1" ht="16.5" customHeight="1">
      <c r="B32" s="140"/>
      <c r="C32" s="20">
        <v>45</v>
      </c>
      <c r="D32" s="79" t="s">
        <v>25</v>
      </c>
      <c r="E32" s="79" t="s">
        <v>40</v>
      </c>
      <c r="F32" s="80">
        <v>132</v>
      </c>
      <c r="G32" s="349">
        <f t="shared" si="0"/>
        <v>24.135</v>
      </c>
      <c r="H32" s="81">
        <v>36975.10208333333</v>
      </c>
      <c r="I32" s="82">
        <v>36975.23333333333</v>
      </c>
      <c r="J32" s="83">
        <f t="shared" si="1"/>
        <v>3.1499999999650754</v>
      </c>
      <c r="K32" s="30">
        <f t="shared" si="2"/>
        <v>189</v>
      </c>
      <c r="L32" s="27" t="s">
        <v>178</v>
      </c>
      <c r="M32" s="23" t="str">
        <f t="shared" si="3"/>
        <v>NO</v>
      </c>
      <c r="N32" s="518">
        <f t="shared" si="4"/>
        <v>40</v>
      </c>
      <c r="O32" s="522" t="str">
        <f t="shared" si="5"/>
        <v>--</v>
      </c>
      <c r="P32" s="530">
        <f t="shared" si="6"/>
        <v>965.4000000000001</v>
      </c>
      <c r="Q32" s="531">
        <f t="shared" si="7"/>
        <v>3041.01</v>
      </c>
      <c r="R32" s="536" t="str">
        <f t="shared" si="8"/>
        <v>--</v>
      </c>
      <c r="S32" s="85" t="str">
        <f t="shared" si="9"/>
        <v>SI</v>
      </c>
      <c r="T32" s="86">
        <f t="shared" si="10"/>
        <v>4006.4100000000003</v>
      </c>
      <c r="U32" s="144"/>
    </row>
    <row r="33" spans="2:21" s="16" customFormat="1" ht="16.5" customHeight="1">
      <c r="B33" s="140"/>
      <c r="C33" s="20">
        <v>46</v>
      </c>
      <c r="D33" s="79" t="s">
        <v>19</v>
      </c>
      <c r="E33" s="79" t="s">
        <v>32</v>
      </c>
      <c r="F33" s="80">
        <v>500</v>
      </c>
      <c r="G33" s="349">
        <f t="shared" si="0"/>
        <v>30.168</v>
      </c>
      <c r="H33" s="81">
        <v>36977.38611111111</v>
      </c>
      <c r="I33" s="82">
        <v>36977.6125</v>
      </c>
      <c r="J33" s="83">
        <f t="shared" si="1"/>
        <v>5.433333333407063</v>
      </c>
      <c r="K33" s="30">
        <f t="shared" si="2"/>
        <v>326</v>
      </c>
      <c r="L33" s="27" t="s">
        <v>177</v>
      </c>
      <c r="M33" s="23" t="str">
        <f t="shared" si="3"/>
        <v>--</v>
      </c>
      <c r="N33" s="518">
        <f t="shared" si="4"/>
        <v>200</v>
      </c>
      <c r="O33" s="522">
        <f t="shared" si="5"/>
        <v>3276.2448</v>
      </c>
      <c r="P33" s="530" t="str">
        <f t="shared" si="6"/>
        <v>--</v>
      </c>
      <c r="Q33" s="531" t="str">
        <f t="shared" si="7"/>
        <v>--</v>
      </c>
      <c r="R33" s="536" t="str">
        <f t="shared" si="8"/>
        <v>--</v>
      </c>
      <c r="S33" s="85" t="str">
        <f t="shared" si="9"/>
        <v>SI</v>
      </c>
      <c r="T33" s="86">
        <f t="shared" si="10"/>
        <v>3276.2448</v>
      </c>
      <c r="U33" s="144"/>
    </row>
    <row r="34" spans="2:21" s="16" customFormat="1" ht="16.5" customHeight="1">
      <c r="B34" s="140"/>
      <c r="C34" s="20">
        <v>47</v>
      </c>
      <c r="D34" s="79" t="s">
        <v>19</v>
      </c>
      <c r="E34" s="79" t="s">
        <v>32</v>
      </c>
      <c r="F34" s="80">
        <v>500</v>
      </c>
      <c r="G34" s="349">
        <f t="shared" si="0"/>
        <v>30.168</v>
      </c>
      <c r="H34" s="81">
        <v>36978.38958333333</v>
      </c>
      <c r="I34" s="82">
        <v>36978.62222222222</v>
      </c>
      <c r="J34" s="83">
        <f t="shared" si="1"/>
        <v>5.583333333372138</v>
      </c>
      <c r="K34" s="30">
        <f t="shared" si="2"/>
        <v>335</v>
      </c>
      <c r="L34" s="27" t="s">
        <v>177</v>
      </c>
      <c r="M34" s="23" t="str">
        <f t="shared" si="3"/>
        <v>--</v>
      </c>
      <c r="N34" s="518">
        <f t="shared" si="4"/>
        <v>200</v>
      </c>
      <c r="O34" s="522">
        <f t="shared" si="5"/>
        <v>3366.7488</v>
      </c>
      <c r="P34" s="530" t="str">
        <f t="shared" si="6"/>
        <v>--</v>
      </c>
      <c r="Q34" s="531" t="str">
        <f t="shared" si="7"/>
        <v>--</v>
      </c>
      <c r="R34" s="536" t="str">
        <f t="shared" si="8"/>
        <v>--</v>
      </c>
      <c r="S34" s="85" t="str">
        <f t="shared" si="9"/>
        <v>SI</v>
      </c>
      <c r="T34" s="86">
        <f t="shared" si="10"/>
        <v>3366.7488</v>
      </c>
      <c r="U34" s="144"/>
    </row>
    <row r="35" spans="2:21" s="16" customFormat="1" ht="16.5" customHeight="1">
      <c r="B35" s="140"/>
      <c r="C35" s="20">
        <v>48</v>
      </c>
      <c r="D35" s="79" t="s">
        <v>25</v>
      </c>
      <c r="E35" s="79" t="s">
        <v>39</v>
      </c>
      <c r="F35" s="80">
        <v>132</v>
      </c>
      <c r="G35" s="349">
        <f t="shared" si="0"/>
        <v>24.135</v>
      </c>
      <c r="H35" s="81">
        <v>36980.416666666664</v>
      </c>
      <c r="I35" s="82">
        <v>36980.5</v>
      </c>
      <c r="J35" s="83">
        <f t="shared" si="1"/>
        <v>2.0000000000582077</v>
      </c>
      <c r="K35" s="30">
        <f t="shared" si="2"/>
        <v>120</v>
      </c>
      <c r="L35" s="27" t="s">
        <v>177</v>
      </c>
      <c r="M35" s="23" t="str">
        <f t="shared" si="3"/>
        <v>--</v>
      </c>
      <c r="N35" s="518">
        <f t="shared" si="4"/>
        <v>40</v>
      </c>
      <c r="O35" s="522">
        <f t="shared" si="5"/>
        <v>193.08000000000004</v>
      </c>
      <c r="P35" s="530" t="str">
        <f t="shared" si="6"/>
        <v>--</v>
      </c>
      <c r="Q35" s="531" t="str">
        <f t="shared" si="7"/>
        <v>--</v>
      </c>
      <c r="R35" s="536" t="str">
        <f t="shared" si="8"/>
        <v>--</v>
      </c>
      <c r="S35" s="85" t="str">
        <f t="shared" si="9"/>
        <v>SI</v>
      </c>
      <c r="T35" s="86">
        <f t="shared" si="10"/>
        <v>193.08000000000004</v>
      </c>
      <c r="U35" s="144"/>
    </row>
    <row r="36" spans="2:21" s="16" customFormat="1" ht="16.5" customHeight="1">
      <c r="B36" s="140"/>
      <c r="C36" s="20"/>
      <c r="D36" s="79"/>
      <c r="E36" s="79"/>
      <c r="F36" s="80"/>
      <c r="G36" s="349">
        <f t="shared" si="0"/>
        <v>24.135</v>
      </c>
      <c r="H36" s="81"/>
      <c r="I36" s="82"/>
      <c r="J36" s="83">
        <f t="shared" si="1"/>
      </c>
      <c r="K36" s="30">
        <f t="shared" si="2"/>
      </c>
      <c r="L36" s="27"/>
      <c r="M36" s="23">
        <f t="shared" si="3"/>
      </c>
      <c r="N36" s="518">
        <f t="shared" si="4"/>
        <v>40</v>
      </c>
      <c r="O36" s="522" t="str">
        <f t="shared" si="5"/>
        <v>--</v>
      </c>
      <c r="P36" s="530" t="str">
        <f t="shared" si="6"/>
        <v>--</v>
      </c>
      <c r="Q36" s="531" t="str">
        <f t="shared" si="7"/>
        <v>--</v>
      </c>
      <c r="R36" s="536" t="str">
        <f t="shared" si="8"/>
        <v>--</v>
      </c>
      <c r="S36" s="85">
        <f t="shared" si="9"/>
      </c>
      <c r="T36" s="86">
        <f t="shared" si="10"/>
      </c>
      <c r="U36" s="144"/>
    </row>
    <row r="37" spans="2:21" s="16" customFormat="1" ht="16.5" customHeight="1">
      <c r="B37" s="140"/>
      <c r="C37" s="20"/>
      <c r="D37" s="79"/>
      <c r="E37" s="79"/>
      <c r="F37" s="80"/>
      <c r="G37" s="349">
        <f t="shared" si="0"/>
        <v>24.135</v>
      </c>
      <c r="H37" s="81"/>
      <c r="I37" s="82"/>
      <c r="J37" s="83">
        <f t="shared" si="1"/>
      </c>
      <c r="K37" s="30">
        <f t="shared" si="2"/>
      </c>
      <c r="L37" s="27"/>
      <c r="M37" s="23">
        <f t="shared" si="3"/>
      </c>
      <c r="N37" s="518">
        <f t="shared" si="4"/>
        <v>40</v>
      </c>
      <c r="O37" s="522" t="str">
        <f t="shared" si="5"/>
        <v>--</v>
      </c>
      <c r="P37" s="530" t="str">
        <f t="shared" si="6"/>
        <v>--</v>
      </c>
      <c r="Q37" s="531" t="str">
        <f t="shared" si="7"/>
        <v>--</v>
      </c>
      <c r="R37" s="536" t="str">
        <f t="shared" si="8"/>
        <v>--</v>
      </c>
      <c r="S37" s="85">
        <f t="shared" si="9"/>
      </c>
      <c r="T37" s="86">
        <f t="shared" si="10"/>
      </c>
      <c r="U37" s="144"/>
    </row>
    <row r="38" spans="2:21" s="16" customFormat="1" ht="16.5" customHeight="1">
      <c r="B38" s="140"/>
      <c r="C38" s="20"/>
      <c r="D38" s="79"/>
      <c r="E38" s="79"/>
      <c r="F38" s="80"/>
      <c r="G38" s="349">
        <f t="shared" si="0"/>
        <v>24.135</v>
      </c>
      <c r="H38" s="81"/>
      <c r="I38" s="82"/>
      <c r="J38" s="83">
        <f t="shared" si="1"/>
      </c>
      <c r="K38" s="30">
        <f t="shared" si="2"/>
      </c>
      <c r="L38" s="27"/>
      <c r="M38" s="23">
        <f t="shared" si="3"/>
      </c>
      <c r="N38" s="518">
        <f t="shared" si="4"/>
        <v>40</v>
      </c>
      <c r="O38" s="522" t="str">
        <f t="shared" si="5"/>
        <v>--</v>
      </c>
      <c r="P38" s="530" t="str">
        <f t="shared" si="6"/>
        <v>--</v>
      </c>
      <c r="Q38" s="531" t="str">
        <f t="shared" si="7"/>
        <v>--</v>
      </c>
      <c r="R38" s="536" t="str">
        <f t="shared" si="8"/>
        <v>--</v>
      </c>
      <c r="S38" s="85">
        <f t="shared" si="9"/>
      </c>
      <c r="T38" s="86">
        <f t="shared" si="10"/>
      </c>
      <c r="U38" s="144"/>
    </row>
    <row r="39" spans="2:21" s="16" customFormat="1" ht="16.5" customHeight="1">
      <c r="B39" s="140"/>
      <c r="C39" s="20"/>
      <c r="D39" s="79"/>
      <c r="E39" s="79"/>
      <c r="F39" s="80"/>
      <c r="G39" s="349">
        <f t="shared" si="0"/>
        <v>24.135</v>
      </c>
      <c r="H39" s="81"/>
      <c r="I39" s="82"/>
      <c r="J39" s="83">
        <f t="shared" si="1"/>
      </c>
      <c r="K39" s="30">
        <f t="shared" si="2"/>
      </c>
      <c r="L39" s="27"/>
      <c r="M39" s="23">
        <f t="shared" si="3"/>
      </c>
      <c r="N39" s="518">
        <f t="shared" si="4"/>
        <v>40</v>
      </c>
      <c r="O39" s="522" t="str">
        <f t="shared" si="5"/>
        <v>--</v>
      </c>
      <c r="P39" s="530" t="str">
        <f t="shared" si="6"/>
        <v>--</v>
      </c>
      <c r="Q39" s="531" t="str">
        <f t="shared" si="7"/>
        <v>--</v>
      </c>
      <c r="R39" s="536" t="str">
        <f t="shared" si="8"/>
        <v>--</v>
      </c>
      <c r="S39" s="85">
        <f t="shared" si="9"/>
      </c>
      <c r="T39" s="86">
        <f t="shared" si="10"/>
      </c>
      <c r="U39" s="144"/>
    </row>
    <row r="40" spans="2:21" s="16" customFormat="1" ht="16.5" customHeight="1">
      <c r="B40" s="140"/>
      <c r="C40" s="20"/>
      <c r="D40" s="79"/>
      <c r="E40" s="79"/>
      <c r="F40" s="80"/>
      <c r="G40" s="349">
        <f t="shared" si="0"/>
        <v>24.135</v>
      </c>
      <c r="H40" s="81"/>
      <c r="I40" s="82"/>
      <c r="J40" s="83">
        <f t="shared" si="1"/>
      </c>
      <c r="K40" s="30">
        <f t="shared" si="2"/>
      </c>
      <c r="L40" s="27"/>
      <c r="M40" s="23">
        <f t="shared" si="3"/>
      </c>
      <c r="N40" s="518">
        <f t="shared" si="4"/>
        <v>40</v>
      </c>
      <c r="O40" s="522" t="str">
        <f t="shared" si="5"/>
        <v>--</v>
      </c>
      <c r="P40" s="530" t="str">
        <f t="shared" si="6"/>
        <v>--</v>
      </c>
      <c r="Q40" s="531" t="str">
        <f t="shared" si="7"/>
        <v>--</v>
      </c>
      <c r="R40" s="536" t="str">
        <f t="shared" si="8"/>
        <v>--</v>
      </c>
      <c r="S40" s="85">
        <f t="shared" si="9"/>
      </c>
      <c r="T40" s="86">
        <f t="shared" si="10"/>
      </c>
      <c r="U40" s="144"/>
    </row>
    <row r="41" spans="2:21" s="16" customFormat="1" ht="16.5" customHeight="1">
      <c r="B41" s="140"/>
      <c r="C41" s="20"/>
      <c r="D41" s="79"/>
      <c r="E41" s="79"/>
      <c r="F41" s="80"/>
      <c r="G41" s="349">
        <f t="shared" si="0"/>
        <v>24.135</v>
      </c>
      <c r="H41" s="81"/>
      <c r="I41" s="82"/>
      <c r="J41" s="83">
        <f t="shared" si="1"/>
      </c>
      <c r="K41" s="30">
        <f t="shared" si="2"/>
      </c>
      <c r="L41" s="27"/>
      <c r="M41" s="23">
        <f t="shared" si="3"/>
      </c>
      <c r="N41" s="518">
        <f t="shared" si="4"/>
        <v>40</v>
      </c>
      <c r="O41" s="522" t="str">
        <f t="shared" si="5"/>
        <v>--</v>
      </c>
      <c r="P41" s="530" t="str">
        <f t="shared" si="6"/>
        <v>--</v>
      </c>
      <c r="Q41" s="531" t="str">
        <f t="shared" si="7"/>
        <v>--</v>
      </c>
      <c r="R41" s="536" t="str">
        <f t="shared" si="8"/>
        <v>--</v>
      </c>
      <c r="S41" s="85">
        <f t="shared" si="9"/>
      </c>
      <c r="T41" s="86">
        <f t="shared" si="10"/>
      </c>
      <c r="U41" s="144"/>
    </row>
    <row r="42" spans="2:21" s="16" customFormat="1" ht="16.5" customHeight="1">
      <c r="B42" s="140"/>
      <c r="C42" s="20"/>
      <c r="D42" s="79"/>
      <c r="E42" s="79"/>
      <c r="F42" s="80"/>
      <c r="G42" s="349">
        <f t="shared" si="0"/>
        <v>24.135</v>
      </c>
      <c r="H42" s="81"/>
      <c r="I42" s="82"/>
      <c r="J42" s="83">
        <f t="shared" si="1"/>
      </c>
      <c r="K42" s="30">
        <f t="shared" si="2"/>
      </c>
      <c r="L42" s="27"/>
      <c r="M42" s="23">
        <f t="shared" si="3"/>
      </c>
      <c r="N42" s="518">
        <f t="shared" si="4"/>
        <v>40</v>
      </c>
      <c r="O42" s="522" t="str">
        <f t="shared" si="5"/>
        <v>--</v>
      </c>
      <c r="P42" s="530" t="str">
        <f t="shared" si="6"/>
        <v>--</v>
      </c>
      <c r="Q42" s="531" t="str">
        <f t="shared" si="7"/>
        <v>--</v>
      </c>
      <c r="R42" s="536" t="str">
        <f t="shared" si="8"/>
        <v>--</v>
      </c>
      <c r="S42" s="85">
        <f t="shared" si="9"/>
      </c>
      <c r="T42" s="86">
        <f t="shared" si="10"/>
      </c>
      <c r="U42" s="144"/>
    </row>
    <row r="43" spans="2:21" s="16" customFormat="1" ht="16.5" customHeight="1">
      <c r="B43" s="140"/>
      <c r="C43" s="20"/>
      <c r="D43" s="79"/>
      <c r="E43" s="79"/>
      <c r="F43" s="80"/>
      <c r="G43" s="349">
        <f t="shared" si="0"/>
        <v>24.135</v>
      </c>
      <c r="H43" s="81"/>
      <c r="I43" s="82"/>
      <c r="J43" s="83">
        <f t="shared" si="1"/>
      </c>
      <c r="K43" s="30">
        <f t="shared" si="2"/>
      </c>
      <c r="L43" s="27"/>
      <c r="M43" s="23">
        <f t="shared" si="3"/>
      </c>
      <c r="N43" s="518">
        <f t="shared" si="4"/>
        <v>40</v>
      </c>
      <c r="O43" s="522" t="str">
        <f t="shared" si="5"/>
        <v>--</v>
      </c>
      <c r="P43" s="530" t="str">
        <f t="shared" si="6"/>
        <v>--</v>
      </c>
      <c r="Q43" s="531" t="str">
        <f t="shared" si="7"/>
        <v>--</v>
      </c>
      <c r="R43" s="536" t="str">
        <f t="shared" si="8"/>
        <v>--</v>
      </c>
      <c r="S43" s="85">
        <f t="shared" si="9"/>
      </c>
      <c r="T43" s="86">
        <f t="shared" si="10"/>
      </c>
      <c r="U43" s="144"/>
    </row>
    <row r="44" spans="2:21" s="16" customFormat="1" ht="16.5" customHeight="1" thickBot="1">
      <c r="B44" s="140"/>
      <c r="C44" s="33"/>
      <c r="D44" s="87"/>
      <c r="E44" s="87"/>
      <c r="F44" s="34"/>
      <c r="G44" s="350"/>
      <c r="H44" s="88"/>
      <c r="I44" s="88"/>
      <c r="J44" s="88"/>
      <c r="K44" s="88"/>
      <c r="L44" s="88"/>
      <c r="M44" s="37"/>
      <c r="N44" s="519"/>
      <c r="O44" s="523"/>
      <c r="P44" s="532"/>
      <c r="Q44" s="533"/>
      <c r="R44" s="537"/>
      <c r="S44" s="89"/>
      <c r="T44" s="250"/>
      <c r="U44" s="144"/>
    </row>
    <row r="45" spans="2:21" s="16" customFormat="1" ht="16.5" customHeight="1" thickBot="1" thickTop="1">
      <c r="B45" s="140"/>
      <c r="C45" s="282" t="s">
        <v>96</v>
      </c>
      <c r="D45" s="283" t="s">
        <v>97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25">
        <f>SUM(O22:O44)</f>
        <v>20815.467600000004</v>
      </c>
      <c r="P45" s="534">
        <f>SUM(P22:P44)</f>
        <v>7964.4</v>
      </c>
      <c r="Q45" s="535">
        <f>SUM(Q22:Q44)</f>
        <v>19392.108</v>
      </c>
      <c r="R45" s="538">
        <f>SUM(R22:R44)</f>
        <v>0</v>
      </c>
      <c r="S45" s="90"/>
      <c r="T45" s="91">
        <f>ROUND(SUM(T22:T44),2)</f>
        <v>48171.98</v>
      </c>
      <c r="U45" s="144"/>
    </row>
    <row r="46" spans="2:21" s="286" customFormat="1" ht="13.5" thickTop="1">
      <c r="B46" s="287"/>
      <c r="C46" s="284"/>
      <c r="D46" s="285" t="s">
        <v>98</v>
      </c>
      <c r="E46"/>
      <c r="F46" s="303"/>
      <c r="G46" s="303"/>
      <c r="H46" s="303"/>
      <c r="I46" s="303"/>
      <c r="J46" s="303"/>
      <c r="K46" s="303"/>
      <c r="L46" s="303"/>
      <c r="M46" s="303"/>
      <c r="N46" s="303"/>
      <c r="O46" s="301"/>
      <c r="P46" s="301"/>
      <c r="Q46" s="301"/>
      <c r="R46" s="301"/>
      <c r="S46" s="301"/>
      <c r="T46" s="304"/>
      <c r="U46" s="305"/>
    </row>
    <row r="47" spans="2:21" s="16" customFormat="1" ht="16.5" customHeight="1" thickBot="1"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1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7"/>
  <sheetViews>
    <sheetView zoomScale="75" zoomScaleNormal="75" workbookViewId="0" topLeftCell="H22">
      <selection activeCell="V41" sqref="V4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108" customFormat="1" ht="26.25">
      <c r="A1" s="158"/>
      <c r="U1" s="691"/>
    </row>
    <row r="2" spans="1:21" s="108" customFormat="1" ht="26.25">
      <c r="A2" s="158"/>
      <c r="B2" s="109" t="str">
        <f>+'tot-0103'!B2</f>
        <v>ANEXO a la Resolución E.N.R.E. N°  113  /2002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="16" customFormat="1" ht="12.75">
      <c r="A3" s="73"/>
    </row>
    <row r="4" spans="1:2" s="115" customFormat="1" ht="11.25">
      <c r="A4" s="113" t="s">
        <v>53</v>
      </c>
      <c r="B4" s="189"/>
    </row>
    <row r="5" spans="1:2" s="115" customFormat="1" ht="11.25">
      <c r="A5" s="113" t="s">
        <v>54</v>
      </c>
      <c r="B5" s="189"/>
    </row>
    <row r="6" s="16" customFormat="1" ht="13.5" thickBot="1"/>
    <row r="7" spans="2:21" s="16" customFormat="1" ht="13.5" thickTop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227"/>
    </row>
    <row r="8" spans="2:21" s="10" customFormat="1" ht="20.25">
      <c r="B8" s="173"/>
      <c r="C8" s="11"/>
      <c r="D8" s="76" t="s">
        <v>69</v>
      </c>
      <c r="L8" s="203"/>
      <c r="M8" s="203"/>
      <c r="N8" s="46"/>
      <c r="O8" s="11"/>
      <c r="P8" s="11"/>
      <c r="Q8" s="11"/>
      <c r="R8" s="11"/>
      <c r="S8" s="11"/>
      <c r="T8" s="11"/>
      <c r="U8" s="236"/>
    </row>
    <row r="9" spans="2:21" s="16" customFormat="1" ht="12.75">
      <c r="B9" s="140"/>
      <c r="C9" s="1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14"/>
      <c r="P9" s="14"/>
      <c r="Q9" s="14"/>
      <c r="R9" s="14"/>
      <c r="S9" s="14"/>
      <c r="T9" s="14"/>
      <c r="U9" s="144"/>
    </row>
    <row r="10" spans="2:21" s="10" customFormat="1" ht="20.25">
      <c r="B10" s="173"/>
      <c r="C10" s="11"/>
      <c r="D10" s="207" t="s">
        <v>118</v>
      </c>
      <c r="E10" s="47"/>
      <c r="F10" s="203"/>
      <c r="G10" s="237"/>
      <c r="I10" s="237"/>
      <c r="J10" s="237"/>
      <c r="K10" s="237"/>
      <c r="L10" s="237"/>
      <c r="M10" s="237"/>
      <c r="N10" s="237"/>
      <c r="O10" s="11"/>
      <c r="P10" s="11"/>
      <c r="Q10" s="11"/>
      <c r="R10" s="11"/>
      <c r="S10" s="11"/>
      <c r="T10" s="11"/>
      <c r="U10" s="236"/>
    </row>
    <row r="11" spans="2:21" s="16" customFormat="1" ht="13.5">
      <c r="B11" s="140"/>
      <c r="C11" s="14"/>
      <c r="D11" s="235"/>
      <c r="E11" s="235"/>
      <c r="F11" s="73"/>
      <c r="G11" s="228"/>
      <c r="H11" s="142"/>
      <c r="I11" s="228"/>
      <c r="J11" s="228"/>
      <c r="K11" s="228"/>
      <c r="L11" s="228"/>
      <c r="M11" s="228"/>
      <c r="N11" s="228"/>
      <c r="O11" s="14"/>
      <c r="P11" s="14"/>
      <c r="Q11" s="14"/>
      <c r="R11" s="14"/>
      <c r="S11" s="14"/>
      <c r="T11" s="14"/>
      <c r="U11" s="144"/>
    </row>
    <row r="12" spans="2:21" s="16" customFormat="1" ht="19.5">
      <c r="B12" s="128" t="str">
        <f>+'tot-0103'!B14</f>
        <v>Desde el 01 al 31 de marzo de 2001</v>
      </c>
      <c r="C12" s="131"/>
      <c r="D12" s="131"/>
      <c r="E12" s="131"/>
      <c r="F12" s="131"/>
      <c r="G12" s="238"/>
      <c r="H12" s="238"/>
      <c r="I12" s="238"/>
      <c r="J12" s="238"/>
      <c r="K12" s="238"/>
      <c r="L12" s="238"/>
      <c r="M12" s="238"/>
      <c r="N12" s="238"/>
      <c r="O12" s="131"/>
      <c r="P12" s="131"/>
      <c r="Q12" s="131"/>
      <c r="R12" s="131"/>
      <c r="S12" s="131"/>
      <c r="T12" s="131"/>
      <c r="U12" s="239"/>
    </row>
    <row r="13" spans="2:21" s="16" customFormat="1" ht="14.25" thickBot="1">
      <c r="B13" s="240"/>
      <c r="C13" s="241"/>
      <c r="D13" s="241"/>
      <c r="E13" s="241"/>
      <c r="F13" s="241"/>
      <c r="G13" s="242"/>
      <c r="H13" s="242"/>
      <c r="I13" s="242"/>
      <c r="J13" s="242"/>
      <c r="K13" s="242"/>
      <c r="L13" s="242"/>
      <c r="M13" s="242"/>
      <c r="N13" s="242"/>
      <c r="O13" s="241"/>
      <c r="P13" s="241"/>
      <c r="Q13" s="241"/>
      <c r="R13" s="241"/>
      <c r="S13" s="241"/>
      <c r="T13" s="241"/>
      <c r="U13" s="243"/>
    </row>
    <row r="14" spans="2:21" s="16" customFormat="1" ht="15" thickBot="1" thickTop="1">
      <c r="B14" s="140"/>
      <c r="C14" s="14"/>
      <c r="D14" s="244"/>
      <c r="E14" s="244"/>
      <c r="F14" s="245" t="s">
        <v>113</v>
      </c>
      <c r="G14" s="14"/>
      <c r="H14" s="14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4"/>
    </row>
    <row r="15" spans="2:21" s="16" customFormat="1" ht="16.5" customHeight="1" thickBot="1" thickTop="1">
      <c r="B15" s="140"/>
      <c r="C15" s="14"/>
      <c r="D15" s="696" t="s">
        <v>114</v>
      </c>
      <c r="E15" s="697">
        <v>11.546</v>
      </c>
      <c r="F15" s="698">
        <v>200</v>
      </c>
      <c r="T15" s="165"/>
      <c r="U15" s="144"/>
    </row>
    <row r="16" spans="2:21" s="16" customFormat="1" ht="16.5" customHeight="1" thickBot="1" thickTop="1">
      <c r="B16" s="140"/>
      <c r="C16" s="14"/>
      <c r="D16" s="699" t="s">
        <v>115</v>
      </c>
      <c r="E16" s="700">
        <v>10.391</v>
      </c>
      <c r="F16" s="698">
        <v>100</v>
      </c>
      <c r="M16" s="14"/>
      <c r="N16" s="14"/>
      <c r="O16" s="14"/>
      <c r="P16" s="14"/>
      <c r="Q16" s="14"/>
      <c r="R16" s="14"/>
      <c r="S16" s="14"/>
      <c r="T16" s="14"/>
      <c r="U16" s="144"/>
    </row>
    <row r="17" spans="2:21" s="16" customFormat="1" ht="16.5" customHeight="1" thickBot="1" thickTop="1">
      <c r="B17" s="140"/>
      <c r="C17" s="14"/>
      <c r="D17" s="701" t="s">
        <v>116</v>
      </c>
      <c r="E17" s="700">
        <v>9.236</v>
      </c>
      <c r="F17" s="698">
        <v>40</v>
      </c>
      <c r="I17" s="16" t="s">
        <v>187</v>
      </c>
      <c r="M17" s="14"/>
      <c r="O17" s="14"/>
      <c r="P17" s="14"/>
      <c r="Q17" s="14"/>
      <c r="R17" s="14"/>
      <c r="S17" s="14"/>
      <c r="T17" s="14"/>
      <c r="U17" s="144"/>
    </row>
    <row r="18" spans="2:21" s="16" customFormat="1" ht="16.5" customHeight="1" thickBot="1" thickTop="1">
      <c r="B18" s="140"/>
      <c r="C18" s="21"/>
      <c r="D18" s="93"/>
      <c r="E18" s="93"/>
      <c r="F18" s="229"/>
      <c r="G18" s="230"/>
      <c r="H18" s="230"/>
      <c r="I18" s="230"/>
      <c r="J18" s="230"/>
      <c r="K18" s="230"/>
      <c r="L18" s="230"/>
      <c r="M18" s="230"/>
      <c r="N18" s="84"/>
      <c r="O18" s="231"/>
      <c r="P18" s="232"/>
      <c r="Q18" s="232"/>
      <c r="R18" s="232"/>
      <c r="S18" s="233"/>
      <c r="T18" s="234"/>
      <c r="U18" s="144"/>
    </row>
    <row r="19" spans="2:21" s="16" customFormat="1" ht="33.75" customHeight="1" thickBot="1" thickTop="1">
      <c r="B19" s="140"/>
      <c r="C19" s="180" t="s">
        <v>74</v>
      </c>
      <c r="D19" s="186" t="s">
        <v>105</v>
      </c>
      <c r="E19" s="184" t="s">
        <v>43</v>
      </c>
      <c r="F19" s="247" t="s">
        <v>75</v>
      </c>
      <c r="G19" s="348" t="s">
        <v>79</v>
      </c>
      <c r="H19" s="182" t="s">
        <v>80</v>
      </c>
      <c r="I19" s="184" t="s">
        <v>81</v>
      </c>
      <c r="J19" s="248" t="s">
        <v>82</v>
      </c>
      <c r="K19" s="248" t="s">
        <v>83</v>
      </c>
      <c r="L19" s="185" t="s">
        <v>84</v>
      </c>
      <c r="M19" s="183" t="s">
        <v>87</v>
      </c>
      <c r="N19" s="517" t="s">
        <v>78</v>
      </c>
      <c r="O19" s="505" t="s">
        <v>99</v>
      </c>
      <c r="P19" s="526" t="s">
        <v>117</v>
      </c>
      <c r="Q19" s="527"/>
      <c r="R19" s="539" t="s">
        <v>92</v>
      </c>
      <c r="S19" s="187" t="s">
        <v>94</v>
      </c>
      <c r="T19" s="221" t="s">
        <v>95</v>
      </c>
      <c r="U19" s="144"/>
    </row>
    <row r="20" spans="2:21" s="16" customFormat="1" ht="16.5" customHeight="1" thickTop="1">
      <c r="B20" s="140"/>
      <c r="C20" s="20"/>
      <c r="D20" s="79"/>
      <c r="E20" s="79"/>
      <c r="F20" s="79"/>
      <c r="G20" s="357"/>
      <c r="H20" s="79"/>
      <c r="I20" s="79"/>
      <c r="J20" s="79"/>
      <c r="K20" s="79"/>
      <c r="L20" s="79"/>
      <c r="M20" s="79"/>
      <c r="N20" s="516"/>
      <c r="O20" s="521"/>
      <c r="P20" s="530"/>
      <c r="Q20" s="531"/>
      <c r="R20" s="536"/>
      <c r="S20" s="79"/>
      <c r="T20" s="249"/>
      <c r="U20" s="144"/>
    </row>
    <row r="21" spans="2:21" s="16" customFormat="1" ht="16.5" customHeight="1">
      <c r="B21" s="140"/>
      <c r="C21" s="20" t="s">
        <v>182</v>
      </c>
      <c r="D21" s="79" t="s">
        <v>44</v>
      </c>
      <c r="E21" s="79" t="s">
        <v>184</v>
      </c>
      <c r="F21" s="80">
        <v>500</v>
      </c>
      <c r="G21" s="349">
        <f aca="true" t="shared" si="0" ref="G21:G40">IF(F21=500,$E$15,IF(F21=220,$E$16,$E$17))</f>
        <v>11.546</v>
      </c>
      <c r="H21" s="81">
        <v>36960.06041666667</v>
      </c>
      <c r="I21" s="82">
        <v>36960.06527777778</v>
      </c>
      <c r="J21" s="83">
        <f aca="true" t="shared" si="1" ref="J21:J40">IF(D21="","",(I21-H21)*24)</f>
        <v>0.11666666669771075</v>
      </c>
      <c r="K21" s="30">
        <f aca="true" t="shared" si="2" ref="K21:K40">IF(D21="","",ROUND((I21-H21)*24*60,0))</f>
        <v>7</v>
      </c>
      <c r="L21" s="27" t="s">
        <v>178</v>
      </c>
      <c r="M21" s="23" t="str">
        <f aca="true" t="shared" si="3" ref="M21:M40">IF(D21="","",IF(L21="P","--","NO"))</f>
        <v>NO</v>
      </c>
      <c r="N21" s="518">
        <f aca="true" t="shared" si="4" ref="N21:N40">IF(F21=500,$F$15,IF(F21=220,$F$16,$F$17))</f>
        <v>200</v>
      </c>
      <c r="O21" s="522" t="str">
        <f aca="true" t="shared" si="5" ref="O21:O40">IF(L21="P",G21*N21*ROUND(K21/60,2)*0.1,"--")</f>
        <v>--</v>
      </c>
      <c r="P21" s="530">
        <f aca="true" t="shared" si="6" ref="P21:P40">IF(AND(L21="F",M21="NO"),G21*N21,"--")</f>
        <v>2309.2</v>
      </c>
      <c r="Q21" s="531">
        <f aca="true" t="shared" si="7" ref="Q21:Q40">IF(L21="F",G21*N21*ROUND(K21/60,2),"--")</f>
        <v>277.104</v>
      </c>
      <c r="R21" s="536" t="str">
        <f aca="true" t="shared" si="8" ref="R21:R40">IF(L21="RF",G21*N21*ROUND(K21/60,2),"--")</f>
        <v>--</v>
      </c>
      <c r="S21" s="85" t="str">
        <f aca="true" t="shared" si="9" ref="S21:S40">IF(D21="","","SI")</f>
        <v>SI</v>
      </c>
      <c r="T21" s="86">
        <f aca="true" t="shared" si="10" ref="T21:T40">IF(D21="","",SUM(O21:R21)*IF(S21="SI",1,2))</f>
        <v>2586.3039999999996</v>
      </c>
      <c r="U21" s="144"/>
    </row>
    <row r="22" spans="2:21" s="16" customFormat="1" ht="16.5" customHeight="1">
      <c r="B22" s="140"/>
      <c r="C22" s="20" t="s">
        <v>183</v>
      </c>
      <c r="D22" s="79" t="s">
        <v>41</v>
      </c>
      <c r="E22" s="79" t="s">
        <v>185</v>
      </c>
      <c r="F22" s="80">
        <v>500</v>
      </c>
      <c r="G22" s="349">
        <f t="shared" si="0"/>
        <v>11.546</v>
      </c>
      <c r="H22" s="81">
        <v>36962.39236111111</v>
      </c>
      <c r="I22" s="82">
        <v>36962.65277777778</v>
      </c>
      <c r="J22" s="83">
        <f t="shared" si="1"/>
        <v>6.250000000116415</v>
      </c>
      <c r="K22" s="30">
        <f t="shared" si="2"/>
        <v>375</v>
      </c>
      <c r="L22" s="27" t="s">
        <v>177</v>
      </c>
      <c r="M22" s="23" t="str">
        <f t="shared" si="3"/>
        <v>--</v>
      </c>
      <c r="N22" s="518">
        <f t="shared" si="4"/>
        <v>200</v>
      </c>
      <c r="O22" s="522">
        <f t="shared" si="5"/>
        <v>1443.25</v>
      </c>
      <c r="P22" s="530" t="str">
        <f t="shared" si="6"/>
        <v>--</v>
      </c>
      <c r="Q22" s="531" t="str">
        <f t="shared" si="7"/>
        <v>--</v>
      </c>
      <c r="R22" s="536" t="str">
        <f t="shared" si="8"/>
        <v>--</v>
      </c>
      <c r="S22" s="85" t="str">
        <f t="shared" si="9"/>
        <v>SI</v>
      </c>
      <c r="T22" s="86">
        <f t="shared" si="10"/>
        <v>1443.25</v>
      </c>
      <c r="U22" s="144"/>
    </row>
    <row r="23" spans="2:21" s="16" customFormat="1" ht="16.5" customHeight="1">
      <c r="B23" s="140"/>
      <c r="C23" s="20"/>
      <c r="D23" s="79"/>
      <c r="E23" s="79"/>
      <c r="F23" s="80"/>
      <c r="G23" s="349">
        <f t="shared" si="0"/>
        <v>9.236</v>
      </c>
      <c r="H23" s="81"/>
      <c r="I23" s="82"/>
      <c r="J23" s="83">
        <f t="shared" si="1"/>
      </c>
      <c r="K23" s="30">
        <f t="shared" si="2"/>
      </c>
      <c r="L23" s="27"/>
      <c r="M23" s="23">
        <f t="shared" si="3"/>
      </c>
      <c r="N23" s="518">
        <f t="shared" si="4"/>
        <v>40</v>
      </c>
      <c r="O23" s="522" t="str">
        <f t="shared" si="5"/>
        <v>--</v>
      </c>
      <c r="P23" s="530" t="str">
        <f t="shared" si="6"/>
        <v>--</v>
      </c>
      <c r="Q23" s="531" t="str">
        <f t="shared" si="7"/>
        <v>--</v>
      </c>
      <c r="R23" s="536" t="str">
        <f t="shared" si="8"/>
        <v>--</v>
      </c>
      <c r="S23" s="85">
        <f t="shared" si="9"/>
      </c>
      <c r="T23" s="86">
        <f t="shared" si="10"/>
      </c>
      <c r="U23" s="144"/>
    </row>
    <row r="24" spans="2:21" s="16" customFormat="1" ht="16.5" customHeight="1">
      <c r="B24" s="140"/>
      <c r="C24" s="20"/>
      <c r="D24" s="79"/>
      <c r="E24" s="79"/>
      <c r="F24" s="80"/>
      <c r="G24" s="349">
        <f t="shared" si="0"/>
        <v>9.236</v>
      </c>
      <c r="H24" s="81"/>
      <c r="I24" s="82"/>
      <c r="J24" s="83">
        <f t="shared" si="1"/>
      </c>
      <c r="K24" s="30">
        <f t="shared" si="2"/>
      </c>
      <c r="L24" s="27"/>
      <c r="M24" s="23">
        <f t="shared" si="3"/>
      </c>
      <c r="N24" s="518">
        <f t="shared" si="4"/>
        <v>40</v>
      </c>
      <c r="O24" s="522" t="str">
        <f t="shared" si="5"/>
        <v>--</v>
      </c>
      <c r="P24" s="530" t="str">
        <f t="shared" si="6"/>
        <v>--</v>
      </c>
      <c r="Q24" s="531" t="str">
        <f t="shared" si="7"/>
        <v>--</v>
      </c>
      <c r="R24" s="536" t="str">
        <f t="shared" si="8"/>
        <v>--</v>
      </c>
      <c r="S24" s="85">
        <f t="shared" si="9"/>
      </c>
      <c r="T24" s="86">
        <f t="shared" si="10"/>
      </c>
      <c r="U24" s="144"/>
    </row>
    <row r="25" spans="2:21" s="16" customFormat="1" ht="16.5" customHeight="1">
      <c r="B25" s="140"/>
      <c r="C25" s="20"/>
      <c r="D25" s="79"/>
      <c r="E25" s="79"/>
      <c r="F25" s="80"/>
      <c r="G25" s="349">
        <f t="shared" si="0"/>
        <v>9.236</v>
      </c>
      <c r="H25" s="81"/>
      <c r="I25" s="82"/>
      <c r="J25" s="83">
        <f t="shared" si="1"/>
      </c>
      <c r="K25" s="30">
        <f t="shared" si="2"/>
      </c>
      <c r="L25" s="27"/>
      <c r="M25" s="23">
        <f t="shared" si="3"/>
      </c>
      <c r="N25" s="518">
        <f t="shared" si="4"/>
        <v>40</v>
      </c>
      <c r="O25" s="522" t="str">
        <f t="shared" si="5"/>
        <v>--</v>
      </c>
      <c r="P25" s="530" t="str">
        <f t="shared" si="6"/>
        <v>--</v>
      </c>
      <c r="Q25" s="531" t="str">
        <f t="shared" si="7"/>
        <v>--</v>
      </c>
      <c r="R25" s="536" t="str">
        <f t="shared" si="8"/>
        <v>--</v>
      </c>
      <c r="S25" s="85">
        <f t="shared" si="9"/>
      </c>
      <c r="T25" s="86">
        <f t="shared" si="10"/>
      </c>
      <c r="U25" s="144"/>
    </row>
    <row r="26" spans="2:21" s="16" customFormat="1" ht="16.5" customHeight="1">
      <c r="B26" s="140"/>
      <c r="C26" s="20"/>
      <c r="D26" s="79"/>
      <c r="E26" s="79"/>
      <c r="F26" s="80"/>
      <c r="G26" s="349">
        <f t="shared" si="0"/>
        <v>9.236</v>
      </c>
      <c r="H26" s="81"/>
      <c r="I26" s="82"/>
      <c r="J26" s="83">
        <f t="shared" si="1"/>
      </c>
      <c r="K26" s="30">
        <f t="shared" si="2"/>
      </c>
      <c r="L26" s="27"/>
      <c r="M26" s="23">
        <f t="shared" si="3"/>
      </c>
      <c r="N26" s="518">
        <f t="shared" si="4"/>
        <v>40</v>
      </c>
      <c r="O26" s="522" t="str">
        <f t="shared" si="5"/>
        <v>--</v>
      </c>
      <c r="P26" s="530" t="str">
        <f t="shared" si="6"/>
        <v>--</v>
      </c>
      <c r="Q26" s="531" t="str">
        <f t="shared" si="7"/>
        <v>--</v>
      </c>
      <c r="R26" s="536" t="str">
        <f t="shared" si="8"/>
        <v>--</v>
      </c>
      <c r="S26" s="85">
        <f t="shared" si="9"/>
      </c>
      <c r="T26" s="86">
        <f t="shared" si="10"/>
      </c>
      <c r="U26" s="144"/>
    </row>
    <row r="27" spans="2:21" s="16" customFormat="1" ht="16.5" customHeight="1">
      <c r="B27" s="140"/>
      <c r="C27" s="20"/>
      <c r="D27" s="79"/>
      <c r="E27" s="79"/>
      <c r="F27" s="80"/>
      <c r="G27" s="349">
        <f t="shared" si="0"/>
        <v>9.236</v>
      </c>
      <c r="H27" s="81"/>
      <c r="I27" s="82"/>
      <c r="J27" s="83">
        <f t="shared" si="1"/>
      </c>
      <c r="K27" s="30">
        <f t="shared" si="2"/>
      </c>
      <c r="L27" s="27"/>
      <c r="M27" s="23">
        <f t="shared" si="3"/>
      </c>
      <c r="N27" s="518">
        <f t="shared" si="4"/>
        <v>40</v>
      </c>
      <c r="O27" s="522" t="str">
        <f t="shared" si="5"/>
        <v>--</v>
      </c>
      <c r="P27" s="530" t="str">
        <f t="shared" si="6"/>
        <v>--</v>
      </c>
      <c r="Q27" s="531" t="str">
        <f t="shared" si="7"/>
        <v>--</v>
      </c>
      <c r="R27" s="536" t="str">
        <f t="shared" si="8"/>
        <v>--</v>
      </c>
      <c r="S27" s="85">
        <f t="shared" si="9"/>
      </c>
      <c r="T27" s="86">
        <f t="shared" si="10"/>
      </c>
      <c r="U27" s="144"/>
    </row>
    <row r="28" spans="2:21" s="16" customFormat="1" ht="16.5" customHeight="1">
      <c r="B28" s="140"/>
      <c r="C28" s="20"/>
      <c r="D28" s="79"/>
      <c r="E28" s="79"/>
      <c r="F28" s="80"/>
      <c r="G28" s="349">
        <f t="shared" si="0"/>
        <v>9.236</v>
      </c>
      <c r="H28" s="81"/>
      <c r="I28" s="82"/>
      <c r="J28" s="83">
        <f t="shared" si="1"/>
      </c>
      <c r="K28" s="30">
        <f t="shared" si="2"/>
      </c>
      <c r="L28" s="27"/>
      <c r="M28" s="23">
        <f t="shared" si="3"/>
      </c>
      <c r="N28" s="518">
        <f t="shared" si="4"/>
        <v>40</v>
      </c>
      <c r="O28" s="522" t="str">
        <f t="shared" si="5"/>
        <v>--</v>
      </c>
      <c r="P28" s="530" t="str">
        <f t="shared" si="6"/>
        <v>--</v>
      </c>
      <c r="Q28" s="531" t="str">
        <f t="shared" si="7"/>
        <v>--</v>
      </c>
      <c r="R28" s="536" t="str">
        <f t="shared" si="8"/>
        <v>--</v>
      </c>
      <c r="S28" s="85">
        <f t="shared" si="9"/>
      </c>
      <c r="T28" s="86">
        <f t="shared" si="10"/>
      </c>
      <c r="U28" s="144"/>
    </row>
    <row r="29" spans="2:21" s="16" customFormat="1" ht="16.5" customHeight="1">
      <c r="B29" s="140"/>
      <c r="C29" s="20"/>
      <c r="D29" s="79"/>
      <c r="E29" s="79"/>
      <c r="F29" s="80"/>
      <c r="G29" s="349">
        <f t="shared" si="0"/>
        <v>9.236</v>
      </c>
      <c r="H29" s="81"/>
      <c r="I29" s="82"/>
      <c r="J29" s="83">
        <f t="shared" si="1"/>
      </c>
      <c r="K29" s="30">
        <f t="shared" si="2"/>
      </c>
      <c r="L29" s="27"/>
      <c r="M29" s="23">
        <f t="shared" si="3"/>
      </c>
      <c r="N29" s="518">
        <f t="shared" si="4"/>
        <v>40</v>
      </c>
      <c r="O29" s="522" t="str">
        <f t="shared" si="5"/>
        <v>--</v>
      </c>
      <c r="P29" s="530" t="str">
        <f t="shared" si="6"/>
        <v>--</v>
      </c>
      <c r="Q29" s="531" t="str">
        <f t="shared" si="7"/>
        <v>--</v>
      </c>
      <c r="R29" s="536" t="str">
        <f t="shared" si="8"/>
        <v>--</v>
      </c>
      <c r="S29" s="85">
        <f t="shared" si="9"/>
      </c>
      <c r="T29" s="86">
        <f t="shared" si="10"/>
      </c>
      <c r="U29" s="144"/>
    </row>
    <row r="30" spans="2:21" s="16" customFormat="1" ht="16.5" customHeight="1">
      <c r="B30" s="140"/>
      <c r="C30" s="20"/>
      <c r="D30" s="79"/>
      <c r="E30" s="79"/>
      <c r="F30" s="80"/>
      <c r="G30" s="349">
        <f t="shared" si="0"/>
        <v>9.236</v>
      </c>
      <c r="H30" s="81"/>
      <c r="I30" s="82"/>
      <c r="J30" s="83">
        <f t="shared" si="1"/>
      </c>
      <c r="K30" s="30">
        <f t="shared" si="2"/>
      </c>
      <c r="L30" s="27"/>
      <c r="M30" s="23">
        <f t="shared" si="3"/>
      </c>
      <c r="N30" s="518">
        <f t="shared" si="4"/>
        <v>40</v>
      </c>
      <c r="O30" s="522" t="str">
        <f t="shared" si="5"/>
        <v>--</v>
      </c>
      <c r="P30" s="530" t="str">
        <f t="shared" si="6"/>
        <v>--</v>
      </c>
      <c r="Q30" s="531" t="str">
        <f t="shared" si="7"/>
        <v>--</v>
      </c>
      <c r="R30" s="536" t="str">
        <f t="shared" si="8"/>
        <v>--</v>
      </c>
      <c r="S30" s="85">
        <f t="shared" si="9"/>
      </c>
      <c r="T30" s="86">
        <f t="shared" si="10"/>
      </c>
      <c r="U30" s="144"/>
    </row>
    <row r="31" spans="2:21" s="16" customFormat="1" ht="16.5" customHeight="1">
      <c r="B31" s="140"/>
      <c r="C31" s="20"/>
      <c r="D31" s="79"/>
      <c r="E31" s="79"/>
      <c r="F31" s="80"/>
      <c r="G31" s="349">
        <f t="shared" si="0"/>
        <v>9.236</v>
      </c>
      <c r="H31" s="81"/>
      <c r="I31" s="82"/>
      <c r="J31" s="83">
        <f t="shared" si="1"/>
      </c>
      <c r="K31" s="30">
        <f t="shared" si="2"/>
      </c>
      <c r="L31" s="27"/>
      <c r="M31" s="23">
        <f t="shared" si="3"/>
      </c>
      <c r="N31" s="518">
        <f t="shared" si="4"/>
        <v>40</v>
      </c>
      <c r="O31" s="522" t="str">
        <f t="shared" si="5"/>
        <v>--</v>
      </c>
      <c r="P31" s="530" t="str">
        <f t="shared" si="6"/>
        <v>--</v>
      </c>
      <c r="Q31" s="531" t="str">
        <f t="shared" si="7"/>
        <v>--</v>
      </c>
      <c r="R31" s="536" t="str">
        <f t="shared" si="8"/>
        <v>--</v>
      </c>
      <c r="S31" s="85">
        <f t="shared" si="9"/>
      </c>
      <c r="T31" s="86">
        <f t="shared" si="10"/>
      </c>
      <c r="U31" s="144"/>
    </row>
    <row r="32" spans="2:21" s="16" customFormat="1" ht="16.5" customHeight="1">
      <c r="B32" s="140"/>
      <c r="C32" s="20"/>
      <c r="D32" s="79"/>
      <c r="E32" s="79"/>
      <c r="F32" s="80"/>
      <c r="G32" s="349">
        <f t="shared" si="0"/>
        <v>9.236</v>
      </c>
      <c r="H32" s="81"/>
      <c r="I32" s="82"/>
      <c r="J32" s="83">
        <f t="shared" si="1"/>
      </c>
      <c r="K32" s="30">
        <f t="shared" si="2"/>
      </c>
      <c r="L32" s="27"/>
      <c r="M32" s="23">
        <f t="shared" si="3"/>
      </c>
      <c r="N32" s="518">
        <f t="shared" si="4"/>
        <v>40</v>
      </c>
      <c r="O32" s="522" t="str">
        <f t="shared" si="5"/>
        <v>--</v>
      </c>
      <c r="P32" s="530" t="str">
        <f t="shared" si="6"/>
        <v>--</v>
      </c>
      <c r="Q32" s="531" t="str">
        <f t="shared" si="7"/>
        <v>--</v>
      </c>
      <c r="R32" s="536" t="str">
        <f t="shared" si="8"/>
        <v>--</v>
      </c>
      <c r="S32" s="85">
        <f t="shared" si="9"/>
      </c>
      <c r="T32" s="86">
        <f t="shared" si="10"/>
      </c>
      <c r="U32" s="144"/>
    </row>
    <row r="33" spans="2:21" s="16" customFormat="1" ht="16.5" customHeight="1">
      <c r="B33" s="140"/>
      <c r="C33" s="20"/>
      <c r="D33" s="79"/>
      <c r="E33" s="79"/>
      <c r="F33" s="80"/>
      <c r="G33" s="349">
        <f t="shared" si="0"/>
        <v>9.236</v>
      </c>
      <c r="H33" s="81"/>
      <c r="I33" s="82"/>
      <c r="J33" s="83">
        <f t="shared" si="1"/>
      </c>
      <c r="K33" s="30">
        <f t="shared" si="2"/>
      </c>
      <c r="L33" s="27"/>
      <c r="M33" s="23">
        <f t="shared" si="3"/>
      </c>
      <c r="N33" s="518">
        <f t="shared" si="4"/>
        <v>40</v>
      </c>
      <c r="O33" s="522" t="str">
        <f t="shared" si="5"/>
        <v>--</v>
      </c>
      <c r="P33" s="530" t="str">
        <f t="shared" si="6"/>
        <v>--</v>
      </c>
      <c r="Q33" s="531" t="str">
        <f t="shared" si="7"/>
        <v>--</v>
      </c>
      <c r="R33" s="536" t="str">
        <f t="shared" si="8"/>
        <v>--</v>
      </c>
      <c r="S33" s="85">
        <f t="shared" si="9"/>
      </c>
      <c r="T33" s="86">
        <f t="shared" si="10"/>
      </c>
      <c r="U33" s="144"/>
    </row>
    <row r="34" spans="2:21" s="16" customFormat="1" ht="16.5" customHeight="1">
      <c r="B34" s="140"/>
      <c r="C34" s="20"/>
      <c r="D34" s="79"/>
      <c r="E34" s="79"/>
      <c r="F34" s="80"/>
      <c r="G34" s="349">
        <f t="shared" si="0"/>
        <v>9.236</v>
      </c>
      <c r="H34" s="81"/>
      <c r="I34" s="82"/>
      <c r="J34" s="83">
        <f t="shared" si="1"/>
      </c>
      <c r="K34" s="30">
        <f t="shared" si="2"/>
      </c>
      <c r="L34" s="27"/>
      <c r="M34" s="23">
        <f t="shared" si="3"/>
      </c>
      <c r="N34" s="518">
        <f t="shared" si="4"/>
        <v>40</v>
      </c>
      <c r="O34" s="522" t="str">
        <f t="shared" si="5"/>
        <v>--</v>
      </c>
      <c r="P34" s="530" t="str">
        <f t="shared" si="6"/>
        <v>--</v>
      </c>
      <c r="Q34" s="531" t="str">
        <f t="shared" si="7"/>
        <v>--</v>
      </c>
      <c r="R34" s="536" t="str">
        <f t="shared" si="8"/>
        <v>--</v>
      </c>
      <c r="S34" s="85">
        <f t="shared" si="9"/>
      </c>
      <c r="T34" s="86">
        <f t="shared" si="10"/>
      </c>
      <c r="U34" s="144"/>
    </row>
    <row r="35" spans="2:21" s="16" customFormat="1" ht="16.5" customHeight="1">
      <c r="B35" s="140"/>
      <c r="C35" s="20"/>
      <c r="D35" s="79"/>
      <c r="E35" s="79"/>
      <c r="F35" s="80"/>
      <c r="G35" s="349">
        <f t="shared" si="0"/>
        <v>9.236</v>
      </c>
      <c r="H35" s="81"/>
      <c r="I35" s="82"/>
      <c r="J35" s="83">
        <f t="shared" si="1"/>
      </c>
      <c r="K35" s="30">
        <f t="shared" si="2"/>
      </c>
      <c r="L35" s="27"/>
      <c r="M35" s="23">
        <f t="shared" si="3"/>
      </c>
      <c r="N35" s="518">
        <f t="shared" si="4"/>
        <v>40</v>
      </c>
      <c r="O35" s="522" t="str">
        <f t="shared" si="5"/>
        <v>--</v>
      </c>
      <c r="P35" s="530" t="str">
        <f t="shared" si="6"/>
        <v>--</v>
      </c>
      <c r="Q35" s="531" t="str">
        <f t="shared" si="7"/>
        <v>--</v>
      </c>
      <c r="R35" s="536" t="str">
        <f t="shared" si="8"/>
        <v>--</v>
      </c>
      <c r="S35" s="85">
        <f t="shared" si="9"/>
      </c>
      <c r="T35" s="86">
        <f t="shared" si="10"/>
      </c>
      <c r="U35" s="144"/>
    </row>
    <row r="36" spans="2:21" s="16" customFormat="1" ht="16.5" customHeight="1">
      <c r="B36" s="140"/>
      <c r="C36" s="20"/>
      <c r="D36" s="79"/>
      <c r="E36" s="79"/>
      <c r="F36" s="80"/>
      <c r="G36" s="349">
        <f t="shared" si="0"/>
        <v>9.236</v>
      </c>
      <c r="H36" s="81"/>
      <c r="I36" s="82"/>
      <c r="J36" s="83">
        <f t="shared" si="1"/>
      </c>
      <c r="K36" s="30">
        <f t="shared" si="2"/>
      </c>
      <c r="L36" s="27"/>
      <c r="M36" s="23">
        <f t="shared" si="3"/>
      </c>
      <c r="N36" s="518">
        <f t="shared" si="4"/>
        <v>40</v>
      </c>
      <c r="O36" s="522" t="str">
        <f t="shared" si="5"/>
        <v>--</v>
      </c>
      <c r="P36" s="530" t="str">
        <f t="shared" si="6"/>
        <v>--</v>
      </c>
      <c r="Q36" s="531" t="str">
        <f t="shared" si="7"/>
        <v>--</v>
      </c>
      <c r="R36" s="536" t="str">
        <f t="shared" si="8"/>
        <v>--</v>
      </c>
      <c r="S36" s="85">
        <f t="shared" si="9"/>
      </c>
      <c r="T36" s="86">
        <f t="shared" si="10"/>
      </c>
      <c r="U36" s="144"/>
    </row>
    <row r="37" spans="2:21" s="16" customFormat="1" ht="16.5" customHeight="1">
      <c r="B37" s="140"/>
      <c r="C37" s="20"/>
      <c r="D37" s="79"/>
      <c r="E37" s="79"/>
      <c r="F37" s="80"/>
      <c r="G37" s="349">
        <f t="shared" si="0"/>
        <v>9.236</v>
      </c>
      <c r="H37" s="81"/>
      <c r="I37" s="82"/>
      <c r="J37" s="83">
        <f t="shared" si="1"/>
      </c>
      <c r="K37" s="30">
        <f t="shared" si="2"/>
      </c>
      <c r="L37" s="27"/>
      <c r="M37" s="23">
        <f t="shared" si="3"/>
      </c>
      <c r="N37" s="518">
        <f t="shared" si="4"/>
        <v>40</v>
      </c>
      <c r="O37" s="522" t="str">
        <f t="shared" si="5"/>
        <v>--</v>
      </c>
      <c r="P37" s="530" t="str">
        <f t="shared" si="6"/>
        <v>--</v>
      </c>
      <c r="Q37" s="531" t="str">
        <f t="shared" si="7"/>
        <v>--</v>
      </c>
      <c r="R37" s="536" t="str">
        <f t="shared" si="8"/>
        <v>--</v>
      </c>
      <c r="S37" s="85">
        <f t="shared" si="9"/>
      </c>
      <c r="T37" s="86">
        <f t="shared" si="10"/>
      </c>
      <c r="U37" s="144"/>
    </row>
    <row r="38" spans="2:21" s="16" customFormat="1" ht="16.5" customHeight="1">
      <c r="B38" s="140"/>
      <c r="C38" s="20"/>
      <c r="D38" s="79"/>
      <c r="E38" s="79"/>
      <c r="F38" s="80"/>
      <c r="G38" s="349">
        <f t="shared" si="0"/>
        <v>9.236</v>
      </c>
      <c r="H38" s="81"/>
      <c r="I38" s="82"/>
      <c r="J38" s="83">
        <f t="shared" si="1"/>
      </c>
      <c r="K38" s="30">
        <f t="shared" si="2"/>
      </c>
      <c r="L38" s="27"/>
      <c r="M38" s="23">
        <f t="shared" si="3"/>
      </c>
      <c r="N38" s="518">
        <f t="shared" si="4"/>
        <v>40</v>
      </c>
      <c r="O38" s="522" t="str">
        <f t="shared" si="5"/>
        <v>--</v>
      </c>
      <c r="P38" s="530" t="str">
        <f t="shared" si="6"/>
        <v>--</v>
      </c>
      <c r="Q38" s="531" t="str">
        <f t="shared" si="7"/>
        <v>--</v>
      </c>
      <c r="R38" s="536" t="str">
        <f t="shared" si="8"/>
        <v>--</v>
      </c>
      <c r="S38" s="85">
        <f t="shared" si="9"/>
      </c>
      <c r="T38" s="86">
        <f t="shared" si="10"/>
      </c>
      <c r="U38" s="144"/>
    </row>
    <row r="39" spans="2:21" s="16" customFormat="1" ht="16.5" customHeight="1">
      <c r="B39" s="140"/>
      <c r="C39" s="20"/>
      <c r="D39" s="79"/>
      <c r="E39" s="79"/>
      <c r="F39" s="80"/>
      <c r="G39" s="349">
        <f t="shared" si="0"/>
        <v>9.236</v>
      </c>
      <c r="H39" s="81"/>
      <c r="I39" s="82"/>
      <c r="J39" s="83">
        <f t="shared" si="1"/>
      </c>
      <c r="K39" s="30">
        <f t="shared" si="2"/>
      </c>
      <c r="L39" s="27"/>
      <c r="M39" s="23">
        <f t="shared" si="3"/>
      </c>
      <c r="N39" s="518">
        <f t="shared" si="4"/>
        <v>40</v>
      </c>
      <c r="O39" s="522" t="str">
        <f t="shared" si="5"/>
        <v>--</v>
      </c>
      <c r="P39" s="530" t="str">
        <f t="shared" si="6"/>
        <v>--</v>
      </c>
      <c r="Q39" s="531" t="str">
        <f t="shared" si="7"/>
        <v>--</v>
      </c>
      <c r="R39" s="536" t="str">
        <f t="shared" si="8"/>
        <v>--</v>
      </c>
      <c r="S39" s="85">
        <f t="shared" si="9"/>
      </c>
      <c r="T39" s="86">
        <f t="shared" si="10"/>
      </c>
      <c r="U39" s="144"/>
    </row>
    <row r="40" spans="2:21" s="16" customFormat="1" ht="16.5" customHeight="1">
      <c r="B40" s="140"/>
      <c r="C40" s="20"/>
      <c r="D40" s="79"/>
      <c r="E40" s="79"/>
      <c r="F40" s="80"/>
      <c r="G40" s="349">
        <f t="shared" si="0"/>
        <v>9.236</v>
      </c>
      <c r="H40" s="81"/>
      <c r="I40" s="82"/>
      <c r="J40" s="83">
        <f t="shared" si="1"/>
      </c>
      <c r="K40" s="30">
        <f t="shared" si="2"/>
      </c>
      <c r="L40" s="27"/>
      <c r="M40" s="23">
        <f t="shared" si="3"/>
      </c>
      <c r="N40" s="518">
        <f t="shared" si="4"/>
        <v>40</v>
      </c>
      <c r="O40" s="522" t="str">
        <f t="shared" si="5"/>
        <v>--</v>
      </c>
      <c r="P40" s="530" t="str">
        <f t="shared" si="6"/>
        <v>--</v>
      </c>
      <c r="Q40" s="531" t="str">
        <f t="shared" si="7"/>
        <v>--</v>
      </c>
      <c r="R40" s="536" t="str">
        <f t="shared" si="8"/>
        <v>--</v>
      </c>
      <c r="S40" s="85">
        <f t="shared" si="9"/>
      </c>
      <c r="T40" s="86">
        <f t="shared" si="10"/>
      </c>
      <c r="U40" s="144"/>
    </row>
    <row r="41" spans="2:21" s="16" customFormat="1" ht="16.5" customHeight="1" thickBot="1">
      <c r="B41" s="140"/>
      <c r="C41" s="33"/>
      <c r="D41" s="87"/>
      <c r="E41" s="87"/>
      <c r="F41" s="34"/>
      <c r="G41" s="350"/>
      <c r="H41" s="88"/>
      <c r="I41" s="88"/>
      <c r="J41" s="88"/>
      <c r="K41" s="88"/>
      <c r="L41" s="88"/>
      <c r="M41" s="37"/>
      <c r="N41" s="519"/>
      <c r="O41" s="523"/>
      <c r="P41" s="532"/>
      <c r="Q41" s="533"/>
      <c r="R41" s="537"/>
      <c r="S41" s="89"/>
      <c r="T41" s="717"/>
      <c r="U41" s="144"/>
    </row>
    <row r="42" spans="2:21" s="16" customFormat="1" ht="16.5" customHeight="1" thickBot="1" thickTop="1">
      <c r="B42" s="140"/>
      <c r="C42" s="282" t="s">
        <v>96</v>
      </c>
      <c r="D42" s="283" t="s">
        <v>97</v>
      </c>
      <c r="E42"/>
      <c r="F42" s="14"/>
      <c r="G42" s="14"/>
      <c r="H42" s="14"/>
      <c r="I42" s="14"/>
      <c r="J42" s="14"/>
      <c r="K42" s="14"/>
      <c r="L42" s="14"/>
      <c r="M42" s="14"/>
      <c r="N42" s="14"/>
      <c r="O42" s="525">
        <f>SUM(O20:O41)</f>
        <v>1443.25</v>
      </c>
      <c r="P42" s="534">
        <f>SUM(P20:P41)</f>
        <v>2309.2</v>
      </c>
      <c r="Q42" s="535">
        <f>SUM(Q20:Q41)</f>
        <v>277.104</v>
      </c>
      <c r="R42" s="538">
        <f>SUM(R20:R41)</f>
        <v>0</v>
      </c>
      <c r="S42" s="90"/>
      <c r="T42" s="91">
        <f>ROUND(SUM(T20:T41),2)</f>
        <v>4029.55</v>
      </c>
      <c r="U42" s="144"/>
    </row>
    <row r="43" spans="2:21" s="286" customFormat="1" ht="13.5" thickTop="1">
      <c r="B43" s="287"/>
      <c r="C43" s="284"/>
      <c r="D43" s="285" t="s">
        <v>98</v>
      </c>
      <c r="E43"/>
      <c r="F43" s="303"/>
      <c r="G43" s="303"/>
      <c r="H43" s="303"/>
      <c r="I43" s="303"/>
      <c r="J43" s="303"/>
      <c r="K43" s="303"/>
      <c r="L43" s="303"/>
      <c r="M43" s="303"/>
      <c r="N43" s="303"/>
      <c r="O43" s="301"/>
      <c r="P43" s="301"/>
      <c r="Q43" s="301"/>
      <c r="R43" s="301"/>
      <c r="S43" s="301"/>
      <c r="T43" s="304"/>
      <c r="U43" s="305"/>
    </row>
    <row r="44" spans="2:21" s="16" customFormat="1" ht="16.5" customHeight="1" thickBot="1"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1"/>
    </row>
    <row r="45" spans="21:23" ht="16.5" customHeight="1" thickTop="1">
      <c r="U45" s="5"/>
      <c r="V45" s="5"/>
      <c r="W45" s="5"/>
    </row>
    <row r="46" spans="21:23" ht="16.5" customHeight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4:23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2002-02-27T15:48:21Z</cp:lastPrinted>
  <dcterms:created xsi:type="dcterms:W3CDTF">1998-04-21T14:28:46Z</dcterms:created>
  <dcterms:modified xsi:type="dcterms:W3CDTF">2002-03-01T15:09:22Z</dcterms:modified>
  <cp:category/>
  <cp:version/>
  <cp:contentType/>
  <cp:contentStatus/>
</cp:coreProperties>
</file>