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19" activeTab="6"/>
  </bookViews>
  <sheets>
    <sheet name="tot-0312" sheetId="1" r:id="rId1"/>
    <sheet name="LIN-YACY" sheetId="2" r:id="rId2"/>
    <sheet name="LIN-LITSA" sheetId="3" r:id="rId3"/>
    <sheet name="TRAFO-TIBA" sheetId="4" r:id="rId4"/>
    <sheet name="TRAFO-ENECOR" sheetId="5" r:id="rId5"/>
    <sheet name="SALIDA-TIBA" sheetId="6" r:id="rId6"/>
    <sheet name="REAC-LITSA" sheetId="7" r:id="rId7"/>
  </sheets>
  <definedNames>
    <definedName name="_xlnm.Print_Area" localSheetId="2">'LIN-LITSA'!$A$1:$AE$45</definedName>
    <definedName name="_xlnm.Print_Area" localSheetId="1">'LIN-YACY'!$A$1:$X$41</definedName>
    <definedName name="_xlnm.Print_Area" localSheetId="6">'REAC-LITSA'!$A$1:$W$47</definedName>
    <definedName name="_xlnm.Print_Area" localSheetId="5">'SALIDA-TIBA'!$A$1:$U$46</definedName>
    <definedName name="_xlnm.Print_Area" localSheetId="0">'tot-0312'!$A$1:$K$36</definedName>
    <definedName name="_xlnm.Print_Area" localSheetId="4">'TRAFO-ENECOR'!$A$1:$AB$42</definedName>
    <definedName name="_xlnm.Print_Area" localSheetId="3">'TRAFO-TIBA'!$A$1:$AB$43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<sst xmlns="http://schemas.openxmlformats.org/spreadsheetml/2006/main" count="331" uniqueCount="151">
  <si>
    <t>SISTEMA DE TRANSPORTE DE ENERGÍA ELÉCTRICA EN ALTA TENSIÓN</t>
  </si>
  <si>
    <t>C</t>
  </si>
  <si>
    <t>RINCON - YACYRETA III</t>
  </si>
  <si>
    <t>RINCON - SALTO GRANDE</t>
  </si>
  <si>
    <t>TRAFO</t>
  </si>
  <si>
    <t>AUTOTRAFO 1</t>
  </si>
  <si>
    <t>RINCÓN</t>
  </si>
  <si>
    <t>BAHÍA BLANCA 500</t>
  </si>
  <si>
    <t>500/132/13,2</t>
  </si>
  <si>
    <t>OLAVARRÍA 500</t>
  </si>
  <si>
    <t>CAMPANA 500</t>
  </si>
  <si>
    <t>LÍNEA A PEDRO LURO</t>
  </si>
  <si>
    <t>LÍNEA A NORTE 2</t>
  </si>
  <si>
    <t>LÍNEA A PETROQUÍMICA</t>
  </si>
  <si>
    <t>LÍNEA A PUNTA ALTA</t>
  </si>
  <si>
    <t>LÍNEA A HENDERSON</t>
  </si>
  <si>
    <t>LÍNEA A AZUL</t>
  </si>
  <si>
    <t>LÍNEA A SIDERCA 0</t>
  </si>
  <si>
    <t>EQUIPO</t>
  </si>
  <si>
    <t>REACTOR 1 - SG</t>
  </si>
  <si>
    <t>REACTOR 2 - SG</t>
  </si>
  <si>
    <t>SALTO GRANDE</t>
  </si>
  <si>
    <t>REACTOR 1 - RI</t>
  </si>
  <si>
    <t>REACTOR 2 - RI</t>
  </si>
  <si>
    <t xml:space="preserve">ENTE NACIONAL REGULADOR </t>
  </si>
  <si>
    <t>DE LA ELECTRICIDAD</t>
  </si>
  <si>
    <t>1.-</t>
  </si>
  <si>
    <t>LÍNEAS</t>
  </si>
  <si>
    <t>Transportista Independiente YACYLEC S.A.</t>
  </si>
  <si>
    <t>Transportista Independiente LITSA</t>
  </si>
  <si>
    <t>2.-</t>
  </si>
  <si>
    <t>CONEXIÓN</t>
  </si>
  <si>
    <t>Transformación</t>
  </si>
  <si>
    <t>Transportista Independiente TIBA</t>
  </si>
  <si>
    <t>Salidas</t>
  </si>
  <si>
    <t>3.-</t>
  </si>
  <si>
    <t>POTENCIA REACTIVA</t>
  </si>
  <si>
    <t xml:space="preserve">TOTAL </t>
  </si>
  <si>
    <t>SISTEMA DE TRANSPORTE DE ENERGÍA ELÉCTRICA EN ALTA TENSIÓN - TRANSENER S.A.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</si>
  <si>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</si>
  <si>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</si>
  <si>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</si>
  <si>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</si>
  <si>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</si>
  <si>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</si>
  <si>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</si>
  <si>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</si>
  <si>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</si>
  <si>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</si>
  <si>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</si>
  <si>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</si>
  <si>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</si>
  <si>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</si>
  <si>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</si>
  <si>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</si>
  <si>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</si>
  <si>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</si>
  <si>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</si>
  <si>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</si>
  <si>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</si>
  <si>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 xml:space="preserve">$/km-h : LINEAS 500 kV </t>
  </si>
  <si>
    <t xml:space="preserve">$/km-h : LINEAS 220 kV </t>
  </si>
  <si>
    <t>REDUCC.
RESTANTE</t>
  </si>
  <si>
    <t>1.2.-  Líneas de la Transportista Independiente YACYLEC S.A.</t>
  </si>
  <si>
    <t>VALOR MENSUAL DEL CANON =</t>
  </si>
  <si>
    <t>PENALIZAC.
PROGRAM.</t>
  </si>
  <si>
    <t>PENALIZACIÓN FORZADA
1ras 5 hs.        hs. Restantes</t>
  </si>
  <si>
    <t>REDUCC. FORZADA.
1ras 5 hs.           hs. Restantes</t>
  </si>
  <si>
    <t>PUNTOS
PENALIZAC.</t>
  </si>
  <si>
    <t>1.2.- Transportista Independiente L.I.T.S.A.</t>
  </si>
  <si>
    <t>Multiplicador =</t>
  </si>
  <si>
    <t>PENALIZACION FORZADA
Por Salida      1ras 5 hs.     hs. Restantes</t>
  </si>
  <si>
    <t>PENAL.REDUC. A LA CAP. DE TRANSP.
Por Salida        1ras hs.      hs. Restantes</t>
  </si>
  <si>
    <t>ENTE NACIONAL REGULADOR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</si>
  <si>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</si>
  <si>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</si>
  <si>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</si>
  <si>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</si>
  <si>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</si>
  <si>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</si>
  <si>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</si>
  <si>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</si>
  <si>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>2.1.3.- Transportista Independiente T.I.B.A.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</si>
  <si>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</si>
  <si>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</si>
  <si>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</si>
  <si>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</si>
  <si>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</si>
  <si>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 xml:space="preserve"> 2.2.2.- Transportista Independiente T.I.B.A.</t>
  </si>
  <si>
    <t>SISTEMA DE TRANSPORTE DE ENERGÍA ELÉCTRICA EN ALTA TENSIÓN  -  TRANSENER S.A.</t>
  </si>
  <si>
    <t>3.- POTENCIA REACTIVA</t>
  </si>
  <si>
    <t>PENALIZACIÓN FORZADA
Por Salida     hs. Restantes</t>
  </si>
  <si>
    <t>K (P)</t>
  </si>
  <si>
    <t>RINCON - PASO DE LA PATRIA</t>
  </si>
  <si>
    <t>RESISTENCIA - PASO DE LA PATRIA</t>
  </si>
  <si>
    <t>PASO DE LA PATRIA</t>
  </si>
  <si>
    <t>Transportista Independiente ENECOR S.A.</t>
  </si>
  <si>
    <t>2.1.4.- Transportista Independiente ENECOR S.A.</t>
  </si>
  <si>
    <t>AUTOTRAFO 2</t>
  </si>
  <si>
    <t>LÍNEA A PETROQUÍMICA 2</t>
  </si>
  <si>
    <t>LÍNEA A PETROQUÍMICA 3</t>
  </si>
  <si>
    <t>RESOLUCION ENRE Nº 1200/99</t>
  </si>
  <si>
    <t>Tasa de falla de LITSA =</t>
  </si>
  <si>
    <t>Duración Prom. anual móvil por salida forzada =</t>
  </si>
  <si>
    <t>Factor multiplicativo del mayoramiento =</t>
  </si>
  <si>
    <t>F</t>
  </si>
  <si>
    <t>Valores remuneratorios según Res. ENRE N° 618/01 - 544/01 - 533/01</t>
  </si>
  <si>
    <t>P</t>
  </si>
  <si>
    <t>500/132/34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</si>
  <si>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</si>
  <si>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</si>
  <si>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</si>
  <si>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</si>
  <si>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</si>
  <si>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</si>
  <si>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</si>
  <si>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</si>
  <si>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</si>
  <si>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</si>
  <si>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</si>
  <si>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</si>
  <si>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</si>
  <si>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</si>
  <si>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</si>
  <si>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</si>
  <si>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</si>
  <si>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</si>
  <si>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</si>
  <si>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</si>
  <si>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</si>
  <si>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</si>
  <si>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</si>
  <si>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</si>
  <si>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</si>
  <si>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</si>
  <si>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</si>
  <si>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</si>
  <si>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</si>
  <si>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</si>
  <si>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3.2.- Transportista Independiente L.I.T.S.A.</t>
  </si>
  <si>
    <t>Desde el 01 al 31 de diciembre de 2003</t>
  </si>
  <si>
    <t>TOTAL DE PENALIZACIONES A APLICAR</t>
  </si>
  <si>
    <t>TRANSENER S.A. - TRANSPORTISTAS INDEPENDIENTES</t>
  </si>
  <si>
    <t>DIEFERENCIA</t>
  </si>
  <si>
    <t>TOTAL Res. ENRE 685/07</t>
  </si>
  <si>
    <t xml:space="preserve">P - PROGRAMADA                    </t>
  </si>
  <si>
    <t xml:space="preserve">F - FORZADA                      </t>
  </si>
  <si>
    <t xml:space="preserve">P - PROGRAMADA           </t>
  </si>
  <si>
    <t xml:space="preserve">F - FORZADA                 </t>
  </si>
  <si>
    <t xml:space="preserve">P - PROGRAMADA                  </t>
  </si>
  <si>
    <t>ANEXO I-2 a la Resolución ENRE N° 403/2008.-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</si>
</sst>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sz val="11"/>
      <name val="Times New Roman"/>
      <family val="0"/>
    </font>
    <font>
      <b/>
      <i/>
      <u val="single"/>
      <sz val="16"/>
      <name val="Times New Roman"/>
      <family val="1"/>
    </font>
    <font>
      <sz val="7"/>
      <name val="MS Sans Serif"/>
      <family val="0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52"/>
      <name val="MS Sans Serif"/>
      <family val="2"/>
    </font>
    <font>
      <sz val="10"/>
      <color indexed="52"/>
      <name val="MS Sans Serif"/>
      <family val="2"/>
    </font>
    <font>
      <b/>
      <sz val="10"/>
      <color indexed="52"/>
      <name val="Times New Roman"/>
      <family val="0"/>
    </font>
    <font>
      <sz val="11"/>
      <color indexed="26"/>
      <name val="MS Sans Serif"/>
      <family val="2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26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1"/>
      <color indexed="13"/>
      <name val="MS Sans Serif"/>
      <family val="2"/>
    </font>
    <font>
      <b/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sz val="11"/>
      <color indexed="27"/>
      <name val="MS Sans Serif"/>
      <family val="0"/>
    </font>
    <font>
      <b/>
      <sz val="10"/>
      <color indexed="27"/>
      <name val="Times New Roman"/>
      <family val="1"/>
    </font>
    <font>
      <b/>
      <sz val="10"/>
      <color indexed="8"/>
      <name val="Times New Roman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5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 applyProtection="1">
      <alignment horizontal="center"/>
      <protection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4" xfId="0" applyFont="1" applyBorder="1" applyAlignment="1">
      <alignment horizontal="center"/>
    </xf>
    <xf numFmtId="176" fontId="4" fillId="0" borderId="5" xfId="0" applyNumberFormat="1" applyFont="1" applyBorder="1" applyAlignment="1" applyProtection="1">
      <alignment horizontal="center"/>
      <protection/>
    </xf>
    <xf numFmtId="2" fontId="16" fillId="0" borderId="6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4" xfId="0" applyFont="1" applyFill="1" applyBorder="1" applyAlignment="1">
      <alignment horizontal="center"/>
    </xf>
    <xf numFmtId="172" fontId="4" fillId="0" borderId="4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Alignment="1">
      <alignment horizontal="center"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38" fontId="4" fillId="0" borderId="5" xfId="0" applyNumberFormat="1" applyFont="1" applyFill="1" applyBorder="1" applyAlignment="1" applyProtection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4" fontId="18" fillId="0" borderId="1" xfId="0" applyNumberFormat="1" applyFont="1" applyFill="1" applyBorder="1" applyAlignment="1">
      <alignment horizontal="right"/>
    </xf>
    <xf numFmtId="176" fontId="4" fillId="0" borderId="10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176" fontId="4" fillId="0" borderId="4" xfId="0" applyNumberFormat="1" applyFont="1" applyBorder="1" applyAlignment="1" applyProtection="1">
      <alignment horizontal="center"/>
      <protection/>
    </xf>
    <xf numFmtId="22" fontId="4" fillId="0" borderId="13" xfId="0" applyNumberFormat="1" applyFont="1" applyBorder="1" applyAlignment="1">
      <alignment horizontal="center"/>
    </xf>
    <xf numFmtId="22" fontId="4" fillId="0" borderId="14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 quotePrefix="1">
      <alignment horizontal="center"/>
      <protection/>
    </xf>
    <xf numFmtId="172" fontId="4" fillId="0" borderId="4" xfId="0" applyNumberFormat="1" applyFont="1" applyFill="1" applyBorder="1" applyAlignment="1" applyProtection="1" quotePrefix="1">
      <alignment horizontal="center"/>
      <protection/>
    </xf>
    <xf numFmtId="176" fontId="4" fillId="0" borderId="8" xfId="0" applyNumberFormat="1" applyFont="1" applyBorder="1" applyAlignment="1" applyProtection="1">
      <alignment horizontal="center"/>
      <protection/>
    </xf>
    <xf numFmtId="7" fontId="12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11" fillId="0" borderId="18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19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13" fillId="0" borderId="20" xfId="0" applyFont="1" applyBorder="1" applyAlignment="1">
      <alignment horizontal="center"/>
    </xf>
    <xf numFmtId="7" fontId="13" fillId="0" borderId="21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3" xfId="0" applyNumberFormat="1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4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9" xfId="0" applyFont="1" applyFill="1" applyBorder="1" applyAlignment="1">
      <alignment horizontal="centerContinuous"/>
    </xf>
    <xf numFmtId="0" fontId="0" fillId="0" borderId="20" xfId="0" applyFont="1" applyBorder="1" applyAlignment="1" applyProtection="1">
      <alignment horizontal="center"/>
      <protection/>
    </xf>
    <xf numFmtId="0" fontId="33" fillId="0" borderId="12" xfId="0" applyFont="1" applyBorder="1" applyAlignment="1">
      <alignment horizontal="center" vertical="center"/>
    </xf>
    <xf numFmtId="0" fontId="33" fillId="0" borderId="26" xfId="0" applyFont="1" applyBorder="1" applyAlignment="1" applyProtection="1">
      <alignment horizontal="center" vertical="center"/>
      <protection/>
    </xf>
    <xf numFmtId="176" fontId="3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20" xfId="0" applyFont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center" vertical="center"/>
      <protection/>
    </xf>
    <xf numFmtId="172" fontId="33" fillId="0" borderId="21" xfId="0" applyNumberFormat="1" applyFont="1" applyBorder="1" applyAlignment="1" applyProtection="1">
      <alignment horizontal="center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0" fontId="33" fillId="0" borderId="20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18" xfId="0" applyFont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18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19" xfId="0" applyFont="1" applyFill="1" applyBorder="1" applyAlignment="1">
      <alignment horizontal="centerContinuous"/>
    </xf>
    <xf numFmtId="0" fontId="0" fillId="0" borderId="20" xfId="0" applyFont="1" applyFill="1" applyBorder="1" applyAlignment="1" applyProtection="1" quotePrefix="1">
      <alignment horizontal="left"/>
      <protection/>
    </xf>
    <xf numFmtId="0" fontId="0" fillId="0" borderId="27" xfId="0" applyFont="1" applyFill="1" applyBorder="1" applyAlignment="1" applyProtection="1">
      <alignment horizontal="center"/>
      <protection/>
    </xf>
    <xf numFmtId="172" fontId="0" fillId="0" borderId="21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20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3" fillId="0" borderId="12" xfId="0" applyFont="1" applyFill="1" applyBorder="1" applyAlignment="1" applyProtection="1" quotePrefix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28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9" xfId="0" applyFont="1" applyBorder="1" applyAlignment="1">
      <alignment horizontal="centerContinuous"/>
    </xf>
    <xf numFmtId="0" fontId="32" fillId="0" borderId="18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1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 applyProtection="1">
      <alignment horizontal="left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1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6" xfId="0" applyNumberFormat="1" applyFont="1" applyFill="1" applyBorder="1" applyAlignment="1">
      <alignment horizontal="right"/>
    </xf>
    <xf numFmtId="2" fontId="4" fillId="0" borderId="29" xfId="0" applyNumberFormat="1" applyFont="1" applyFill="1" applyBorder="1" applyAlignment="1" applyProtection="1" quotePrefix="1">
      <alignment horizontal="center"/>
      <protection/>
    </xf>
    <xf numFmtId="0" fontId="4" fillId="0" borderId="3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4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 quotePrefix="1">
      <alignment horizontal="left"/>
      <protection/>
    </xf>
    <xf numFmtId="0" fontId="0" fillId="0" borderId="27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33" fillId="0" borderId="12" xfId="0" applyFont="1" applyBorder="1" applyAlignment="1" applyProtection="1" quotePrefix="1">
      <alignment horizontal="center" vertical="center" wrapText="1"/>
      <protection/>
    </xf>
    <xf numFmtId="0" fontId="38" fillId="0" borderId="12" xfId="0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center"/>
    </xf>
    <xf numFmtId="176" fontId="18" fillId="0" borderId="6" xfId="0" applyNumberFormat="1" applyFont="1" applyFill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1" fillId="0" borderId="34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quotePrefix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19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1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9" xfId="0" applyFont="1" applyFill="1" applyBorder="1" applyAlignment="1">
      <alignment horizontal="centerContinuous"/>
    </xf>
    <xf numFmtId="0" fontId="17" fillId="0" borderId="0" xfId="0" applyFont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0" fillId="0" borderId="18" xfId="0" applyFont="1" applyBorder="1" applyAlignment="1">
      <alignment horizontal="centerContinuous"/>
    </xf>
    <xf numFmtId="22" fontId="8" fillId="0" borderId="0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center"/>
    </xf>
    <xf numFmtId="176" fontId="4" fillId="2" borderId="5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0" fontId="51" fillId="0" borderId="0" xfId="0" applyFont="1" applyAlignment="1">
      <alignment/>
    </xf>
    <xf numFmtId="0" fontId="51" fillId="0" borderId="18" xfId="0" applyFont="1" applyBorder="1" applyAlignment="1">
      <alignment/>
    </xf>
    <xf numFmtId="179" fontId="41" fillId="0" borderId="0" xfId="0" applyNumberFormat="1" applyFont="1" applyBorder="1" applyAlignment="1" applyProtection="1" quotePrefix="1">
      <alignment horizontal="center"/>
      <protection/>
    </xf>
    <xf numFmtId="176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Fill="1" applyBorder="1" applyAlignment="1">
      <alignment horizontal="center"/>
    </xf>
    <xf numFmtId="4" fontId="51" fillId="0" borderId="19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56" fillId="3" borderId="20" xfId="0" applyFont="1" applyFill="1" applyBorder="1" applyAlignment="1" applyProtection="1">
      <alignment horizontal="centerContinuous" vertical="center" wrapText="1"/>
      <protection/>
    </xf>
    <xf numFmtId="0" fontId="57" fillId="3" borderId="27" xfId="0" applyFont="1" applyFill="1" applyBorder="1" applyAlignment="1">
      <alignment horizontal="centerContinuous"/>
    </xf>
    <xf numFmtId="0" fontId="56" fillId="3" borderId="21" xfId="0" applyFont="1" applyFill="1" applyBorder="1" applyAlignment="1">
      <alignment horizontal="centerContinuous" vertical="center"/>
    </xf>
    <xf numFmtId="0" fontId="58" fillId="3" borderId="12" xfId="0" applyFont="1" applyFill="1" applyBorder="1" applyAlignment="1" applyProtection="1">
      <alignment horizontal="center" vertical="center"/>
      <protection/>
    </xf>
    <xf numFmtId="0" fontId="59" fillId="3" borderId="1" xfId="0" applyFont="1" applyFill="1" applyBorder="1" applyAlignment="1">
      <alignment/>
    </xf>
    <xf numFmtId="176" fontId="59" fillId="3" borderId="1" xfId="0" applyNumberFormat="1" applyFont="1" applyFill="1" applyBorder="1" applyAlignment="1" applyProtection="1">
      <alignment horizontal="center"/>
      <protection/>
    </xf>
    <xf numFmtId="0" fontId="59" fillId="3" borderId="5" xfId="0" applyFont="1" applyFill="1" applyBorder="1" applyAlignment="1" applyProtection="1">
      <alignment horizontal="center"/>
      <protection/>
    </xf>
    <xf numFmtId="176" fontId="59" fillId="3" borderId="5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59" fillId="3" borderId="31" xfId="0" applyFont="1" applyFill="1" applyBorder="1" applyAlignment="1">
      <alignment horizontal="center"/>
    </xf>
    <xf numFmtId="0" fontId="59" fillId="3" borderId="4" xfId="0" applyFont="1" applyFill="1" applyBorder="1" applyAlignment="1">
      <alignment horizontal="center"/>
    </xf>
    <xf numFmtId="7" fontId="21" fillId="0" borderId="12" xfId="0" applyNumberFormat="1" applyFont="1" applyFill="1" applyBorder="1" applyAlignment="1">
      <alignment horizontal="right"/>
    </xf>
    <xf numFmtId="0" fontId="59" fillId="3" borderId="1" xfId="0" applyFont="1" applyFill="1" applyBorder="1" applyAlignment="1" applyProtection="1">
      <alignment horizontal="center"/>
      <protection/>
    </xf>
    <xf numFmtId="0" fontId="59" fillId="3" borderId="9" xfId="0" applyFont="1" applyFill="1" applyBorder="1" applyAlignment="1" applyProtection="1">
      <alignment horizontal="center"/>
      <protection/>
    </xf>
    <xf numFmtId="176" fontId="59" fillId="3" borderId="4" xfId="0" applyNumberFormat="1" applyFont="1" applyFill="1" applyBorder="1" applyAlignment="1" applyProtection="1">
      <alignment horizontal="center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14" fillId="0" borderId="19" xfId="0" applyFont="1" applyFill="1" applyBorder="1" applyAlignment="1">
      <alignment/>
    </xf>
    <xf numFmtId="0" fontId="49" fillId="0" borderId="0" xfId="0" applyFont="1" applyBorder="1" applyAlignment="1">
      <alignment horizontal="center"/>
    </xf>
    <xf numFmtId="0" fontId="33" fillId="0" borderId="12" xfId="21" applyFont="1" applyBorder="1" applyAlignment="1">
      <alignment horizontal="center" vertical="center"/>
      <protection/>
    </xf>
    <xf numFmtId="0" fontId="38" fillId="3" borderId="12" xfId="0" applyFont="1" applyFill="1" applyBorder="1" applyAlignment="1">
      <alignment horizontal="center" vertical="center" wrapText="1"/>
    </xf>
    <xf numFmtId="176" fontId="54" fillId="3" borderId="37" xfId="0" applyNumberFormat="1" applyFont="1" applyFill="1" applyBorder="1" applyAlignment="1" applyProtection="1" quotePrefix="1">
      <alignment horizontal="center"/>
      <protection/>
    </xf>
    <xf numFmtId="4" fontId="54" fillId="3" borderId="2" xfId="0" applyNumberFormat="1" applyFont="1" applyFill="1" applyBorder="1" applyAlignment="1" applyProtection="1">
      <alignment horizontal="center"/>
      <protection/>
    </xf>
    <xf numFmtId="176" fontId="54" fillId="3" borderId="38" xfId="0" applyNumberFormat="1" applyFont="1" applyFill="1" applyBorder="1" applyAlignment="1" applyProtection="1" quotePrefix="1">
      <alignment horizontal="center"/>
      <protection/>
    </xf>
    <xf numFmtId="0" fontId="4" fillId="0" borderId="39" xfId="0" applyFont="1" applyBorder="1" applyAlignment="1">
      <alignment/>
    </xf>
    <xf numFmtId="0" fontId="65" fillId="4" borderId="39" xfId="0" applyFont="1" applyFill="1" applyBorder="1" applyAlignment="1">
      <alignment/>
    </xf>
    <xf numFmtId="4" fontId="65" fillId="4" borderId="1" xfId="0" applyNumberFormat="1" applyFont="1" applyFill="1" applyBorder="1" applyAlignment="1" applyProtection="1">
      <alignment horizontal="center"/>
      <protection/>
    </xf>
    <xf numFmtId="0" fontId="64" fillId="4" borderId="12" xfId="0" applyFont="1" applyFill="1" applyBorder="1" applyAlignment="1">
      <alignment horizontal="center" vertical="center" wrapText="1"/>
    </xf>
    <xf numFmtId="0" fontId="67" fillId="5" borderId="12" xfId="0" applyFont="1" applyFill="1" applyBorder="1" applyAlignment="1">
      <alignment horizontal="center" vertical="center" wrapText="1"/>
    </xf>
    <xf numFmtId="0" fontId="68" fillId="5" borderId="39" xfId="0" applyFont="1" applyFill="1" applyBorder="1" applyAlignment="1">
      <alignment/>
    </xf>
    <xf numFmtId="4" fontId="68" fillId="5" borderId="1" xfId="0" applyNumberFormat="1" applyFont="1" applyFill="1" applyBorder="1" applyAlignment="1" applyProtection="1">
      <alignment horizontal="center"/>
      <protection/>
    </xf>
    <xf numFmtId="2" fontId="66" fillId="4" borderId="12" xfId="0" applyNumberFormat="1" applyFont="1" applyFill="1" applyBorder="1" applyAlignment="1" applyProtection="1">
      <alignment horizontal="center"/>
      <protection/>
    </xf>
    <xf numFmtId="2" fontId="69" fillId="5" borderId="12" xfId="0" applyNumberFormat="1" applyFont="1" applyFill="1" applyBorder="1" applyAlignment="1" applyProtection="1">
      <alignment horizontal="center"/>
      <protection/>
    </xf>
    <xf numFmtId="0" fontId="4" fillId="0" borderId="39" xfId="0" applyFont="1" applyBorder="1" applyAlignment="1">
      <alignment horizontal="center"/>
    </xf>
    <xf numFmtId="176" fontId="58" fillId="3" borderId="12" xfId="0" applyNumberFormat="1" applyFont="1" applyFill="1" applyBorder="1" applyAlignment="1" applyProtection="1">
      <alignment horizontal="center" vertical="center"/>
      <protection/>
    </xf>
    <xf numFmtId="0" fontId="59" fillId="3" borderId="39" xfId="0" applyFont="1" applyFill="1" applyBorder="1" applyAlignment="1">
      <alignment/>
    </xf>
    <xf numFmtId="0" fontId="38" fillId="6" borderId="12" xfId="0" applyFont="1" applyFill="1" applyBorder="1" applyAlignment="1" applyProtection="1">
      <alignment horizontal="center" vertical="center"/>
      <protection/>
    </xf>
    <xf numFmtId="0" fontId="22" fillId="6" borderId="39" xfId="0" applyFont="1" applyFill="1" applyBorder="1" applyAlignment="1">
      <alignment/>
    </xf>
    <xf numFmtId="0" fontId="22" fillId="6" borderId="1" xfId="0" applyFont="1" applyFill="1" applyBorder="1" applyAlignment="1">
      <alignment/>
    </xf>
    <xf numFmtId="176" fontId="22" fillId="6" borderId="5" xfId="0" applyNumberFormat="1" applyFont="1" applyFill="1" applyBorder="1" applyAlignment="1" applyProtection="1">
      <alignment horizontal="center"/>
      <protection/>
    </xf>
    <xf numFmtId="0" fontId="72" fillId="7" borderId="39" xfId="0" applyFont="1" applyFill="1" applyBorder="1" applyAlignment="1">
      <alignment/>
    </xf>
    <xf numFmtId="2" fontId="72" fillId="7" borderId="12" xfId="0" applyNumberFormat="1" applyFont="1" applyFill="1" applyBorder="1" applyAlignment="1" applyProtection="1">
      <alignment horizontal="center"/>
      <protection/>
    </xf>
    <xf numFmtId="0" fontId="71" fillId="7" borderId="12" xfId="0" applyFont="1" applyFill="1" applyBorder="1" applyAlignment="1">
      <alignment horizontal="center" vertical="center" wrapText="1"/>
    </xf>
    <xf numFmtId="0" fontId="72" fillId="7" borderId="1" xfId="0" applyFont="1" applyFill="1" applyBorder="1" applyAlignment="1">
      <alignment/>
    </xf>
    <xf numFmtId="2" fontId="72" fillId="7" borderId="1" xfId="0" applyNumberFormat="1" applyFont="1" applyFill="1" applyBorder="1" applyAlignment="1" applyProtection="1">
      <alignment horizontal="center"/>
      <protection/>
    </xf>
    <xf numFmtId="0" fontId="55" fillId="8" borderId="21" xfId="0" applyFont="1" applyFill="1" applyBorder="1" applyAlignment="1">
      <alignment horizontal="center" vertical="center" wrapText="1"/>
    </xf>
    <xf numFmtId="0" fontId="53" fillId="8" borderId="39" xfId="0" applyFont="1" applyFill="1" applyBorder="1" applyAlignment="1">
      <alignment/>
    </xf>
    <xf numFmtId="0" fontId="53" fillId="8" borderId="2" xfId="0" applyFont="1" applyFill="1" applyBorder="1" applyAlignment="1">
      <alignment/>
    </xf>
    <xf numFmtId="2" fontId="53" fillId="8" borderId="12" xfId="0" applyNumberFormat="1" applyFont="1" applyFill="1" applyBorder="1" applyAlignment="1" applyProtection="1">
      <alignment horizontal="center"/>
      <protection/>
    </xf>
    <xf numFmtId="176" fontId="54" fillId="3" borderId="40" xfId="0" applyNumberFormat="1" applyFont="1" applyFill="1" applyBorder="1" applyAlignment="1" applyProtection="1" quotePrefix="1">
      <alignment horizontal="center"/>
      <protection/>
    </xf>
    <xf numFmtId="176" fontId="54" fillId="3" borderId="41" xfId="0" applyNumberFormat="1" applyFont="1" applyFill="1" applyBorder="1" applyAlignment="1" applyProtection="1" quotePrefix="1">
      <alignment horizontal="center"/>
      <protection/>
    </xf>
    <xf numFmtId="4" fontId="54" fillId="3" borderId="35" xfId="0" applyNumberFormat="1" applyFont="1" applyFill="1" applyBorder="1" applyAlignment="1" applyProtection="1">
      <alignment horizontal="center"/>
      <protection/>
    </xf>
    <xf numFmtId="2" fontId="54" fillId="3" borderId="42" xfId="0" applyNumberFormat="1" applyFont="1" applyFill="1" applyBorder="1" applyAlignment="1" applyProtection="1">
      <alignment horizontal="center"/>
      <protection/>
    </xf>
    <xf numFmtId="2" fontId="54" fillId="3" borderId="43" xfId="0" applyNumberFormat="1" applyFont="1" applyFill="1" applyBorder="1" applyAlignment="1" applyProtection="1">
      <alignment horizontal="center"/>
      <protection/>
    </xf>
    <xf numFmtId="2" fontId="54" fillId="3" borderId="44" xfId="0" applyNumberFormat="1" applyFont="1" applyFill="1" applyBorder="1" applyAlignment="1" applyProtection="1">
      <alignment horizontal="center"/>
      <protection/>
    </xf>
    <xf numFmtId="0" fontId="60" fillId="9" borderId="20" xfId="0" applyFont="1" applyFill="1" applyBorder="1" applyAlignment="1">
      <alignment horizontal="centerContinuous" vertical="center" wrapText="1"/>
    </xf>
    <xf numFmtId="0" fontId="61" fillId="9" borderId="27" xfId="0" applyFont="1" applyFill="1" applyBorder="1" applyAlignment="1">
      <alignment horizontal="centerContinuous"/>
    </xf>
    <xf numFmtId="0" fontId="60" fillId="9" borderId="21" xfId="0" applyFont="1" applyFill="1" applyBorder="1" applyAlignment="1">
      <alignment horizontal="centerContinuous" vertical="center"/>
    </xf>
    <xf numFmtId="176" fontId="62" fillId="9" borderId="41" xfId="0" applyNumberFormat="1" applyFont="1" applyFill="1" applyBorder="1" applyAlignment="1" applyProtection="1" quotePrefix="1">
      <alignment horizontal="center"/>
      <protection/>
    </xf>
    <xf numFmtId="4" fontId="62" fillId="9" borderId="35" xfId="0" applyNumberFormat="1" applyFont="1" applyFill="1" applyBorder="1" applyAlignment="1" applyProtection="1">
      <alignment horizontal="center"/>
      <protection/>
    </xf>
    <xf numFmtId="176" fontId="62" fillId="9" borderId="37" xfId="0" applyNumberFormat="1" applyFont="1" applyFill="1" applyBorder="1" applyAlignment="1" applyProtection="1" quotePrefix="1">
      <alignment horizontal="center"/>
      <protection/>
    </xf>
    <xf numFmtId="4" fontId="62" fillId="9" borderId="2" xfId="0" applyNumberFormat="1" applyFont="1" applyFill="1" applyBorder="1" applyAlignment="1" applyProtection="1">
      <alignment horizontal="center"/>
      <protection/>
    </xf>
    <xf numFmtId="2" fontId="62" fillId="9" borderId="42" xfId="0" applyNumberFormat="1" applyFont="1" applyFill="1" applyBorder="1" applyAlignment="1" applyProtection="1">
      <alignment horizontal="center"/>
      <protection/>
    </xf>
    <xf numFmtId="2" fontId="62" fillId="9" borderId="43" xfId="0" applyNumberFormat="1" applyFont="1" applyFill="1" applyBorder="1" applyAlignment="1" applyProtection="1">
      <alignment horizontal="center"/>
      <protection/>
    </xf>
    <xf numFmtId="2" fontId="62" fillId="9" borderId="44" xfId="0" applyNumberFormat="1" applyFont="1" applyFill="1" applyBorder="1" applyAlignment="1" applyProtection="1">
      <alignment horizontal="center"/>
      <protection/>
    </xf>
    <xf numFmtId="0" fontId="73" fillId="10" borderId="12" xfId="0" applyFont="1" applyFill="1" applyBorder="1" applyAlignment="1">
      <alignment horizontal="center" vertical="center" wrapText="1"/>
    </xf>
    <xf numFmtId="7" fontId="74" fillId="10" borderId="12" xfId="0" applyNumberFormat="1" applyFont="1" applyFill="1" applyBorder="1" applyAlignment="1" applyProtection="1">
      <alignment horizontal="right"/>
      <protection/>
    </xf>
    <xf numFmtId="0" fontId="35" fillId="10" borderId="1" xfId="0" applyFont="1" applyFill="1" applyBorder="1" applyAlignment="1">
      <alignment/>
    </xf>
    <xf numFmtId="4" fontId="35" fillId="10" borderId="1" xfId="0" applyNumberFormat="1" applyFont="1" applyFill="1" applyBorder="1" applyAlignment="1">
      <alignment horizontal="right"/>
    </xf>
    <xf numFmtId="2" fontId="35" fillId="10" borderId="5" xfId="0" applyNumberFormat="1" applyFont="1" applyFill="1" applyBorder="1" applyAlignment="1">
      <alignment horizontal="right"/>
    </xf>
    <xf numFmtId="0" fontId="59" fillId="3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172" fontId="4" fillId="0" borderId="45" xfId="0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>
      <alignment horizontal="center"/>
    </xf>
    <xf numFmtId="0" fontId="71" fillId="11" borderId="12" xfId="0" applyFont="1" applyFill="1" applyBorder="1" applyAlignment="1" applyProtection="1">
      <alignment horizontal="center" vertical="center"/>
      <protection/>
    </xf>
    <xf numFmtId="0" fontId="75" fillId="11" borderId="45" xfId="0" applyFont="1" applyFill="1" applyBorder="1" applyAlignment="1">
      <alignment horizontal="center"/>
    </xf>
    <xf numFmtId="0" fontId="75" fillId="11" borderId="4" xfId="0" applyFont="1" applyFill="1" applyBorder="1" applyAlignment="1">
      <alignment horizontal="center"/>
    </xf>
    <xf numFmtId="0" fontId="76" fillId="4" borderId="12" xfId="0" applyFont="1" applyFill="1" applyBorder="1" applyAlignment="1">
      <alignment horizontal="center" vertical="center" wrapText="1"/>
    </xf>
    <xf numFmtId="0" fontId="77" fillId="4" borderId="45" xfId="0" applyFont="1" applyFill="1" applyBorder="1" applyAlignment="1">
      <alignment horizontal="center"/>
    </xf>
    <xf numFmtId="0" fontId="77" fillId="4" borderId="4" xfId="0" applyFont="1" applyFill="1" applyBorder="1" applyAlignment="1">
      <alignment horizontal="center"/>
    </xf>
    <xf numFmtId="4" fontId="77" fillId="4" borderId="12" xfId="0" applyNumberFormat="1" applyFont="1" applyFill="1" applyBorder="1" applyAlignment="1">
      <alignment horizontal="center"/>
    </xf>
    <xf numFmtId="0" fontId="78" fillId="8" borderId="12" xfId="0" applyFont="1" applyFill="1" applyBorder="1" applyAlignment="1">
      <alignment horizontal="center" vertical="center" wrapText="1"/>
    </xf>
    <xf numFmtId="0" fontId="79" fillId="8" borderId="45" xfId="0" applyFont="1" applyFill="1" applyBorder="1" applyAlignment="1">
      <alignment horizontal="center"/>
    </xf>
    <xf numFmtId="0" fontId="79" fillId="8" borderId="4" xfId="0" applyFont="1" applyFill="1" applyBorder="1" applyAlignment="1">
      <alignment horizontal="center"/>
    </xf>
    <xf numFmtId="4" fontId="79" fillId="8" borderId="12" xfId="0" applyNumberFormat="1" applyFont="1" applyFill="1" applyBorder="1" applyAlignment="1">
      <alignment horizontal="center"/>
    </xf>
    <xf numFmtId="0" fontId="54" fillId="3" borderId="40" xfId="0" applyFont="1" applyFill="1" applyBorder="1" applyAlignment="1">
      <alignment horizontal="center"/>
    </xf>
    <xf numFmtId="0" fontId="54" fillId="3" borderId="47" xfId="0" applyFont="1" applyFill="1" applyBorder="1" applyAlignment="1">
      <alignment horizontal="center"/>
    </xf>
    <xf numFmtId="0" fontId="54" fillId="3" borderId="13" xfId="0" applyFont="1" applyFill="1" applyBorder="1" applyAlignment="1">
      <alignment horizontal="center"/>
    </xf>
    <xf numFmtId="0" fontId="54" fillId="3" borderId="48" xfId="0" applyFont="1" applyFill="1" applyBorder="1" applyAlignment="1">
      <alignment horizontal="center"/>
    </xf>
    <xf numFmtId="4" fontId="54" fillId="3" borderId="42" xfId="0" applyNumberFormat="1" applyFont="1" applyFill="1" applyBorder="1" applyAlignment="1">
      <alignment horizontal="center"/>
    </xf>
    <xf numFmtId="4" fontId="54" fillId="3" borderId="21" xfId="0" applyNumberFormat="1" applyFont="1" applyFill="1" applyBorder="1" applyAlignment="1">
      <alignment horizontal="center"/>
    </xf>
    <xf numFmtId="0" fontId="80" fillId="6" borderId="20" xfId="0" applyFont="1" applyFill="1" applyBorder="1" applyAlignment="1" applyProtection="1">
      <alignment horizontal="centerContinuous" vertical="center" wrapText="1"/>
      <protection/>
    </xf>
    <xf numFmtId="0" fontId="80" fillId="6" borderId="21" xfId="0" applyFont="1" applyFill="1" applyBorder="1" applyAlignment="1">
      <alignment horizontal="centerContinuous" vertical="center"/>
    </xf>
    <xf numFmtId="0" fontId="81" fillId="6" borderId="49" xfId="0" applyFont="1" applyFill="1" applyBorder="1" applyAlignment="1">
      <alignment horizontal="center"/>
    </xf>
    <xf numFmtId="0" fontId="81" fillId="6" borderId="50" xfId="0" applyFont="1" applyFill="1" applyBorder="1" applyAlignment="1">
      <alignment horizontal="center"/>
    </xf>
    <xf numFmtId="0" fontId="81" fillId="6" borderId="13" xfId="0" applyFont="1" applyFill="1" applyBorder="1" applyAlignment="1">
      <alignment horizontal="center"/>
    </xf>
    <xf numFmtId="0" fontId="81" fillId="6" borderId="48" xfId="0" applyFont="1" applyFill="1" applyBorder="1" applyAlignment="1">
      <alignment horizontal="center"/>
    </xf>
    <xf numFmtId="4" fontId="81" fillId="6" borderId="42" xfId="0" applyNumberFormat="1" applyFont="1" applyFill="1" applyBorder="1" applyAlignment="1">
      <alignment horizontal="center"/>
    </xf>
    <xf numFmtId="4" fontId="81" fillId="6" borderId="44" xfId="0" applyNumberFormat="1" applyFont="1" applyFill="1" applyBorder="1" applyAlignment="1">
      <alignment horizontal="center"/>
    </xf>
    <xf numFmtId="0" fontId="80" fillId="6" borderId="12" xfId="0" applyFont="1" applyFill="1" applyBorder="1" applyAlignment="1">
      <alignment horizontal="center" vertical="center" wrapText="1"/>
    </xf>
    <xf numFmtId="0" fontId="63" fillId="12" borderId="12" xfId="0" applyFont="1" applyFill="1" applyBorder="1" applyAlignment="1">
      <alignment horizontal="center" vertical="center" wrapText="1"/>
    </xf>
    <xf numFmtId="0" fontId="70" fillId="12" borderId="45" xfId="0" applyFont="1" applyFill="1" applyBorder="1" applyAlignment="1">
      <alignment horizontal="center"/>
    </xf>
    <xf numFmtId="0" fontId="70" fillId="12" borderId="4" xfId="0" applyFont="1" applyFill="1" applyBorder="1" applyAlignment="1">
      <alignment horizontal="center"/>
    </xf>
    <xf numFmtId="0" fontId="82" fillId="4" borderId="12" xfId="0" applyFont="1" applyFill="1" applyBorder="1" applyAlignment="1">
      <alignment horizontal="center" vertical="center" wrapText="1"/>
    </xf>
    <xf numFmtId="0" fontId="83" fillId="4" borderId="45" xfId="0" applyFont="1" applyFill="1" applyBorder="1" applyAlignment="1">
      <alignment horizontal="center"/>
    </xf>
    <xf numFmtId="0" fontId="83" fillId="4" borderId="4" xfId="0" applyFont="1" applyFill="1" applyBorder="1" applyAlignment="1">
      <alignment horizontal="center"/>
    </xf>
    <xf numFmtId="0" fontId="75" fillId="7" borderId="1" xfId="0" applyFont="1" applyFill="1" applyBorder="1" applyAlignment="1" applyProtection="1">
      <alignment horizontal="center"/>
      <protection/>
    </xf>
    <xf numFmtId="0" fontId="71" fillId="7" borderId="12" xfId="0" applyFont="1" applyFill="1" applyBorder="1" applyAlignment="1" applyProtection="1">
      <alignment horizontal="center" vertical="center"/>
      <protection/>
    </xf>
    <xf numFmtId="0" fontId="75" fillId="7" borderId="39" xfId="0" applyFont="1" applyFill="1" applyBorder="1" applyAlignment="1" applyProtection="1">
      <alignment horizontal="center"/>
      <protection/>
    </xf>
    <xf numFmtId="0" fontId="81" fillId="6" borderId="1" xfId="0" applyFont="1" applyFill="1" applyBorder="1" applyAlignment="1" applyProtection="1">
      <alignment horizontal="center"/>
      <protection/>
    </xf>
    <xf numFmtId="0" fontId="81" fillId="6" borderId="39" xfId="0" applyFont="1" applyFill="1" applyBorder="1" applyAlignment="1" applyProtection="1">
      <alignment horizontal="center"/>
      <protection/>
    </xf>
    <xf numFmtId="4" fontId="81" fillId="6" borderId="12" xfId="0" applyNumberFormat="1" applyFont="1" applyFill="1" applyBorder="1" applyAlignment="1">
      <alignment horizontal="center"/>
    </xf>
    <xf numFmtId="0" fontId="55" fillId="8" borderId="20" xfId="0" applyFont="1" applyFill="1" applyBorder="1" applyAlignment="1" applyProtection="1">
      <alignment horizontal="centerContinuous" vertical="center" wrapText="1"/>
      <protection/>
    </xf>
    <xf numFmtId="0" fontId="55" fillId="8" borderId="21" xfId="0" applyFont="1" applyFill="1" applyBorder="1" applyAlignment="1">
      <alignment horizontal="centerContinuous" vertical="center"/>
    </xf>
    <xf numFmtId="176" fontId="53" fillId="8" borderId="40" xfId="0" applyNumberFormat="1" applyFont="1" applyFill="1" applyBorder="1" applyAlignment="1" applyProtection="1" quotePrefix="1">
      <alignment horizontal="center"/>
      <protection/>
    </xf>
    <xf numFmtId="176" fontId="53" fillId="8" borderId="47" xfId="0" applyNumberFormat="1" applyFont="1" applyFill="1" applyBorder="1" applyAlignment="1" applyProtection="1" quotePrefix="1">
      <alignment horizontal="center"/>
      <protection/>
    </xf>
    <xf numFmtId="176" fontId="53" fillId="8" borderId="38" xfId="0" applyNumberFormat="1" applyFont="1" applyFill="1" applyBorder="1" applyAlignment="1" applyProtection="1" quotePrefix="1">
      <alignment horizontal="center"/>
      <protection/>
    </xf>
    <xf numFmtId="176" fontId="53" fillId="8" borderId="51" xfId="0" applyNumberFormat="1" applyFont="1" applyFill="1" applyBorder="1" applyAlignment="1" applyProtection="1" quotePrefix="1">
      <alignment horizontal="center"/>
      <protection/>
    </xf>
    <xf numFmtId="4" fontId="53" fillId="8" borderId="42" xfId="0" applyNumberFormat="1" applyFont="1" applyFill="1" applyBorder="1" applyAlignment="1">
      <alignment horizontal="center"/>
    </xf>
    <xf numFmtId="4" fontId="53" fillId="8" borderId="44" xfId="0" applyNumberFormat="1" applyFont="1" applyFill="1" applyBorder="1" applyAlignment="1">
      <alignment horizontal="center"/>
    </xf>
    <xf numFmtId="176" fontId="72" fillId="13" borderId="1" xfId="0" applyNumberFormat="1" applyFont="1" applyFill="1" applyBorder="1" applyAlignment="1" applyProtection="1" quotePrefix="1">
      <alignment horizontal="center"/>
      <protection/>
    </xf>
    <xf numFmtId="4" fontId="72" fillId="13" borderId="12" xfId="0" applyNumberFormat="1" applyFont="1" applyFill="1" applyBorder="1" applyAlignment="1">
      <alignment horizontal="center"/>
    </xf>
    <xf numFmtId="0" fontId="71" fillId="13" borderId="12" xfId="0" applyFont="1" applyFill="1" applyBorder="1" applyAlignment="1">
      <alignment horizontal="center" vertical="center" wrapText="1"/>
    </xf>
    <xf numFmtId="176" fontId="72" fillId="13" borderId="39" xfId="0" applyNumberFormat="1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>
      <alignment horizontal="center"/>
    </xf>
    <xf numFmtId="176" fontId="18" fillId="3" borderId="6" xfId="0" applyNumberFormat="1" applyFont="1" applyFill="1" applyBorder="1" applyAlignment="1">
      <alignment horizontal="center"/>
    </xf>
    <xf numFmtId="172" fontId="59" fillId="3" borderId="4" xfId="0" applyNumberFormat="1" applyFont="1" applyFill="1" applyBorder="1" applyAlignment="1" applyProtection="1">
      <alignment horizontal="center"/>
      <protection/>
    </xf>
    <xf numFmtId="0" fontId="84" fillId="14" borderId="12" xfId="0" applyFont="1" applyFill="1" applyBorder="1" applyAlignment="1">
      <alignment horizontal="center" vertical="center" wrapText="1"/>
    </xf>
    <xf numFmtId="0" fontId="85" fillId="14" borderId="45" xfId="0" applyFont="1" applyFill="1" applyBorder="1" applyAlignment="1">
      <alignment horizontal="center"/>
    </xf>
    <xf numFmtId="2" fontId="85" fillId="14" borderId="4" xfId="0" applyNumberFormat="1" applyFont="1" applyFill="1" applyBorder="1" applyAlignment="1">
      <alignment horizontal="center"/>
    </xf>
    <xf numFmtId="4" fontId="85" fillId="14" borderId="20" xfId="0" applyNumberFormat="1" applyFont="1" applyFill="1" applyBorder="1" applyAlignment="1">
      <alignment horizontal="center"/>
    </xf>
    <xf numFmtId="0" fontId="82" fillId="8" borderId="20" xfId="0" applyFont="1" applyFill="1" applyBorder="1" applyAlignment="1" applyProtection="1">
      <alignment horizontal="centerContinuous" vertical="center" wrapText="1"/>
      <protection/>
    </xf>
    <xf numFmtId="0" fontId="82" fillId="8" borderId="21" xfId="0" applyFont="1" applyFill="1" applyBorder="1" applyAlignment="1">
      <alignment horizontal="centerContinuous" vertical="center"/>
    </xf>
    <xf numFmtId="0" fontId="83" fillId="8" borderId="40" xfId="0" applyFont="1" applyFill="1" applyBorder="1" applyAlignment="1">
      <alignment horizontal="center"/>
    </xf>
    <xf numFmtId="0" fontId="83" fillId="8" borderId="47" xfId="0" applyFont="1" applyFill="1" applyBorder="1" applyAlignment="1">
      <alignment horizontal="center"/>
    </xf>
    <xf numFmtId="176" fontId="83" fillId="8" borderId="13" xfId="0" applyNumberFormat="1" applyFont="1" applyFill="1" applyBorder="1" applyAlignment="1" applyProtection="1" quotePrefix="1">
      <alignment horizontal="center"/>
      <protection/>
    </xf>
    <xf numFmtId="176" fontId="83" fillId="8" borderId="48" xfId="0" applyNumberFormat="1" applyFont="1" applyFill="1" applyBorder="1" applyAlignment="1" applyProtection="1" quotePrefix="1">
      <alignment horizontal="center"/>
      <protection/>
    </xf>
    <xf numFmtId="4" fontId="83" fillId="8" borderId="42" xfId="0" applyNumberFormat="1" applyFont="1" applyFill="1" applyBorder="1" applyAlignment="1">
      <alignment horizontal="center"/>
    </xf>
    <xf numFmtId="4" fontId="83" fillId="8" borderId="21" xfId="0" applyNumberFormat="1" applyFont="1" applyFill="1" applyBorder="1" applyAlignment="1">
      <alignment horizontal="center"/>
    </xf>
    <xf numFmtId="0" fontId="71" fillId="4" borderId="12" xfId="0" applyFont="1" applyFill="1" applyBorder="1" applyAlignment="1">
      <alignment horizontal="center" vertical="center" wrapText="1"/>
    </xf>
    <xf numFmtId="0" fontId="72" fillId="4" borderId="45" xfId="0" applyFont="1" applyFill="1" applyBorder="1" applyAlignment="1">
      <alignment horizontal="center"/>
    </xf>
    <xf numFmtId="176" fontId="72" fillId="4" borderId="4" xfId="0" applyNumberFormat="1" applyFont="1" applyFill="1" applyBorder="1" applyAlignment="1" applyProtection="1" quotePrefix="1">
      <alignment horizontal="center"/>
      <protection/>
    </xf>
    <xf numFmtId="4" fontId="72" fillId="4" borderId="12" xfId="0" applyNumberFormat="1" applyFont="1" applyFill="1" applyBorder="1" applyAlignment="1">
      <alignment horizontal="center"/>
    </xf>
    <xf numFmtId="176" fontId="18" fillId="3" borderId="4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right"/>
    </xf>
    <xf numFmtId="7" fontId="12" fillId="3" borderId="12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/>
    </xf>
    <xf numFmtId="176" fontId="4" fillId="2" borderId="1" xfId="0" applyNumberFormat="1" applyFont="1" applyFill="1" applyBorder="1" applyAlignment="1">
      <alignment horizontal="center"/>
    </xf>
    <xf numFmtId="0" fontId="4" fillId="0" borderId="35" xfId="0" applyFont="1" applyBorder="1" applyAlignment="1">
      <alignment/>
    </xf>
    <xf numFmtId="4" fontId="70" fillId="12" borderId="12" xfId="0" applyNumberFormat="1" applyFont="1" applyFill="1" applyBorder="1" applyAlignment="1">
      <alignment horizontal="center"/>
    </xf>
    <xf numFmtId="4" fontId="83" fillId="4" borderId="12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right" vertical="center"/>
    </xf>
    <xf numFmtId="7" fontId="8" fillId="0" borderId="27" xfId="0" applyNumberFormat="1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38" fillId="6" borderId="12" xfId="0" applyFont="1" applyFill="1" applyBorder="1" applyAlignment="1" applyProtection="1">
      <alignment horizontal="center" vertical="center" wrapText="1"/>
      <protection/>
    </xf>
    <xf numFmtId="0" fontId="22" fillId="6" borderId="39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2" fontId="86" fillId="6" borderId="1" xfId="0" applyNumberFormat="1" applyFont="1" applyFill="1" applyBorder="1" applyAlignment="1" applyProtection="1">
      <alignment horizontal="center"/>
      <protection/>
    </xf>
    <xf numFmtId="2" fontId="22" fillId="6" borderId="5" xfId="0" applyNumberFormat="1" applyFont="1" applyFill="1" applyBorder="1" applyAlignment="1" applyProtection="1">
      <alignment horizontal="center"/>
      <protection/>
    </xf>
    <xf numFmtId="0" fontId="75" fillId="7" borderId="39" xfId="0" applyFont="1" applyFill="1" applyBorder="1" applyAlignment="1">
      <alignment horizontal="center"/>
    </xf>
    <xf numFmtId="0" fontId="75" fillId="7" borderId="1" xfId="0" applyFont="1" applyFill="1" applyBorder="1" applyAlignment="1">
      <alignment horizontal="center"/>
    </xf>
    <xf numFmtId="2" fontId="75" fillId="7" borderId="5" xfId="0" applyNumberFormat="1" applyFont="1" applyFill="1" applyBorder="1" applyAlignment="1" applyProtection="1">
      <alignment horizontal="center"/>
      <protection/>
    </xf>
    <xf numFmtId="0" fontId="71" fillId="13" borderId="20" xfId="0" applyFont="1" applyFill="1" applyBorder="1" applyAlignment="1" applyProtection="1">
      <alignment horizontal="centerContinuous" vertical="center" wrapText="1"/>
      <protection/>
    </xf>
    <xf numFmtId="0" fontId="71" fillId="13" borderId="21" xfId="0" applyFont="1" applyFill="1" applyBorder="1" applyAlignment="1" applyProtection="1">
      <alignment horizontal="centerContinuous" vertical="center" wrapText="1"/>
      <protection/>
    </xf>
    <xf numFmtId="0" fontId="75" fillId="13" borderId="40" xfId="0" applyFont="1" applyFill="1" applyBorder="1" applyAlignment="1">
      <alignment horizontal="center"/>
    </xf>
    <xf numFmtId="0" fontId="75" fillId="13" borderId="47" xfId="0" applyFont="1" applyFill="1" applyBorder="1" applyAlignment="1" applyProtection="1">
      <alignment horizontal="center"/>
      <protection/>
    </xf>
    <xf numFmtId="0" fontId="75" fillId="13" borderId="38" xfId="0" applyFont="1" applyFill="1" applyBorder="1" applyAlignment="1">
      <alignment horizontal="center"/>
    </xf>
    <xf numFmtId="0" fontId="75" fillId="13" borderId="2" xfId="0" applyFont="1" applyFill="1" applyBorder="1" applyAlignment="1" applyProtection="1">
      <alignment horizontal="center"/>
      <protection/>
    </xf>
    <xf numFmtId="176" fontId="72" fillId="13" borderId="38" xfId="0" applyNumberFormat="1" applyFont="1" applyFill="1" applyBorder="1" applyAlignment="1" applyProtection="1" quotePrefix="1">
      <alignment horizontal="center"/>
      <protection/>
    </xf>
    <xf numFmtId="176" fontId="72" fillId="13" borderId="2" xfId="0" applyNumberFormat="1" applyFont="1" applyFill="1" applyBorder="1" applyAlignment="1" applyProtection="1" quotePrefix="1">
      <alignment horizontal="center"/>
      <protection/>
    </xf>
    <xf numFmtId="176" fontId="75" fillId="13" borderId="52" xfId="0" applyNumberFormat="1" applyFont="1" applyFill="1" applyBorder="1" applyAlignment="1" applyProtection="1" quotePrefix="1">
      <alignment horizontal="center"/>
      <protection/>
    </xf>
    <xf numFmtId="176" fontId="75" fillId="13" borderId="10" xfId="0" applyNumberFormat="1" applyFont="1" applyFill="1" applyBorder="1" applyAlignment="1" applyProtection="1" quotePrefix="1">
      <alignment horizontal="center"/>
      <protection/>
    </xf>
    <xf numFmtId="0" fontId="55" fillId="8" borderId="21" xfId="0" applyFont="1" applyFill="1" applyBorder="1" applyAlignment="1" applyProtection="1">
      <alignment horizontal="centerContinuous" vertical="center" wrapText="1"/>
      <protection/>
    </xf>
    <xf numFmtId="0" fontId="52" fillId="8" borderId="40" xfId="0" applyFont="1" applyFill="1" applyBorder="1" applyAlignment="1">
      <alignment horizontal="left"/>
    </xf>
    <xf numFmtId="0" fontId="52" fillId="8" borderId="35" xfId="0" applyFont="1" applyFill="1" applyBorder="1" applyAlignment="1">
      <alignment horizontal="left"/>
    </xf>
    <xf numFmtId="0" fontId="52" fillId="8" borderId="38" xfId="0" applyFont="1" applyFill="1" applyBorder="1" applyAlignment="1">
      <alignment horizontal="left"/>
    </xf>
    <xf numFmtId="0" fontId="52" fillId="8" borderId="2" xfId="0" applyFont="1" applyFill="1" applyBorder="1" applyAlignment="1">
      <alignment horizontal="left"/>
    </xf>
    <xf numFmtId="176" fontId="53" fillId="8" borderId="2" xfId="0" applyNumberFormat="1" applyFont="1" applyFill="1" applyBorder="1" applyAlignment="1" applyProtection="1" quotePrefix="1">
      <alignment horizontal="center"/>
      <protection/>
    </xf>
    <xf numFmtId="4" fontId="52" fillId="8" borderId="52" xfId="0" applyNumberFormat="1" applyFont="1" applyFill="1" applyBorder="1" applyAlignment="1" applyProtection="1">
      <alignment horizontal="center"/>
      <protection/>
    </xf>
    <xf numFmtId="4" fontId="52" fillId="8" borderId="10" xfId="0" applyNumberFormat="1" applyFont="1" applyFill="1" applyBorder="1" applyAlignment="1" applyProtection="1">
      <alignment horizontal="center"/>
      <protection/>
    </xf>
    <xf numFmtId="0" fontId="71" fillId="4" borderId="12" xfId="0" applyFont="1" applyFill="1" applyBorder="1" applyAlignment="1" applyProtection="1">
      <alignment horizontal="centerContinuous" vertical="center" wrapText="1"/>
      <protection/>
    </xf>
    <xf numFmtId="0" fontId="75" fillId="4" borderId="39" xfId="0" applyFont="1" applyFill="1" applyBorder="1" applyAlignment="1">
      <alignment horizontal="left"/>
    </xf>
    <xf numFmtId="0" fontId="75" fillId="4" borderId="1" xfId="0" applyFont="1" applyFill="1" applyBorder="1" applyAlignment="1">
      <alignment horizontal="left"/>
    </xf>
    <xf numFmtId="176" fontId="72" fillId="4" borderId="1" xfId="0" applyNumberFormat="1" applyFont="1" applyFill="1" applyBorder="1" applyAlignment="1" applyProtection="1" quotePrefix="1">
      <alignment horizontal="center"/>
      <protection/>
    </xf>
    <xf numFmtId="4" fontId="75" fillId="4" borderId="5" xfId="0" applyNumberFormat="1" applyFont="1" applyFill="1" applyBorder="1" applyAlignment="1" applyProtection="1">
      <alignment horizontal="center"/>
      <protection/>
    </xf>
    <xf numFmtId="0" fontId="71" fillId="15" borderId="12" xfId="0" applyFont="1" applyFill="1" applyBorder="1" applyAlignment="1" applyProtection="1">
      <alignment horizontal="centerContinuous" vertical="center" wrapText="1"/>
      <protection/>
    </xf>
    <xf numFmtId="0" fontId="75" fillId="15" borderId="39" xfId="0" applyFont="1" applyFill="1" applyBorder="1" applyAlignment="1">
      <alignment horizontal="left"/>
    </xf>
    <xf numFmtId="0" fontId="75" fillId="15" borderId="1" xfId="0" applyFont="1" applyFill="1" applyBorder="1" applyAlignment="1">
      <alignment horizontal="left"/>
    </xf>
    <xf numFmtId="176" fontId="72" fillId="15" borderId="1" xfId="0" applyNumberFormat="1" applyFont="1" applyFill="1" applyBorder="1" applyAlignment="1" applyProtection="1" quotePrefix="1">
      <alignment horizontal="center"/>
      <protection/>
    </xf>
    <xf numFmtId="4" fontId="75" fillId="15" borderId="5" xfId="0" applyNumberFormat="1" applyFont="1" applyFill="1" applyBorder="1" applyAlignment="1" applyProtection="1">
      <alignment horizontal="center"/>
      <protection/>
    </xf>
    <xf numFmtId="7" fontId="4" fillId="0" borderId="39" xfId="0" applyNumberFormat="1" applyFont="1" applyBorder="1" applyAlignment="1">
      <alignment/>
    </xf>
    <xf numFmtId="7" fontId="16" fillId="0" borderId="39" xfId="0" applyNumberFormat="1" applyFont="1" applyBorder="1" applyAlignment="1">
      <alignment horizontal="center"/>
    </xf>
    <xf numFmtId="7" fontId="35" fillId="10" borderId="39" xfId="0" applyNumberFormat="1" applyFont="1" applyFill="1" applyBorder="1" applyAlignment="1">
      <alignment/>
    </xf>
    <xf numFmtId="7" fontId="18" fillId="3" borderId="45" xfId="0" applyNumberFormat="1" applyFont="1" applyFill="1" applyBorder="1" applyAlignment="1">
      <alignment horizontal="center"/>
    </xf>
    <xf numFmtId="7" fontId="18" fillId="0" borderId="45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6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80" fontId="0" fillId="0" borderId="20" xfId="0" applyNumberFormat="1" applyFont="1" applyBorder="1" applyAlignment="1">
      <alignment horizontal="centerContinuous"/>
    </xf>
    <xf numFmtId="180" fontId="22" fillId="6" borderId="1" xfId="0" applyNumberFormat="1" applyFont="1" applyFill="1" applyBorder="1" applyAlignment="1" applyProtection="1">
      <alignment horizontal="center"/>
      <protection/>
    </xf>
    <xf numFmtId="180" fontId="59" fillId="3" borderId="1" xfId="0" applyNumberFormat="1" applyFont="1" applyFill="1" applyBorder="1" applyAlignment="1" applyProtection="1">
      <alignment horizontal="center"/>
      <protection/>
    </xf>
    <xf numFmtId="7" fontId="16" fillId="0" borderId="46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87" fillId="0" borderId="0" xfId="0" applyFont="1" applyAlignment="1">
      <alignment horizontal="right" vertical="top"/>
    </xf>
    <xf numFmtId="0" fontId="87" fillId="0" borderId="0" xfId="0" applyFont="1" applyFill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0" fontId="0" fillId="0" borderId="20" xfId="0" applyFont="1" applyBorder="1" applyAlignment="1" applyProtection="1">
      <alignment horizontal="left" vertical="center"/>
      <protection/>
    </xf>
    <xf numFmtId="18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80" fontId="0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Continuous"/>
    </xf>
    <xf numFmtId="0" fontId="4" fillId="16" borderId="27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31" fillId="0" borderId="12" xfId="0" applyFont="1" applyBorder="1" applyAlignment="1">
      <alignment horizontal="center"/>
    </xf>
    <xf numFmtId="0" fontId="4" fillId="16" borderId="20" xfId="0" applyFont="1" applyFill="1" applyBorder="1" applyAlignment="1">
      <alignment/>
    </xf>
    <xf numFmtId="0" fontId="4" fillId="16" borderId="0" xfId="0" applyFont="1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7" fontId="12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center"/>
    </xf>
    <xf numFmtId="176" fontId="19" fillId="2" borderId="53" xfId="0" applyNumberFormat="1" applyFont="1" applyFill="1" applyBorder="1" applyAlignment="1">
      <alignment horizontal="center"/>
    </xf>
    <xf numFmtId="0" fontId="90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72" fontId="5" fillId="0" borderId="5" xfId="0" applyNumberFormat="1" applyFont="1" applyBorder="1" applyAlignment="1" applyProtection="1">
      <alignment horizontal="center"/>
      <protection locked="0"/>
    </xf>
    <xf numFmtId="173" fontId="4" fillId="0" borderId="5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54" xfId="0" applyNumberFormat="1" applyFont="1" applyBorder="1" applyAlignment="1" applyProtection="1">
      <alignment horizontal="center"/>
      <protection locked="0"/>
    </xf>
    <xf numFmtId="22" fontId="4" fillId="0" borderId="9" xfId="0" applyNumberFormat="1" applyFont="1" applyBorder="1" applyAlignment="1" applyProtection="1">
      <alignment horizontal="center"/>
      <protection locked="0"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176" fontId="54" fillId="3" borderId="38" xfId="0" applyNumberFormat="1" applyFont="1" applyFill="1" applyBorder="1" applyAlignment="1" applyProtection="1" quotePrefix="1">
      <alignment horizontal="center"/>
      <protection locked="0"/>
    </xf>
    <xf numFmtId="176" fontId="54" fillId="3" borderId="37" xfId="0" applyNumberFormat="1" applyFont="1" applyFill="1" applyBorder="1" applyAlignment="1" applyProtection="1" quotePrefix="1">
      <alignment horizontal="center"/>
      <protection locked="0"/>
    </xf>
    <xf numFmtId="4" fontId="54" fillId="3" borderId="2" xfId="0" applyNumberFormat="1" applyFont="1" applyFill="1" applyBorder="1" applyAlignment="1" applyProtection="1">
      <alignment horizontal="center"/>
      <protection locked="0"/>
    </xf>
    <xf numFmtId="4" fontId="66" fillId="4" borderId="1" xfId="0" applyNumberFormat="1" applyFont="1" applyFill="1" applyBorder="1" applyAlignment="1" applyProtection="1">
      <alignment horizontal="center"/>
      <protection locked="0"/>
    </xf>
    <xf numFmtId="4" fontId="69" fillId="5" borderId="1" xfId="0" applyNumberFormat="1" applyFont="1" applyFill="1" applyBorder="1" applyAlignment="1" applyProtection="1">
      <alignment horizontal="center"/>
      <protection locked="0"/>
    </xf>
    <xf numFmtId="179" fontId="4" fillId="0" borderId="5" xfId="0" applyNumberFormat="1" applyFont="1" applyBorder="1" applyAlignment="1" applyProtection="1" quotePrefix="1">
      <alignment horizontal="center"/>
      <protection locked="0"/>
    </xf>
    <xf numFmtId="176" fontId="54" fillId="3" borderId="52" xfId="0" applyNumberFormat="1" applyFont="1" applyFill="1" applyBorder="1" applyAlignment="1" applyProtection="1" quotePrefix="1">
      <alignment horizontal="center"/>
      <protection locked="0"/>
    </xf>
    <xf numFmtId="176" fontId="54" fillId="3" borderId="55" xfId="0" applyNumberFormat="1" applyFont="1" applyFill="1" applyBorder="1" applyAlignment="1" applyProtection="1" quotePrefix="1">
      <alignment horizontal="center"/>
      <protection locked="0"/>
    </xf>
    <xf numFmtId="4" fontId="54" fillId="3" borderId="56" xfId="0" applyNumberFormat="1" applyFont="1" applyFill="1" applyBorder="1" applyAlignment="1" applyProtection="1">
      <alignment horizontal="center"/>
      <protection locked="0"/>
    </xf>
    <xf numFmtId="4" fontId="66" fillId="4" borderId="5" xfId="0" applyNumberFormat="1" applyFont="1" applyFill="1" applyBorder="1" applyAlignment="1" applyProtection="1">
      <alignment horizontal="center"/>
      <protection locked="0"/>
    </xf>
    <xf numFmtId="4" fontId="69" fillId="5" borderId="5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 quotePrefix="1">
      <alignment horizontal="center"/>
      <protection locked="0"/>
    </xf>
    <xf numFmtId="0" fontId="4" fillId="0" borderId="10" xfId="0" applyFont="1" applyBorder="1" applyAlignment="1" applyProtection="1" quotePrefix="1">
      <alignment horizontal="center"/>
      <protection locked="0"/>
    </xf>
    <xf numFmtId="172" fontId="4" fillId="0" borderId="2" xfId="0" applyNumberFormat="1" applyFont="1" applyBorder="1" applyAlignment="1" applyProtection="1">
      <alignment horizontal="center"/>
      <protection locked="0"/>
    </xf>
    <xf numFmtId="172" fontId="4" fillId="0" borderId="3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2" fontId="72" fillId="7" borderId="1" xfId="0" applyNumberFormat="1" applyFont="1" applyFill="1" applyBorder="1" applyAlignment="1" applyProtection="1">
      <alignment horizontal="center"/>
      <protection locked="0"/>
    </xf>
    <xf numFmtId="2" fontId="53" fillId="8" borderId="2" xfId="0" applyNumberFormat="1" applyFont="1" applyFill="1" applyBorder="1" applyAlignment="1" applyProtection="1">
      <alignment horizontal="center"/>
      <protection locked="0"/>
    </xf>
    <xf numFmtId="176" fontId="62" fillId="9" borderId="37" xfId="0" applyNumberFormat="1" applyFont="1" applyFill="1" applyBorder="1" applyAlignment="1" applyProtection="1" quotePrefix="1">
      <alignment horizontal="center"/>
      <protection locked="0"/>
    </xf>
    <xf numFmtId="179" fontId="62" fillId="9" borderId="37" xfId="0" applyNumberFormat="1" applyFont="1" applyFill="1" applyBorder="1" applyAlignment="1" applyProtection="1" quotePrefix="1">
      <alignment horizontal="center"/>
      <protection locked="0"/>
    </xf>
    <xf numFmtId="4" fontId="62" fillId="9" borderId="2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2" fontId="72" fillId="7" borderId="5" xfId="0" applyNumberFormat="1" applyFont="1" applyFill="1" applyBorder="1" applyAlignment="1" applyProtection="1">
      <alignment horizontal="center"/>
      <protection locked="0"/>
    </xf>
    <xf numFmtId="2" fontId="53" fillId="8" borderId="5" xfId="0" applyNumberFormat="1" applyFont="1" applyFill="1" applyBorder="1" applyAlignment="1" applyProtection="1">
      <alignment horizontal="center"/>
      <protection locked="0"/>
    </xf>
    <xf numFmtId="176" fontId="62" fillId="9" borderId="52" xfId="0" applyNumberFormat="1" applyFont="1" applyFill="1" applyBorder="1" applyAlignment="1" applyProtection="1" quotePrefix="1">
      <alignment horizontal="center"/>
      <protection locked="0"/>
    </xf>
    <xf numFmtId="176" fontId="62" fillId="9" borderId="55" xfId="0" applyNumberFormat="1" applyFont="1" applyFill="1" applyBorder="1" applyAlignment="1" applyProtection="1" quotePrefix="1">
      <alignment horizontal="center"/>
      <protection locked="0"/>
    </xf>
    <xf numFmtId="4" fontId="62" fillId="9" borderId="56" xfId="0" applyNumberFormat="1" applyFont="1" applyFill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172" fontId="4" fillId="0" borderId="4" xfId="0" applyNumberFormat="1" applyFont="1" applyBorder="1" applyAlignment="1" applyProtection="1">
      <alignment horizontal="center"/>
      <protection locked="0"/>
    </xf>
    <xf numFmtId="1" fontId="4" fillId="0" borderId="48" xfId="0" applyNumberFormat="1" applyFont="1" applyBorder="1" applyAlignment="1" applyProtection="1" quotePrefix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 quotePrefix="1">
      <alignment horizontal="center"/>
      <protection locked="0"/>
    </xf>
    <xf numFmtId="172" fontId="5" fillId="0" borderId="53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2" fontId="77" fillId="4" borderId="1" xfId="0" applyNumberFormat="1" applyFont="1" applyFill="1" applyBorder="1" applyAlignment="1" applyProtection="1">
      <alignment horizontal="center"/>
      <protection locked="0"/>
    </xf>
    <xf numFmtId="2" fontId="79" fillId="8" borderId="1" xfId="0" applyNumberFormat="1" applyFont="1" applyFill="1" applyBorder="1" applyAlignment="1" applyProtection="1">
      <alignment horizontal="center"/>
      <protection locked="0"/>
    </xf>
    <xf numFmtId="176" fontId="54" fillId="3" borderId="13" xfId="0" applyNumberFormat="1" applyFont="1" applyFill="1" applyBorder="1" applyAlignment="1" applyProtection="1" quotePrefix="1">
      <alignment horizontal="center"/>
      <protection locked="0"/>
    </xf>
    <xf numFmtId="176" fontId="54" fillId="3" borderId="48" xfId="0" applyNumberFormat="1" applyFont="1" applyFill="1" applyBorder="1" applyAlignment="1" applyProtection="1" quotePrefix="1">
      <alignment horizontal="center"/>
      <protection locked="0"/>
    </xf>
    <xf numFmtId="176" fontId="81" fillId="6" borderId="13" xfId="0" applyNumberFormat="1" applyFont="1" applyFill="1" applyBorder="1" applyAlignment="1" applyProtection="1" quotePrefix="1">
      <alignment horizontal="center"/>
      <protection locked="0"/>
    </xf>
    <xf numFmtId="176" fontId="81" fillId="6" borderId="48" xfId="0" applyNumberFormat="1" applyFont="1" applyFill="1" applyBorder="1" applyAlignment="1" applyProtection="1" quotePrefix="1">
      <alignment horizontal="center"/>
      <protection locked="0"/>
    </xf>
    <xf numFmtId="176" fontId="70" fillId="12" borderId="1" xfId="0" applyNumberFormat="1" applyFont="1" applyFill="1" applyBorder="1" applyAlignment="1" applyProtection="1" quotePrefix="1">
      <alignment horizontal="center"/>
      <protection locked="0"/>
    </xf>
    <xf numFmtId="176" fontId="83" fillId="4" borderId="4" xfId="0" applyNumberFormat="1" applyFont="1" applyFill="1" applyBorder="1" applyAlignment="1" applyProtection="1" quotePrefix="1">
      <alignment horizontal="center"/>
      <protection locked="0"/>
    </xf>
    <xf numFmtId="2" fontId="77" fillId="4" borderId="5" xfId="0" applyNumberFormat="1" applyFont="1" applyFill="1" applyBorder="1" applyAlignment="1" applyProtection="1">
      <alignment horizontal="center"/>
      <protection locked="0"/>
    </xf>
    <xf numFmtId="2" fontId="79" fillId="8" borderId="5" xfId="0" applyNumberFormat="1" applyFont="1" applyFill="1" applyBorder="1" applyAlignment="1" applyProtection="1">
      <alignment horizontal="center"/>
      <protection locked="0"/>
    </xf>
    <xf numFmtId="176" fontId="54" fillId="3" borderId="57" xfId="0" applyNumberFormat="1" applyFont="1" applyFill="1" applyBorder="1" applyAlignment="1" applyProtection="1" quotePrefix="1">
      <alignment horizontal="center"/>
      <protection locked="0"/>
    </xf>
    <xf numFmtId="176" fontId="54" fillId="3" borderId="58" xfId="0" applyNumberFormat="1" applyFont="1" applyFill="1" applyBorder="1" applyAlignment="1" applyProtection="1" quotePrefix="1">
      <alignment horizontal="center"/>
      <protection locked="0"/>
    </xf>
    <xf numFmtId="176" fontId="81" fillId="6" borderId="52" xfId="0" applyNumberFormat="1" applyFont="1" applyFill="1" applyBorder="1" applyAlignment="1" applyProtection="1" quotePrefix="1">
      <alignment horizontal="center"/>
      <protection locked="0"/>
    </xf>
    <xf numFmtId="176" fontId="81" fillId="6" borderId="56" xfId="0" applyNumberFormat="1" applyFont="1" applyFill="1" applyBorder="1" applyAlignment="1" applyProtection="1" quotePrefix="1">
      <alignment horizontal="center"/>
      <protection locked="0"/>
    </xf>
    <xf numFmtId="176" fontId="70" fillId="12" borderId="5" xfId="0" applyNumberFormat="1" applyFont="1" applyFill="1" applyBorder="1" applyAlignment="1" applyProtection="1" quotePrefix="1">
      <alignment horizontal="center"/>
      <protection locked="0"/>
    </xf>
    <xf numFmtId="176" fontId="83" fillId="4" borderId="5" xfId="0" applyNumberFormat="1" applyFont="1" applyFill="1" applyBorder="1" applyAlignment="1" applyProtection="1" quotePrefix="1">
      <alignment horizontal="center"/>
      <protection locked="0"/>
    </xf>
    <xf numFmtId="176" fontId="19" fillId="0" borderId="10" xfId="0" applyNumberFormat="1" applyFont="1" applyFill="1" applyBorder="1" applyAlignment="1" applyProtection="1">
      <alignment horizontal="center"/>
      <protection locked="0"/>
    </xf>
    <xf numFmtId="172" fontId="75" fillId="11" borderId="1" xfId="0" applyNumberFormat="1" applyFont="1" applyFill="1" applyBorder="1" applyAlignment="1" applyProtection="1">
      <alignment horizontal="center"/>
      <protection locked="0"/>
    </xf>
    <xf numFmtId="176" fontId="4" fillId="0" borderId="2" xfId="0" applyNumberFormat="1" applyFont="1" applyFill="1" applyBorder="1" applyAlignment="1" applyProtection="1">
      <alignment horizontal="center"/>
      <protection locked="0"/>
    </xf>
    <xf numFmtId="172" fontId="75" fillId="11" borderId="5" xfId="0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22" fontId="4" fillId="0" borderId="38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  <xf numFmtId="172" fontId="75" fillId="7" borderId="1" xfId="0" applyNumberFormat="1" applyFont="1" applyFill="1" applyBorder="1" applyAlignment="1" applyProtection="1">
      <alignment horizontal="center"/>
      <protection locked="0"/>
    </xf>
    <xf numFmtId="2" fontId="81" fillId="6" borderId="1" xfId="0" applyNumberFormat="1" applyFont="1" applyFill="1" applyBorder="1" applyAlignment="1" applyProtection="1">
      <alignment horizontal="center"/>
      <protection locked="0"/>
    </xf>
    <xf numFmtId="176" fontId="53" fillId="8" borderId="38" xfId="0" applyNumberFormat="1" applyFont="1" applyFill="1" applyBorder="1" applyAlignment="1" applyProtection="1" quotePrefix="1">
      <alignment horizontal="center"/>
      <protection locked="0"/>
    </xf>
    <xf numFmtId="176" fontId="53" fillId="8" borderId="51" xfId="0" applyNumberFormat="1" applyFont="1" applyFill="1" applyBorder="1" applyAlignment="1" applyProtection="1" quotePrefix="1">
      <alignment horizontal="center"/>
      <protection locked="0"/>
    </xf>
    <xf numFmtId="176" fontId="72" fillId="13" borderId="1" xfId="0" applyNumberFormat="1" applyFont="1" applyFill="1" applyBorder="1" applyAlignment="1" applyProtection="1" quotePrefix="1">
      <alignment horizontal="center"/>
      <protection locked="0"/>
    </xf>
    <xf numFmtId="172" fontId="75" fillId="7" borderId="5" xfId="0" applyNumberFormat="1" applyFont="1" applyFill="1" applyBorder="1" applyAlignment="1" applyProtection="1">
      <alignment horizontal="center"/>
      <protection locked="0"/>
    </xf>
    <xf numFmtId="2" fontId="81" fillId="6" borderId="5" xfId="0" applyNumberFormat="1" applyFont="1" applyFill="1" applyBorder="1" applyAlignment="1" applyProtection="1">
      <alignment horizontal="center"/>
      <protection locked="0"/>
    </xf>
    <xf numFmtId="176" fontId="53" fillId="8" borderId="52" xfId="0" applyNumberFormat="1" applyFont="1" applyFill="1" applyBorder="1" applyAlignment="1" applyProtection="1" quotePrefix="1">
      <alignment horizontal="center"/>
      <protection locked="0"/>
    </xf>
    <xf numFmtId="176" fontId="53" fillId="8" borderId="56" xfId="0" applyNumberFormat="1" applyFont="1" applyFill="1" applyBorder="1" applyAlignment="1" applyProtection="1" quotePrefix="1">
      <alignment horizontal="center"/>
      <protection locked="0"/>
    </xf>
    <xf numFmtId="176" fontId="72" fillId="13" borderId="5" xfId="0" applyNumberFormat="1" applyFont="1" applyFill="1" applyBorder="1" applyAlignment="1" applyProtection="1" quotePrefix="1">
      <alignment horizontal="center"/>
      <protection locked="0"/>
    </xf>
    <xf numFmtId="18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72" fontId="59" fillId="3" borderId="1" xfId="0" applyNumberFormat="1" applyFont="1" applyFill="1" applyBorder="1" applyAlignment="1" applyProtection="1">
      <alignment horizontal="center"/>
      <protection locked="0"/>
    </xf>
    <xf numFmtId="2" fontId="85" fillId="14" borderId="1" xfId="0" applyNumberFormat="1" applyFont="1" applyFill="1" applyBorder="1" applyAlignment="1" applyProtection="1">
      <alignment horizontal="center"/>
      <protection locked="0"/>
    </xf>
    <xf numFmtId="176" fontId="83" fillId="8" borderId="13" xfId="0" applyNumberFormat="1" applyFont="1" applyFill="1" applyBorder="1" applyAlignment="1" applyProtection="1" quotePrefix="1">
      <alignment horizontal="center"/>
      <protection locked="0"/>
    </xf>
    <xf numFmtId="176" fontId="83" fillId="8" borderId="48" xfId="0" applyNumberFormat="1" applyFont="1" applyFill="1" applyBorder="1" applyAlignment="1" applyProtection="1" quotePrefix="1">
      <alignment horizontal="center"/>
      <protection locked="0"/>
    </xf>
    <xf numFmtId="176" fontId="72" fillId="4" borderId="4" xfId="0" applyNumberFormat="1" applyFont="1" applyFill="1" applyBorder="1" applyAlignment="1" applyProtection="1" quotePrefix="1">
      <alignment horizontal="center"/>
      <protection locked="0"/>
    </xf>
    <xf numFmtId="176" fontId="4" fillId="0" borderId="9" xfId="0" applyNumberFormat="1" applyFont="1" applyBorder="1" applyAlignment="1" applyProtection="1">
      <alignment horizontal="center"/>
      <protection locked="0"/>
    </xf>
    <xf numFmtId="172" fontId="59" fillId="3" borderId="5" xfId="0" applyNumberFormat="1" applyFont="1" applyFill="1" applyBorder="1" applyAlignment="1" applyProtection="1">
      <alignment horizontal="center"/>
      <protection locked="0"/>
    </xf>
    <xf numFmtId="2" fontId="85" fillId="14" borderId="5" xfId="0" applyNumberFormat="1" applyFont="1" applyFill="1" applyBorder="1" applyAlignment="1" applyProtection="1">
      <alignment horizontal="center"/>
      <protection locked="0"/>
    </xf>
    <xf numFmtId="176" fontId="83" fillId="8" borderId="57" xfId="0" applyNumberFormat="1" applyFont="1" applyFill="1" applyBorder="1" applyAlignment="1" applyProtection="1" quotePrefix="1">
      <alignment horizontal="center"/>
      <protection locked="0"/>
    </xf>
    <xf numFmtId="176" fontId="83" fillId="8" borderId="58" xfId="0" applyNumberFormat="1" applyFont="1" applyFill="1" applyBorder="1" applyAlignment="1" applyProtection="1" quotePrefix="1">
      <alignment horizontal="center"/>
      <protection locked="0"/>
    </xf>
    <xf numFmtId="176" fontId="72" fillId="4" borderId="5" xfId="0" applyNumberFormat="1" applyFont="1" applyFill="1" applyBorder="1" applyAlignment="1" applyProtection="1" quotePrefix="1">
      <alignment horizontal="center"/>
      <protection locked="0"/>
    </xf>
    <xf numFmtId="176" fontId="4" fillId="0" borderId="59" xfId="0" applyNumberFormat="1" applyFont="1" applyBorder="1" applyAlignment="1" applyProtection="1">
      <alignment horizontal="center"/>
      <protection locked="0"/>
    </xf>
    <xf numFmtId="176" fontId="59" fillId="3" borderId="2" xfId="0" applyNumberFormat="1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172" fontId="5" fillId="0" borderId="4" xfId="0" applyNumberFormat="1" applyFont="1" applyBorder="1" applyAlignment="1" applyProtection="1" quotePrefix="1">
      <alignment horizontal="center"/>
      <protection locked="0"/>
    </xf>
    <xf numFmtId="22" fontId="4" fillId="0" borderId="4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257175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1435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45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2.7109375" style="16" customWidth="1"/>
    <col min="2" max="2" width="15.57421875" style="16" customWidth="1"/>
    <col min="3" max="3" width="15.8515625" style="16" customWidth="1"/>
    <col min="4" max="4" width="17.8515625" style="16" customWidth="1"/>
    <col min="5" max="5" width="22.28125" style="16" customWidth="1"/>
    <col min="6" max="6" width="38.00390625" style="16" customWidth="1"/>
    <col min="7" max="7" width="36.00390625" style="16" customWidth="1"/>
    <col min="8" max="8" width="18.140625" style="16" customWidth="1"/>
    <col min="9" max="9" width="21.281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70" customFormat="1" ht="26.25">
      <c r="B1" s="71"/>
      <c r="E1" s="13"/>
      <c r="K1" s="517"/>
    </row>
    <row r="2" spans="2:10" s="70" customFormat="1" ht="26.25">
      <c r="B2" s="71" t="s">
        <v>150</v>
      </c>
      <c r="C2" s="72"/>
      <c r="D2" s="73"/>
      <c r="E2" s="73"/>
      <c r="F2" s="73"/>
      <c r="G2" s="73"/>
      <c r="H2" s="73"/>
      <c r="I2" s="73"/>
      <c r="J2" s="73"/>
    </row>
    <row r="3" spans="3:19" ht="12.75">
      <c r="C3"/>
      <c r="D3" s="74"/>
      <c r="E3" s="74"/>
      <c r="F3" s="74"/>
      <c r="G3" s="74"/>
      <c r="H3" s="74"/>
      <c r="I3" s="74"/>
      <c r="J3" s="74"/>
      <c r="P3" s="14"/>
      <c r="Q3" s="14"/>
      <c r="R3" s="14"/>
      <c r="S3" s="14"/>
    </row>
    <row r="4" spans="1:19" s="77" customFormat="1" ht="12.75">
      <c r="A4" s="75" t="s">
        <v>24</v>
      </c>
      <c r="B4" s="76"/>
      <c r="D4" s="78"/>
      <c r="E4" s="78"/>
      <c r="F4" s="78"/>
      <c r="G4" s="78"/>
      <c r="H4" s="78"/>
      <c r="I4" s="74"/>
      <c r="J4" s="74"/>
      <c r="K4" s="78"/>
      <c r="L4" s="78"/>
      <c r="M4" s="78"/>
      <c r="N4" s="78"/>
      <c r="O4" s="78"/>
      <c r="P4" s="78"/>
      <c r="Q4" s="78"/>
      <c r="R4" s="78"/>
      <c r="S4" s="78"/>
    </row>
    <row r="5" spans="1:19" s="77" customFormat="1" ht="11.25">
      <c r="A5" s="75" t="s">
        <v>25</v>
      </c>
      <c r="B5" s="7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2:19" s="70" customFormat="1" ht="11.25" customHeight="1">
      <c r="B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2:19" s="10" customFormat="1" ht="21">
      <c r="B7" s="244" t="s">
        <v>0</v>
      </c>
      <c r="C7" s="81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44" t="s">
        <v>142</v>
      </c>
      <c r="C9" s="81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83"/>
      <c r="E10" s="8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44" t="s">
        <v>141</v>
      </c>
      <c r="C11" s="4"/>
      <c r="D11" s="82"/>
      <c r="E11" s="82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84" customFormat="1" ht="16.5" thickBot="1">
      <c r="D12" s="85"/>
      <c r="E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19" s="84" customFormat="1" ht="16.5" thickTop="1">
      <c r="B13" s="87"/>
      <c r="C13" s="88"/>
      <c r="D13" s="88"/>
      <c r="E13" s="504"/>
      <c r="F13" s="88"/>
      <c r="G13" s="88"/>
      <c r="H13" s="88"/>
      <c r="I13" s="88"/>
      <c r="J13" s="89"/>
      <c r="K13" s="86"/>
      <c r="L13" s="86"/>
      <c r="M13" s="86"/>
      <c r="N13" s="86"/>
      <c r="O13" s="86"/>
      <c r="P13" s="86"/>
      <c r="Q13" s="86"/>
      <c r="R13" s="86"/>
      <c r="S13" s="86"/>
    </row>
    <row r="14" spans="2:19" s="15" customFormat="1" ht="19.5">
      <c r="B14" s="90" t="s">
        <v>140</v>
      </c>
      <c r="C14" s="91"/>
      <c r="D14" s="92"/>
      <c r="E14" s="505"/>
      <c r="F14" s="93"/>
      <c r="G14" s="93"/>
      <c r="H14" s="93"/>
      <c r="I14" s="94"/>
      <c r="J14" s="95"/>
      <c r="K14" s="96"/>
      <c r="L14" s="96"/>
      <c r="M14" s="96"/>
      <c r="N14" s="96"/>
      <c r="O14" s="96"/>
      <c r="P14" s="96"/>
      <c r="Q14" s="96"/>
      <c r="R14" s="96"/>
      <c r="S14" s="96"/>
    </row>
    <row r="15" spans="2:19" s="15" customFormat="1" ht="13.5" customHeight="1">
      <c r="B15" s="97"/>
      <c r="C15" s="98"/>
      <c r="D15" s="503"/>
      <c r="E15" s="506"/>
      <c r="F15" s="49"/>
      <c r="G15" s="49"/>
      <c r="H15" s="49"/>
      <c r="I15" s="96"/>
      <c r="J15" s="99"/>
      <c r="K15" s="96"/>
      <c r="L15" s="96"/>
      <c r="M15" s="96"/>
      <c r="N15" s="96"/>
      <c r="O15" s="96"/>
      <c r="P15" s="96"/>
      <c r="Q15" s="96"/>
      <c r="R15" s="96"/>
      <c r="S15" s="96"/>
    </row>
    <row r="16" spans="2:19" s="15" customFormat="1" ht="19.5">
      <c r="B16" s="97"/>
      <c r="C16" s="100" t="s">
        <v>26</v>
      </c>
      <c r="D16" s="503" t="s">
        <v>27</v>
      </c>
      <c r="E16" s="506"/>
      <c r="F16" s="49"/>
      <c r="G16" s="49"/>
      <c r="H16" s="49"/>
      <c r="I16" s="101"/>
      <c r="J16" s="99"/>
      <c r="K16" s="96"/>
      <c r="L16" s="96"/>
      <c r="M16" s="96"/>
      <c r="N16" s="96"/>
      <c r="O16" s="96"/>
      <c r="P16" s="96"/>
      <c r="Q16" s="96"/>
      <c r="R16" s="96"/>
      <c r="S16" s="96"/>
    </row>
    <row r="17" spans="2:19" s="15" customFormat="1" ht="19.5">
      <c r="B17" s="97"/>
      <c r="C17" s="100"/>
      <c r="D17" s="503">
        <v>12</v>
      </c>
      <c r="E17" s="507" t="s">
        <v>28</v>
      </c>
      <c r="F17" s="49"/>
      <c r="G17" s="49"/>
      <c r="H17" s="49"/>
      <c r="I17" s="101">
        <f>'LIN-YACY'!V38</f>
        <v>14337</v>
      </c>
      <c r="J17" s="99"/>
      <c r="K17" s="96"/>
      <c r="L17" s="96"/>
      <c r="M17" s="96"/>
      <c r="N17" s="96"/>
      <c r="O17" s="96"/>
      <c r="P17" s="96"/>
      <c r="Q17" s="96"/>
      <c r="R17" s="96"/>
      <c r="S17" s="96"/>
    </row>
    <row r="18" spans="2:19" s="15" customFormat="1" ht="19.5">
      <c r="B18" s="97"/>
      <c r="C18" s="100"/>
      <c r="D18" s="503">
        <v>13</v>
      </c>
      <c r="E18" s="507" t="s">
        <v>29</v>
      </c>
      <c r="F18" s="49"/>
      <c r="G18" s="49"/>
      <c r="H18" s="49"/>
      <c r="I18" s="101">
        <f>'LIN-LITSA'!AD43</f>
        <v>139.72</v>
      </c>
      <c r="J18" s="99"/>
      <c r="K18" s="96"/>
      <c r="L18" s="96"/>
      <c r="M18" s="96"/>
      <c r="N18" s="96"/>
      <c r="O18" s="96"/>
      <c r="P18" s="96"/>
      <c r="Q18" s="96"/>
      <c r="R18" s="96"/>
      <c r="S18" s="96"/>
    </row>
    <row r="19" spans="2:19" ht="12.75" customHeight="1">
      <c r="B19" s="102"/>
      <c r="C19" s="103"/>
      <c r="D19" s="503"/>
      <c r="E19" s="508"/>
      <c r="F19" s="104"/>
      <c r="G19" s="104"/>
      <c r="H19" s="104"/>
      <c r="I19" s="105"/>
      <c r="J19" s="106"/>
      <c r="K19" s="14"/>
      <c r="L19" s="14"/>
      <c r="M19" s="14"/>
      <c r="N19" s="14"/>
      <c r="O19" s="14"/>
      <c r="P19" s="14"/>
      <c r="Q19" s="14"/>
      <c r="R19" s="14"/>
      <c r="S19" s="14"/>
    </row>
    <row r="20" spans="2:19" s="15" customFormat="1" ht="19.5">
      <c r="B20" s="97"/>
      <c r="C20" s="100" t="s">
        <v>30</v>
      </c>
      <c r="D20" s="510" t="s">
        <v>31</v>
      </c>
      <c r="E20" s="506"/>
      <c r="F20" s="49"/>
      <c r="G20" s="49"/>
      <c r="H20" s="49"/>
      <c r="I20" s="101"/>
      <c r="J20" s="99"/>
      <c r="K20" s="96"/>
      <c r="L20" s="96"/>
      <c r="M20" s="96"/>
      <c r="N20" s="96"/>
      <c r="O20" s="96"/>
      <c r="P20" s="96"/>
      <c r="Q20" s="96"/>
      <c r="R20" s="96"/>
      <c r="S20" s="96"/>
    </row>
    <row r="21" spans="2:19" s="15" customFormat="1" ht="19.5">
      <c r="B21" s="97"/>
      <c r="C21" s="100"/>
      <c r="D21" s="503">
        <v>21</v>
      </c>
      <c r="E21" s="507" t="s">
        <v>32</v>
      </c>
      <c r="F21" s="49"/>
      <c r="G21" s="49"/>
      <c r="H21" s="49"/>
      <c r="I21" s="101"/>
      <c r="J21" s="99"/>
      <c r="K21" s="96"/>
      <c r="L21" s="96"/>
      <c r="M21" s="96"/>
      <c r="N21" s="96"/>
      <c r="O21" s="96"/>
      <c r="P21" s="96"/>
      <c r="Q21" s="96"/>
      <c r="R21" s="96"/>
      <c r="S21" s="96"/>
    </row>
    <row r="22" spans="2:19" s="15" customFormat="1" ht="19.5">
      <c r="B22" s="97"/>
      <c r="C22" s="100"/>
      <c r="D22" s="503"/>
      <c r="E22" s="509">
        <v>213</v>
      </c>
      <c r="F22" s="13" t="s">
        <v>33</v>
      </c>
      <c r="G22" s="49"/>
      <c r="H22" s="49"/>
      <c r="I22" s="101">
        <f>'TRAFO-TIBA'!AA41</f>
        <v>277.54</v>
      </c>
      <c r="J22" s="99"/>
      <c r="K22" s="96"/>
      <c r="L22" s="96"/>
      <c r="M22" s="96"/>
      <c r="N22" s="96"/>
      <c r="O22" s="96"/>
      <c r="P22" s="96"/>
      <c r="Q22" s="96"/>
      <c r="R22" s="96"/>
      <c r="S22" s="96"/>
    </row>
    <row r="23" spans="2:19" s="15" customFormat="1" ht="19.5">
      <c r="B23" s="97"/>
      <c r="C23" s="100"/>
      <c r="D23" s="503"/>
      <c r="E23" s="509">
        <v>214</v>
      </c>
      <c r="F23" s="13" t="s">
        <v>96</v>
      </c>
      <c r="G23" s="49"/>
      <c r="H23" s="49"/>
      <c r="I23" s="101">
        <f>'TRAFO-ENECOR'!AA40</f>
        <v>371.7</v>
      </c>
      <c r="J23" s="99"/>
      <c r="K23" s="96"/>
      <c r="L23" s="96"/>
      <c r="M23" s="96"/>
      <c r="N23" s="96"/>
      <c r="O23" s="96"/>
      <c r="P23" s="96"/>
      <c r="Q23" s="96"/>
      <c r="R23" s="96"/>
      <c r="S23" s="96"/>
    </row>
    <row r="24" spans="2:19" s="15" customFormat="1" ht="19.5">
      <c r="B24" s="97"/>
      <c r="C24" s="100"/>
      <c r="D24" s="503">
        <v>22</v>
      </c>
      <c r="E24" s="507" t="s">
        <v>34</v>
      </c>
      <c r="F24" s="49"/>
      <c r="G24" s="49"/>
      <c r="H24" s="49"/>
      <c r="I24" s="101"/>
      <c r="J24" s="99"/>
      <c r="K24" s="96"/>
      <c r="L24" s="96"/>
      <c r="M24" s="96"/>
      <c r="N24" s="96"/>
      <c r="O24" s="96"/>
      <c r="P24" s="96"/>
      <c r="Q24" s="96"/>
      <c r="R24" s="96"/>
      <c r="S24" s="96"/>
    </row>
    <row r="25" spans="2:19" s="15" customFormat="1" ht="19.5">
      <c r="B25" s="97"/>
      <c r="C25" s="100"/>
      <c r="D25" s="503"/>
      <c r="E25" s="509">
        <v>222</v>
      </c>
      <c r="F25" s="13" t="s">
        <v>33</v>
      </c>
      <c r="G25" s="49"/>
      <c r="H25" s="49"/>
      <c r="I25" s="101">
        <f>'SALIDA-TIBA'!T44</f>
        <v>5867.72</v>
      </c>
      <c r="J25" s="99"/>
      <c r="K25" s="96"/>
      <c r="L25" s="96"/>
      <c r="M25" s="96"/>
      <c r="N25" s="96"/>
      <c r="O25" s="96"/>
      <c r="P25" s="96"/>
      <c r="Q25" s="96"/>
      <c r="R25" s="96"/>
      <c r="S25" s="96"/>
    </row>
    <row r="26" spans="2:19" ht="12.75" customHeight="1">
      <c r="B26" s="102"/>
      <c r="C26" s="103"/>
      <c r="D26" s="503"/>
      <c r="E26" s="508"/>
      <c r="F26" s="104"/>
      <c r="G26" s="104"/>
      <c r="H26" s="104"/>
      <c r="I26" s="105"/>
      <c r="J26" s="106"/>
      <c r="K26" s="14"/>
      <c r="L26" s="14"/>
      <c r="M26" s="14"/>
      <c r="N26" s="14"/>
      <c r="O26" s="14"/>
      <c r="P26" s="14"/>
      <c r="Q26" s="14"/>
      <c r="R26" s="14"/>
      <c r="S26" s="14"/>
    </row>
    <row r="27" spans="2:19" s="15" customFormat="1" ht="19.5">
      <c r="B27" s="97"/>
      <c r="C27" s="100" t="s">
        <v>35</v>
      </c>
      <c r="D27" s="510" t="s">
        <v>36</v>
      </c>
      <c r="E27" s="506"/>
      <c r="F27" s="49"/>
      <c r="G27" s="49"/>
      <c r="H27" s="49"/>
      <c r="I27" s="101"/>
      <c r="J27" s="99"/>
      <c r="K27" s="96"/>
      <c r="L27" s="96"/>
      <c r="M27" s="96"/>
      <c r="N27" s="96"/>
      <c r="O27" s="96"/>
      <c r="P27" s="96"/>
      <c r="Q27" s="96"/>
      <c r="R27" s="96"/>
      <c r="S27" s="96"/>
    </row>
    <row r="28" spans="2:19" s="15" customFormat="1" ht="19.5">
      <c r="B28" s="97"/>
      <c r="C28" s="100"/>
      <c r="D28" s="503">
        <v>33</v>
      </c>
      <c r="E28" s="507" t="s">
        <v>29</v>
      </c>
      <c r="F28" s="49"/>
      <c r="G28" s="49"/>
      <c r="H28" s="49"/>
      <c r="I28" s="101">
        <f>'REAC-LITSA'!V45</f>
        <v>2248.04</v>
      </c>
      <c r="J28" s="99"/>
      <c r="K28" s="96"/>
      <c r="L28" s="96"/>
      <c r="M28" s="96"/>
      <c r="N28" s="96"/>
      <c r="O28" s="96"/>
      <c r="P28" s="96"/>
      <c r="Q28" s="96"/>
      <c r="R28" s="96"/>
      <c r="S28" s="96"/>
    </row>
    <row r="29" spans="2:19" s="15" customFormat="1" ht="12.75" customHeight="1">
      <c r="B29" s="97"/>
      <c r="C29" s="100"/>
      <c r="D29" s="503"/>
      <c r="E29" s="507"/>
      <c r="F29" s="49"/>
      <c r="G29" s="49"/>
      <c r="H29" s="49"/>
      <c r="I29" s="101"/>
      <c r="J29" s="99"/>
      <c r="K29" s="96"/>
      <c r="L29" s="96"/>
      <c r="M29" s="96"/>
      <c r="N29" s="96"/>
      <c r="O29" s="96"/>
      <c r="P29" s="96"/>
      <c r="Q29" s="96"/>
      <c r="R29" s="96"/>
      <c r="S29" s="96"/>
    </row>
    <row r="30" spans="2:19" s="15" customFormat="1" ht="20.25" thickBot="1">
      <c r="B30" s="97"/>
      <c r="C30" s="98"/>
      <c r="D30" s="503"/>
      <c r="E30" s="506"/>
      <c r="F30" s="49"/>
      <c r="G30" s="49"/>
      <c r="H30" s="49"/>
      <c r="I30" s="96"/>
      <c r="J30" s="99"/>
      <c r="K30" s="96"/>
      <c r="L30" s="96"/>
      <c r="M30" s="96"/>
      <c r="N30" s="96"/>
      <c r="O30" s="96"/>
      <c r="P30" s="96"/>
      <c r="Q30" s="96"/>
      <c r="R30" s="96"/>
      <c r="S30" s="96"/>
    </row>
    <row r="31" spans="2:19" s="15" customFormat="1" ht="20.25" thickBot="1" thickTop="1">
      <c r="B31" s="97"/>
      <c r="C31" s="100"/>
      <c r="D31" s="100"/>
      <c r="F31" s="107" t="s">
        <v>37</v>
      </c>
      <c r="G31" s="108">
        <f>SUM(I16:I29)</f>
        <v>23241.72</v>
      </c>
      <c r="H31" s="243"/>
      <c r="J31" s="99"/>
      <c r="K31" s="96"/>
      <c r="L31" s="96"/>
      <c r="M31" s="96"/>
      <c r="N31" s="96"/>
      <c r="O31" s="96"/>
      <c r="P31" s="96"/>
      <c r="Q31" s="96"/>
      <c r="R31" s="96"/>
      <c r="S31" s="96"/>
    </row>
    <row r="32" spans="2:19" s="15" customFormat="1" ht="18.75" customHeight="1" thickBot="1" thickTop="1">
      <c r="B32" s="97"/>
      <c r="C32" s="100"/>
      <c r="D32" s="100"/>
      <c r="F32" s="107" t="s">
        <v>144</v>
      </c>
      <c r="G32" s="108">
        <v>44336.26</v>
      </c>
      <c r="H32" s="243"/>
      <c r="J32" s="99"/>
      <c r="K32" s="96"/>
      <c r="L32" s="96"/>
      <c r="M32" s="96"/>
      <c r="N32" s="96"/>
      <c r="O32" s="96"/>
      <c r="P32" s="96"/>
      <c r="Q32" s="96"/>
      <c r="R32" s="96"/>
      <c r="S32" s="96"/>
    </row>
    <row r="33" spans="2:19" s="15" customFormat="1" ht="18.75" customHeight="1" thickBot="1" thickTop="1">
      <c r="B33" s="97"/>
      <c r="C33" s="100"/>
      <c r="D33" s="100"/>
      <c r="F33" s="107" t="s">
        <v>143</v>
      </c>
      <c r="G33" s="108">
        <f>G31-G32</f>
        <v>-21094.54</v>
      </c>
      <c r="H33" s="243"/>
      <c r="J33" s="99"/>
      <c r="K33" s="96"/>
      <c r="L33" s="96"/>
      <c r="M33" s="96"/>
      <c r="N33" s="96"/>
      <c r="O33" s="96"/>
      <c r="P33" s="96"/>
      <c r="Q33" s="96"/>
      <c r="R33" s="96"/>
      <c r="S33" s="96"/>
    </row>
    <row r="34" spans="2:19" s="15" customFormat="1" ht="18.75" customHeight="1" thickTop="1">
      <c r="B34" s="97"/>
      <c r="C34" s="100"/>
      <c r="D34" s="100"/>
      <c r="F34" s="511"/>
      <c r="G34" s="243"/>
      <c r="H34" s="243"/>
      <c r="J34" s="99"/>
      <c r="K34" s="96"/>
      <c r="L34" s="96"/>
      <c r="M34" s="96"/>
      <c r="N34" s="96"/>
      <c r="O34" s="96"/>
      <c r="P34" s="96"/>
      <c r="Q34" s="96"/>
      <c r="R34" s="96"/>
      <c r="S34" s="96"/>
    </row>
    <row r="35" spans="2:19" s="15" customFormat="1" ht="18.75">
      <c r="B35" s="97"/>
      <c r="C35" s="540" t="s">
        <v>106</v>
      </c>
      <c r="D35" s="100"/>
      <c r="F35" s="511"/>
      <c r="G35" s="243"/>
      <c r="H35" s="243"/>
      <c r="J35" s="99"/>
      <c r="K35" s="96"/>
      <c r="L35" s="96"/>
      <c r="M35" s="96"/>
      <c r="N35" s="96"/>
      <c r="O35" s="96"/>
      <c r="P35" s="96"/>
      <c r="Q35" s="96"/>
      <c r="R35" s="96"/>
      <c r="S35" s="96"/>
    </row>
    <row r="36" spans="2:19" s="84" customFormat="1" ht="10.5" customHeight="1" thickBot="1">
      <c r="B36" s="109"/>
      <c r="C36" s="110"/>
      <c r="D36" s="110"/>
      <c r="E36" s="111"/>
      <c r="F36" s="111"/>
      <c r="G36" s="111"/>
      <c r="H36" s="111"/>
      <c r="I36" s="111"/>
      <c r="J36" s="112"/>
      <c r="K36" s="86"/>
      <c r="L36" s="86"/>
      <c r="M36" s="113"/>
      <c r="N36" s="114"/>
      <c r="O36" s="114"/>
      <c r="P36" s="115"/>
      <c r="Q36" s="116"/>
      <c r="R36" s="86"/>
      <c r="S36" s="86"/>
    </row>
    <row r="37" spans="4:19" ht="13.5" thickTop="1">
      <c r="D37" s="14"/>
      <c r="F37" s="14"/>
      <c r="G37" s="14"/>
      <c r="H37" s="14"/>
      <c r="I37" s="14"/>
      <c r="J37" s="14"/>
      <c r="K37" s="14"/>
      <c r="L37" s="14"/>
      <c r="M37" s="46"/>
      <c r="N37" s="117"/>
      <c r="O37" s="117"/>
      <c r="P37" s="14"/>
      <c r="Q37" s="2"/>
      <c r="R37" s="14"/>
      <c r="S37" s="14"/>
    </row>
    <row r="38" spans="4:19" ht="12.75">
      <c r="D38" s="14"/>
      <c r="F38" s="14"/>
      <c r="G38" s="14"/>
      <c r="H38" s="14"/>
      <c r="I38" s="14"/>
      <c r="J38" s="14"/>
      <c r="K38" s="14"/>
      <c r="L38" s="14"/>
      <c r="M38" s="14"/>
      <c r="N38" s="118"/>
      <c r="O38" s="118"/>
      <c r="P38" s="119"/>
      <c r="Q38" s="2"/>
      <c r="R38" s="14"/>
      <c r="S38" s="14"/>
    </row>
    <row r="39" spans="4:19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18"/>
      <c r="O39" s="118"/>
      <c r="P39" s="119"/>
      <c r="Q39" s="2"/>
      <c r="R39" s="14"/>
      <c r="S39" s="14"/>
    </row>
    <row r="40" spans="4:19" ht="12.75">
      <c r="D40" s="14"/>
      <c r="E40" s="14"/>
      <c r="L40" s="14"/>
      <c r="M40" s="14"/>
      <c r="N40" s="14"/>
      <c r="O40" s="14"/>
      <c r="P40" s="14"/>
      <c r="Q40" s="14"/>
      <c r="R40" s="14"/>
      <c r="S40" s="14"/>
    </row>
    <row r="41" spans="4:19" ht="12.75">
      <c r="D41" s="14"/>
      <c r="E41" s="14"/>
      <c r="P41" s="14"/>
      <c r="Q41" s="14"/>
      <c r="R41" s="14"/>
      <c r="S41" s="14"/>
    </row>
    <row r="42" spans="4:19" ht="12.75">
      <c r="D42" s="14"/>
      <c r="E42" s="14"/>
      <c r="P42" s="14"/>
      <c r="Q42" s="14"/>
      <c r="R42" s="14"/>
      <c r="S42" s="14"/>
    </row>
    <row r="43" spans="4:19" ht="12.75">
      <c r="D43" s="14"/>
      <c r="E43" s="14"/>
      <c r="P43" s="14"/>
      <c r="Q43" s="14"/>
      <c r="R43" s="14"/>
      <c r="S43" s="14"/>
    </row>
    <row r="44" spans="16:19" ht="12.75">
      <c r="P44" s="14"/>
      <c r="Q44" s="14"/>
      <c r="R44" s="14"/>
      <c r="S44" s="14"/>
    </row>
    <row r="45" spans="16:19" ht="12.75">
      <c r="P45" s="14"/>
      <c r="Q45" s="14"/>
      <c r="R45" s="14"/>
      <c r="S45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W153"/>
  <sheetViews>
    <sheetView zoomScale="75" zoomScaleNormal="75" workbookViewId="0" topLeftCell="B1">
      <selection activeCell="F50" sqref="F50"/>
    </sheetView>
  </sheetViews>
  <sheetFormatPr defaultColWidth="11.421875" defaultRowHeight="12.75" outlineLevelCol="1"/>
  <cols>
    <col min="1" max="2" width="15.7109375" style="0" customWidth="1"/>
    <col min="3" max="3" width="4.7109375" style="0" customWidth="1"/>
    <col min="4" max="4" width="44.28125" style="0" customWidth="1"/>
    <col min="5" max="5" width="6.57421875" style="0" customWidth="1"/>
    <col min="6" max="6" width="7.7109375" style="0" customWidth="1"/>
    <col min="7" max="7" width="14.28125" style="0" bestFit="1" customWidth="1"/>
    <col min="8" max="8" width="14.421875" style="0" customWidth="1"/>
    <col min="9" max="9" width="8.57421875" style="0" customWidth="1"/>
    <col min="10" max="10" width="7.140625" style="0" bestFit="1" customWidth="1"/>
    <col min="11" max="11" width="7.57421875" style="0" bestFit="1" customWidth="1"/>
    <col min="12" max="12" width="6.421875" style="0" bestFit="1" customWidth="1"/>
    <col min="13" max="13" width="16.140625" style="0" hidden="1" customWidth="1" outlineLevel="1"/>
    <col min="14" max="14" width="15.140625" style="0" hidden="1" customWidth="1" outlineLevel="1"/>
    <col min="15" max="15" width="15.00390625" style="0" hidden="1" customWidth="1" outlineLevel="1"/>
    <col min="16" max="16" width="18.28125" style="0" hidden="1" customWidth="1" outlineLevel="1"/>
    <col min="17" max="19" width="17.7109375" style="0" hidden="1" customWidth="1" outlineLevel="1"/>
    <col min="20" max="20" width="15.7109375" style="0" hidden="1" customWidth="1" outlineLevel="1"/>
    <col min="21" max="21" width="15.7109375" style="0" customWidth="1" collapsed="1"/>
    <col min="22" max="22" width="15.7109375" style="0" customWidth="1"/>
    <col min="23" max="23" width="15.57421875" style="0" customWidth="1"/>
    <col min="24" max="24" width="3.140625" style="0" customWidth="1"/>
    <col min="25" max="25" width="3.57421875" style="0" customWidth="1"/>
    <col min="26" max="26" width="24.28125" style="0" customWidth="1"/>
    <col min="27" max="27" width="4.7109375" style="0" customWidth="1"/>
    <col min="28" max="28" width="7.57421875" style="0" customWidth="1"/>
    <col min="29" max="30" width="4.140625" style="0" customWidth="1"/>
    <col min="31" max="31" width="7.140625" style="0" customWidth="1"/>
    <col min="32" max="32" width="5.28125" style="0" customWidth="1"/>
    <col min="33" max="33" width="5.421875" style="0" customWidth="1"/>
    <col min="34" max="34" width="4.7109375" style="0" customWidth="1"/>
    <col min="35" max="35" width="5.28125" style="0" customWidth="1"/>
    <col min="36" max="37" width="13.28125" style="0" customWidth="1"/>
    <col min="38" max="38" width="6.57421875" style="0" customWidth="1"/>
    <col min="39" max="39" width="6.421875" style="0" customWidth="1"/>
    <col min="44" max="44" width="12.7109375" style="0" customWidth="1"/>
    <col min="48" max="48" width="21.00390625" style="0" customWidth="1"/>
  </cols>
  <sheetData>
    <row r="1" spans="1:22" ht="27.75" customHeight="1">
      <c r="A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17"/>
    </row>
    <row r="2" spans="1:22" ht="27.75" customHeight="1">
      <c r="A2" s="3"/>
      <c r="B2" s="71" t="str">
        <f>+'tot-0312'!B2</f>
        <v>ANEXO I-2 a la Resolución ENRE N° 403/2008.-</v>
      </c>
      <c r="C2" s="4"/>
      <c r="D2" s="4"/>
      <c r="E2" s="4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</row>
    <row r="3" spans="1:22" ht="12.75">
      <c r="A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" s="77" customFormat="1" ht="11.25">
      <c r="A4" s="75" t="s">
        <v>24</v>
      </c>
      <c r="B4" s="154"/>
    </row>
    <row r="5" spans="1:2" s="77" customFormat="1" ht="11.25">
      <c r="A5" s="75" t="s">
        <v>25</v>
      </c>
      <c r="B5" s="154"/>
    </row>
    <row r="6" spans="6:22" ht="13.5" thickBo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23" ht="13.5" thickTop="1">
      <c r="B7" s="273"/>
      <c r="C7" s="274"/>
      <c r="D7" s="274"/>
      <c r="E7" s="274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6"/>
    </row>
    <row r="8" spans="2:23" ht="20.25">
      <c r="B8" s="277"/>
      <c r="D8" s="7" t="s">
        <v>38</v>
      </c>
      <c r="F8" s="8"/>
      <c r="G8" s="4"/>
      <c r="H8" s="4"/>
      <c r="I8" s="4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9"/>
    </row>
    <row r="9" spans="2:23" ht="20.25">
      <c r="B9" s="277"/>
      <c r="C9" s="11"/>
      <c r="D9" s="280"/>
      <c r="E9" s="11"/>
      <c r="F9" s="10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81"/>
    </row>
    <row r="10" spans="2:23" ht="20.25">
      <c r="B10" s="277"/>
      <c r="D10" s="136" t="s">
        <v>63</v>
      </c>
      <c r="E10" s="11"/>
      <c r="F10" s="1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81"/>
    </row>
    <row r="11" spans="2:23" ht="20.25">
      <c r="B11" s="277"/>
      <c r="C11" s="11"/>
      <c r="D11" s="11"/>
      <c r="E11" s="11"/>
      <c r="F11" s="230"/>
      <c r="G11" s="282"/>
      <c r="H11" s="282"/>
      <c r="I11" s="282"/>
      <c r="J11" s="282"/>
      <c r="K11" s="28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281"/>
    </row>
    <row r="12" spans="2:23" ht="16.5" customHeight="1">
      <c r="B12" s="283" t="str">
        <f>+'tot-0312'!B14</f>
        <v>Desde el 01 al 31 de diciembre de 2003</v>
      </c>
      <c r="C12" s="9"/>
      <c r="D12" s="9"/>
      <c r="E12" s="9"/>
      <c r="F12" s="4"/>
      <c r="G12" s="278"/>
      <c r="H12" s="278"/>
      <c r="I12" s="278"/>
      <c r="J12" s="4"/>
      <c r="K12" s="4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</row>
    <row r="13" spans="2:23" ht="16.5" customHeight="1" thickBot="1">
      <c r="B13" s="277"/>
      <c r="C13" s="12"/>
      <c r="D13" s="12"/>
      <c r="E13" s="1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81"/>
    </row>
    <row r="14" spans="2:23" ht="16.5" customHeight="1" thickBot="1" thickTop="1">
      <c r="B14" s="277"/>
      <c r="D14" s="459" t="s">
        <v>64</v>
      </c>
      <c r="E14" s="460">
        <v>4098984</v>
      </c>
      <c r="F14" s="461"/>
      <c r="L14" s="6"/>
      <c r="M14" s="6"/>
      <c r="N14" s="6"/>
      <c r="O14" s="6"/>
      <c r="P14" s="284"/>
      <c r="Q14" s="284"/>
      <c r="R14" s="284"/>
      <c r="S14" s="284"/>
      <c r="T14" s="5"/>
      <c r="U14" s="6"/>
      <c r="V14" s="6"/>
      <c r="W14" s="281"/>
    </row>
    <row r="15" spans="2:23" ht="16.5" customHeight="1" thickBot="1" thickTop="1">
      <c r="B15" s="277"/>
      <c r="C15" s="12"/>
      <c r="D15" s="12"/>
      <c r="E15" s="12"/>
      <c r="F15" s="6"/>
      <c r="G15" s="6"/>
      <c r="H15" s="6"/>
      <c r="I15" s="6"/>
      <c r="J15" s="28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281"/>
    </row>
    <row r="16" spans="2:23" ht="33.75" customHeight="1" thickBot="1" thickTop="1">
      <c r="B16" s="277"/>
      <c r="C16" s="142" t="s">
        <v>39</v>
      </c>
      <c r="D16" s="143" t="s">
        <v>27</v>
      </c>
      <c r="E16" s="148" t="s">
        <v>40</v>
      </c>
      <c r="F16" s="151" t="s">
        <v>41</v>
      </c>
      <c r="G16" s="145" t="s">
        <v>45</v>
      </c>
      <c r="H16" s="146" t="s">
        <v>46</v>
      </c>
      <c r="I16" s="151" t="s">
        <v>47</v>
      </c>
      <c r="J16" s="151" t="s">
        <v>48</v>
      </c>
      <c r="K16" s="151" t="s">
        <v>49</v>
      </c>
      <c r="L16" s="151" t="s">
        <v>50</v>
      </c>
      <c r="M16" s="462" t="s">
        <v>65</v>
      </c>
      <c r="N16" s="350" t="s">
        <v>54</v>
      </c>
      <c r="O16" s="470" t="s">
        <v>66</v>
      </c>
      <c r="P16" s="471"/>
      <c r="Q16" s="420" t="s">
        <v>67</v>
      </c>
      <c r="R16" s="480"/>
      <c r="S16" s="488" t="s">
        <v>55</v>
      </c>
      <c r="T16" s="493" t="s">
        <v>62</v>
      </c>
      <c r="U16" s="152" t="s">
        <v>68</v>
      </c>
      <c r="V16" s="152" t="s">
        <v>58</v>
      </c>
      <c r="W16" s="286"/>
    </row>
    <row r="17" spans="2:23" ht="16.5" customHeight="1" thickTop="1">
      <c r="B17" s="277"/>
      <c r="C17" s="332"/>
      <c r="D17" s="288"/>
      <c r="E17" s="456"/>
      <c r="F17" s="456"/>
      <c r="G17" s="288"/>
      <c r="H17" s="289"/>
      <c r="I17" s="341"/>
      <c r="J17" s="341"/>
      <c r="K17" s="341"/>
      <c r="L17" s="341"/>
      <c r="M17" s="463"/>
      <c r="N17" s="467"/>
      <c r="O17" s="472"/>
      <c r="P17" s="473"/>
      <c r="Q17" s="481"/>
      <c r="R17" s="482"/>
      <c r="S17" s="489"/>
      <c r="T17" s="494"/>
      <c r="U17" s="341"/>
      <c r="V17" s="498"/>
      <c r="W17" s="287"/>
    </row>
    <row r="18" spans="2:23" ht="16.5" customHeight="1">
      <c r="B18" s="277"/>
      <c r="C18" s="17"/>
      <c r="D18" s="18"/>
      <c r="E18" s="18"/>
      <c r="F18" s="18"/>
      <c r="G18" s="59"/>
      <c r="H18" s="454"/>
      <c r="I18" s="20"/>
      <c r="J18" s="20"/>
      <c r="K18" s="20"/>
      <c r="L18" s="20"/>
      <c r="M18" s="464"/>
      <c r="N18" s="468"/>
      <c r="O18" s="474"/>
      <c r="P18" s="475"/>
      <c r="Q18" s="483"/>
      <c r="R18" s="484"/>
      <c r="S18" s="490"/>
      <c r="T18" s="495"/>
      <c r="U18" s="20"/>
      <c r="V18" s="17"/>
      <c r="W18" s="287"/>
    </row>
    <row r="19" spans="2:23" ht="16.5" customHeight="1">
      <c r="B19" s="277"/>
      <c r="C19" s="541" t="s">
        <v>109</v>
      </c>
      <c r="D19" s="27" t="s">
        <v>2</v>
      </c>
      <c r="E19" s="27">
        <v>500</v>
      </c>
      <c r="F19" s="27">
        <v>3.6</v>
      </c>
      <c r="G19" s="653">
        <v>37960.32916666667</v>
      </c>
      <c r="H19" s="549">
        <v>37960.51388888889</v>
      </c>
      <c r="I19" s="23">
        <f aca="true" t="shared" si="0" ref="I19:I36">IF(D19="","",ROUND((H19-G19)*24,2))</f>
        <v>4.43</v>
      </c>
      <c r="J19" s="24">
        <f aca="true" t="shared" si="1" ref="J19:J36">IF(D19="","",ROUND((H19-G19)*24*60,0))</f>
        <v>266</v>
      </c>
      <c r="K19" s="553" t="s">
        <v>107</v>
      </c>
      <c r="L19" s="552" t="str">
        <f aca="true" t="shared" si="2" ref="L19:L33">IF(D19="","","--")</f>
        <v>--</v>
      </c>
      <c r="M19" s="465">
        <f aca="true" t="shared" si="3" ref="M19:M33">IF(K19="P",5*ROUND(IF(J19&gt;10,J19,10)/60,2),"--")</f>
        <v>22.15</v>
      </c>
      <c r="N19" s="352" t="str">
        <f aca="true" t="shared" si="4" ref="N19:N33">IF(K19="RP",5*L19/100*ROUND(IF(J19&gt;10,J19,10)/60,2),"--")</f>
        <v>--</v>
      </c>
      <c r="O19" s="476" t="str">
        <f aca="true" t="shared" si="5" ref="O19:O33">IF(K19="F",50*IF(J19&lt;300,ROUND(IF(J19&gt;10,J19,10)/60,2),5),"--")</f>
        <v>--</v>
      </c>
      <c r="P19" s="477" t="str">
        <f aca="true" t="shared" si="6" ref="P19:P33">IF(AND(K19="F",J19&gt;300),(ROUND(J19/60,2)-5)*10,"--")</f>
        <v>--</v>
      </c>
      <c r="Q19" s="424" t="str">
        <f aca="true" t="shared" si="7" ref="Q19:Q33">IF(K19="R",50*L19/100*IF(J19&lt;300,ROUND(IF(J19&gt;10,J19,10)/60,2),5),"--")</f>
        <v>--</v>
      </c>
      <c r="R19" s="485" t="str">
        <f aca="true" t="shared" si="8" ref="R19:R33">IF(AND(K19="R",J19&gt;300),(ROUND(J19/60,2)-5)*10*L19/100,"--")</f>
        <v>--</v>
      </c>
      <c r="S19" s="491" t="str">
        <f aca="true" t="shared" si="9" ref="S19:S33">IF(K19="RF",ROUND(J19/60,2)*10,"--")</f>
        <v>--</v>
      </c>
      <c r="T19" s="496" t="str">
        <f aca="true" t="shared" si="10" ref="T19:T33">IF(K19="R",ROUND(J19/60,2)*10*L19/100,"--")</f>
        <v>--</v>
      </c>
      <c r="U19" s="455">
        <f aca="true" t="shared" si="11" ref="U19:U36">IF(D19="","",SUM(M19:T19))</f>
        <v>22.15</v>
      </c>
      <c r="V19" s="290">
        <f aca="true" t="shared" si="12" ref="V19:V36">IF(D19="","",ROUND((U19/1500*$E$14)*F19/270.6,0))</f>
        <v>805</v>
      </c>
      <c r="W19" s="291"/>
    </row>
    <row r="20" spans="2:23" ht="16.5" customHeight="1">
      <c r="B20" s="277"/>
      <c r="C20" s="541" t="s">
        <v>110</v>
      </c>
      <c r="D20" s="38" t="s">
        <v>93</v>
      </c>
      <c r="E20" s="38">
        <v>500</v>
      </c>
      <c r="F20" s="38">
        <v>227</v>
      </c>
      <c r="G20" s="653">
        <v>37977.34930555556</v>
      </c>
      <c r="H20" s="549">
        <v>37986.99930555555</v>
      </c>
      <c r="I20" s="23">
        <f t="shared" si="0"/>
        <v>231.6</v>
      </c>
      <c r="J20" s="24">
        <f t="shared" si="1"/>
        <v>13896</v>
      </c>
      <c r="K20" s="553" t="s">
        <v>105</v>
      </c>
      <c r="L20" s="552" t="str">
        <f t="shared" si="2"/>
        <v>--</v>
      </c>
      <c r="M20" s="465" t="str">
        <f t="shared" si="3"/>
        <v>--</v>
      </c>
      <c r="N20" s="352" t="str">
        <f t="shared" si="4"/>
        <v>--</v>
      </c>
      <c r="O20" s="476">
        <f t="shared" si="5"/>
        <v>250</v>
      </c>
      <c r="P20" s="477">
        <f t="shared" si="6"/>
        <v>2266</v>
      </c>
      <c r="Q20" s="424" t="str">
        <f t="shared" si="7"/>
        <v>--</v>
      </c>
      <c r="R20" s="485" t="str">
        <f t="shared" si="8"/>
        <v>--</v>
      </c>
      <c r="S20" s="491" t="str">
        <f t="shared" si="9"/>
        <v>--</v>
      </c>
      <c r="T20" s="496" t="str">
        <f t="shared" si="10"/>
        <v>--</v>
      </c>
      <c r="U20" s="455">
        <f t="shared" si="11"/>
        <v>2516</v>
      </c>
      <c r="V20" s="290">
        <v>0</v>
      </c>
      <c r="W20" s="291"/>
    </row>
    <row r="21" spans="2:23" ht="16.5" customHeight="1">
      <c r="B21" s="277"/>
      <c r="C21" s="541" t="s">
        <v>111</v>
      </c>
      <c r="D21" s="38" t="s">
        <v>94</v>
      </c>
      <c r="E21" s="38">
        <v>500</v>
      </c>
      <c r="F21" s="38">
        <v>40</v>
      </c>
      <c r="G21" s="653">
        <v>37977.36666666667</v>
      </c>
      <c r="H21" s="549">
        <v>37977.39444444444</v>
      </c>
      <c r="I21" s="23">
        <f t="shared" si="0"/>
        <v>0.67</v>
      </c>
      <c r="J21" s="24">
        <f t="shared" si="1"/>
        <v>40</v>
      </c>
      <c r="K21" s="553" t="s">
        <v>105</v>
      </c>
      <c r="L21" s="552" t="str">
        <f t="shared" si="2"/>
        <v>--</v>
      </c>
      <c r="M21" s="465" t="str">
        <f t="shared" si="3"/>
        <v>--</v>
      </c>
      <c r="N21" s="352" t="str">
        <f t="shared" si="4"/>
        <v>--</v>
      </c>
      <c r="O21" s="476">
        <f t="shared" si="5"/>
        <v>33.5</v>
      </c>
      <c r="P21" s="477" t="str">
        <f t="shared" si="6"/>
        <v>--</v>
      </c>
      <c r="Q21" s="424" t="str">
        <f t="shared" si="7"/>
        <v>--</v>
      </c>
      <c r="R21" s="485" t="str">
        <f t="shared" si="8"/>
        <v>--</v>
      </c>
      <c r="S21" s="491" t="str">
        <f t="shared" si="9"/>
        <v>--</v>
      </c>
      <c r="T21" s="496" t="str">
        <f t="shared" si="10"/>
        <v>--</v>
      </c>
      <c r="U21" s="455">
        <f t="shared" si="11"/>
        <v>33.5</v>
      </c>
      <c r="V21" s="290">
        <f t="shared" si="12"/>
        <v>13532</v>
      </c>
      <c r="W21" s="291"/>
    </row>
    <row r="22" spans="2:23" ht="16.5" customHeight="1">
      <c r="B22" s="277"/>
      <c r="C22" s="541"/>
      <c r="D22" s="565"/>
      <c r="E22" s="566"/>
      <c r="F22" s="566"/>
      <c r="G22" s="547"/>
      <c r="H22" s="549"/>
      <c r="I22" s="23">
        <f t="shared" si="0"/>
      </c>
      <c r="J22" s="24">
        <f t="shared" si="1"/>
      </c>
      <c r="K22" s="553"/>
      <c r="L22" s="552">
        <f t="shared" si="2"/>
      </c>
      <c r="M22" s="465" t="str">
        <f t="shared" si="3"/>
        <v>--</v>
      </c>
      <c r="N22" s="352" t="str">
        <f t="shared" si="4"/>
        <v>--</v>
      </c>
      <c r="O22" s="476" t="str">
        <f t="shared" si="5"/>
        <v>--</v>
      </c>
      <c r="P22" s="477" t="str">
        <f t="shared" si="6"/>
        <v>--</v>
      </c>
      <c r="Q22" s="424" t="str">
        <f t="shared" si="7"/>
        <v>--</v>
      </c>
      <c r="R22" s="485" t="str">
        <f t="shared" si="8"/>
        <v>--</v>
      </c>
      <c r="S22" s="491" t="str">
        <f t="shared" si="9"/>
        <v>--</v>
      </c>
      <c r="T22" s="496" t="str">
        <f t="shared" si="10"/>
        <v>--</v>
      </c>
      <c r="U22" s="455">
        <f t="shared" si="11"/>
      </c>
      <c r="V22" s="290">
        <f t="shared" si="12"/>
      </c>
      <c r="W22" s="291"/>
    </row>
    <row r="23" spans="2:23" ht="16.5" customHeight="1">
      <c r="B23" s="277"/>
      <c r="C23" s="541"/>
      <c r="D23" s="565"/>
      <c r="E23" s="566"/>
      <c r="F23" s="566"/>
      <c r="G23" s="547"/>
      <c r="H23" s="549"/>
      <c r="I23" s="23">
        <f t="shared" si="0"/>
      </c>
      <c r="J23" s="24">
        <f t="shared" si="1"/>
      </c>
      <c r="K23" s="553"/>
      <c r="L23" s="552">
        <f t="shared" si="2"/>
      </c>
      <c r="M23" s="465" t="str">
        <f t="shared" si="3"/>
        <v>--</v>
      </c>
      <c r="N23" s="352" t="str">
        <f t="shared" si="4"/>
        <v>--</v>
      </c>
      <c r="O23" s="476" t="str">
        <f t="shared" si="5"/>
        <v>--</v>
      </c>
      <c r="P23" s="477" t="str">
        <f t="shared" si="6"/>
        <v>--</v>
      </c>
      <c r="Q23" s="424" t="str">
        <f t="shared" si="7"/>
        <v>--</v>
      </c>
      <c r="R23" s="485" t="str">
        <f t="shared" si="8"/>
        <v>--</v>
      </c>
      <c r="S23" s="491" t="str">
        <f t="shared" si="9"/>
        <v>--</v>
      </c>
      <c r="T23" s="496" t="str">
        <f t="shared" si="10"/>
        <v>--</v>
      </c>
      <c r="U23" s="455">
        <f t="shared" si="11"/>
      </c>
      <c r="V23" s="290">
        <f t="shared" si="12"/>
      </c>
      <c r="W23" s="291"/>
    </row>
    <row r="24" spans="2:23" ht="16.5" customHeight="1">
      <c r="B24" s="277"/>
      <c r="C24" s="541"/>
      <c r="D24" s="565"/>
      <c r="E24" s="566"/>
      <c r="F24" s="566"/>
      <c r="G24" s="547"/>
      <c r="H24" s="549"/>
      <c r="I24" s="23">
        <f t="shared" si="0"/>
      </c>
      <c r="J24" s="24">
        <f t="shared" si="1"/>
      </c>
      <c r="K24" s="553"/>
      <c r="L24" s="552">
        <f t="shared" si="2"/>
      </c>
      <c r="M24" s="465" t="str">
        <f t="shared" si="3"/>
        <v>--</v>
      </c>
      <c r="N24" s="352" t="str">
        <f t="shared" si="4"/>
        <v>--</v>
      </c>
      <c r="O24" s="476" t="str">
        <f t="shared" si="5"/>
        <v>--</v>
      </c>
      <c r="P24" s="477" t="str">
        <f t="shared" si="6"/>
        <v>--</v>
      </c>
      <c r="Q24" s="424" t="str">
        <f t="shared" si="7"/>
        <v>--</v>
      </c>
      <c r="R24" s="485" t="str">
        <f t="shared" si="8"/>
        <v>--</v>
      </c>
      <c r="S24" s="491" t="str">
        <f t="shared" si="9"/>
        <v>--</v>
      </c>
      <c r="T24" s="496" t="str">
        <f t="shared" si="10"/>
        <v>--</v>
      </c>
      <c r="U24" s="455">
        <f t="shared" si="11"/>
      </c>
      <c r="V24" s="290">
        <f t="shared" si="12"/>
      </c>
      <c r="W24" s="291"/>
    </row>
    <row r="25" spans="2:23" ht="16.5" customHeight="1">
      <c r="B25" s="277"/>
      <c r="C25" s="541"/>
      <c r="D25" s="565"/>
      <c r="E25" s="566"/>
      <c r="F25" s="566"/>
      <c r="G25" s="547"/>
      <c r="H25" s="549"/>
      <c r="I25" s="23">
        <f t="shared" si="0"/>
      </c>
      <c r="J25" s="24">
        <f t="shared" si="1"/>
      </c>
      <c r="K25" s="553"/>
      <c r="L25" s="552">
        <f t="shared" si="2"/>
      </c>
      <c r="M25" s="465" t="str">
        <f t="shared" si="3"/>
        <v>--</v>
      </c>
      <c r="N25" s="352" t="str">
        <f t="shared" si="4"/>
        <v>--</v>
      </c>
      <c r="O25" s="476" t="str">
        <f t="shared" si="5"/>
        <v>--</v>
      </c>
      <c r="P25" s="477" t="str">
        <f t="shared" si="6"/>
        <v>--</v>
      </c>
      <c r="Q25" s="424" t="str">
        <f t="shared" si="7"/>
        <v>--</v>
      </c>
      <c r="R25" s="485" t="str">
        <f t="shared" si="8"/>
        <v>--</v>
      </c>
      <c r="S25" s="491" t="str">
        <f t="shared" si="9"/>
        <v>--</v>
      </c>
      <c r="T25" s="496" t="str">
        <f t="shared" si="10"/>
        <v>--</v>
      </c>
      <c r="U25" s="455">
        <f t="shared" si="11"/>
      </c>
      <c r="V25" s="290">
        <f t="shared" si="12"/>
      </c>
      <c r="W25" s="291"/>
    </row>
    <row r="26" spans="2:23" ht="16.5" customHeight="1">
      <c r="B26" s="277"/>
      <c r="C26" s="541"/>
      <c r="D26" s="565"/>
      <c r="E26" s="566"/>
      <c r="F26" s="566"/>
      <c r="G26" s="547"/>
      <c r="H26" s="549"/>
      <c r="I26" s="23">
        <f t="shared" si="0"/>
      </c>
      <c r="J26" s="24">
        <f t="shared" si="1"/>
      </c>
      <c r="K26" s="553"/>
      <c r="L26" s="552">
        <f t="shared" si="2"/>
      </c>
      <c r="M26" s="465" t="str">
        <f t="shared" si="3"/>
        <v>--</v>
      </c>
      <c r="N26" s="352" t="str">
        <f t="shared" si="4"/>
        <v>--</v>
      </c>
      <c r="O26" s="476" t="str">
        <f t="shared" si="5"/>
        <v>--</v>
      </c>
      <c r="P26" s="477" t="str">
        <f t="shared" si="6"/>
        <v>--</v>
      </c>
      <c r="Q26" s="424" t="str">
        <f t="shared" si="7"/>
        <v>--</v>
      </c>
      <c r="R26" s="485" t="str">
        <f t="shared" si="8"/>
        <v>--</v>
      </c>
      <c r="S26" s="491" t="str">
        <f t="shared" si="9"/>
        <v>--</v>
      </c>
      <c r="T26" s="496" t="str">
        <f t="shared" si="10"/>
        <v>--</v>
      </c>
      <c r="U26" s="455">
        <f t="shared" si="11"/>
      </c>
      <c r="V26" s="290">
        <f t="shared" si="12"/>
      </c>
      <c r="W26" s="291"/>
    </row>
    <row r="27" spans="2:23" ht="16.5" customHeight="1">
      <c r="B27" s="277"/>
      <c r="C27" s="541"/>
      <c r="D27" s="566"/>
      <c r="E27" s="566"/>
      <c r="F27" s="566"/>
      <c r="G27" s="547"/>
      <c r="H27" s="549"/>
      <c r="I27" s="23">
        <f t="shared" si="0"/>
      </c>
      <c r="J27" s="24">
        <f t="shared" si="1"/>
      </c>
      <c r="K27" s="553"/>
      <c r="L27" s="552">
        <f t="shared" si="2"/>
      </c>
      <c r="M27" s="465" t="str">
        <f t="shared" si="3"/>
        <v>--</v>
      </c>
      <c r="N27" s="352" t="str">
        <f t="shared" si="4"/>
        <v>--</v>
      </c>
      <c r="O27" s="476" t="str">
        <f t="shared" si="5"/>
        <v>--</v>
      </c>
      <c r="P27" s="477" t="str">
        <f t="shared" si="6"/>
        <v>--</v>
      </c>
      <c r="Q27" s="424" t="str">
        <f t="shared" si="7"/>
        <v>--</v>
      </c>
      <c r="R27" s="485" t="str">
        <f t="shared" si="8"/>
        <v>--</v>
      </c>
      <c r="S27" s="491" t="str">
        <f t="shared" si="9"/>
        <v>--</v>
      </c>
      <c r="T27" s="496" t="str">
        <f t="shared" si="10"/>
        <v>--</v>
      </c>
      <c r="U27" s="455">
        <f t="shared" si="11"/>
      </c>
      <c r="V27" s="290">
        <f t="shared" si="12"/>
      </c>
      <c r="W27" s="291"/>
    </row>
    <row r="28" spans="2:23" ht="16.5" customHeight="1">
      <c r="B28" s="277"/>
      <c r="C28" s="541"/>
      <c r="D28" s="566"/>
      <c r="E28" s="566"/>
      <c r="F28" s="566"/>
      <c r="G28" s="547"/>
      <c r="H28" s="549"/>
      <c r="I28" s="23">
        <f t="shared" si="0"/>
      </c>
      <c r="J28" s="24">
        <f t="shared" si="1"/>
      </c>
      <c r="K28" s="553"/>
      <c r="L28" s="552">
        <f t="shared" si="2"/>
      </c>
      <c r="M28" s="465" t="str">
        <f t="shared" si="3"/>
        <v>--</v>
      </c>
      <c r="N28" s="352" t="str">
        <f t="shared" si="4"/>
        <v>--</v>
      </c>
      <c r="O28" s="476" t="str">
        <f t="shared" si="5"/>
        <v>--</v>
      </c>
      <c r="P28" s="477" t="str">
        <f t="shared" si="6"/>
        <v>--</v>
      </c>
      <c r="Q28" s="424" t="str">
        <f t="shared" si="7"/>
        <v>--</v>
      </c>
      <c r="R28" s="485" t="str">
        <f t="shared" si="8"/>
        <v>--</v>
      </c>
      <c r="S28" s="491" t="str">
        <f t="shared" si="9"/>
        <v>--</v>
      </c>
      <c r="T28" s="496" t="str">
        <f t="shared" si="10"/>
        <v>--</v>
      </c>
      <c r="U28" s="455">
        <f t="shared" si="11"/>
      </c>
      <c r="V28" s="290">
        <f t="shared" si="12"/>
      </c>
      <c r="W28" s="291"/>
    </row>
    <row r="29" spans="2:23" ht="16.5" customHeight="1">
      <c r="B29" s="277"/>
      <c r="C29" s="541"/>
      <c r="D29" s="566"/>
      <c r="E29" s="566"/>
      <c r="F29" s="566"/>
      <c r="G29" s="547"/>
      <c r="H29" s="549"/>
      <c r="I29" s="23">
        <f t="shared" si="0"/>
      </c>
      <c r="J29" s="24">
        <f t="shared" si="1"/>
      </c>
      <c r="K29" s="553"/>
      <c r="L29" s="552">
        <f t="shared" si="2"/>
      </c>
      <c r="M29" s="465" t="str">
        <f t="shared" si="3"/>
        <v>--</v>
      </c>
      <c r="N29" s="352" t="str">
        <f t="shared" si="4"/>
        <v>--</v>
      </c>
      <c r="O29" s="476" t="str">
        <f t="shared" si="5"/>
        <v>--</v>
      </c>
      <c r="P29" s="477" t="str">
        <f t="shared" si="6"/>
        <v>--</v>
      </c>
      <c r="Q29" s="424" t="str">
        <f t="shared" si="7"/>
        <v>--</v>
      </c>
      <c r="R29" s="485" t="str">
        <f t="shared" si="8"/>
        <v>--</v>
      </c>
      <c r="S29" s="491" t="str">
        <f t="shared" si="9"/>
        <v>--</v>
      </c>
      <c r="T29" s="496" t="str">
        <f t="shared" si="10"/>
        <v>--</v>
      </c>
      <c r="U29" s="455">
        <f t="shared" si="11"/>
      </c>
      <c r="V29" s="290">
        <f t="shared" si="12"/>
      </c>
      <c r="W29" s="291"/>
    </row>
    <row r="30" spans="2:23" ht="16.5" customHeight="1">
      <c r="B30" s="277"/>
      <c r="C30" s="541"/>
      <c r="D30" s="566"/>
      <c r="E30" s="566"/>
      <c r="F30" s="566"/>
      <c r="G30" s="547"/>
      <c r="H30" s="549"/>
      <c r="I30" s="23">
        <f t="shared" si="0"/>
      </c>
      <c r="J30" s="24">
        <f t="shared" si="1"/>
      </c>
      <c r="K30" s="553"/>
      <c r="L30" s="552">
        <f t="shared" si="2"/>
      </c>
      <c r="M30" s="465" t="str">
        <f t="shared" si="3"/>
        <v>--</v>
      </c>
      <c r="N30" s="352" t="str">
        <f t="shared" si="4"/>
        <v>--</v>
      </c>
      <c r="O30" s="476" t="str">
        <f t="shared" si="5"/>
        <v>--</v>
      </c>
      <c r="P30" s="477" t="str">
        <f t="shared" si="6"/>
        <v>--</v>
      </c>
      <c r="Q30" s="424" t="str">
        <f t="shared" si="7"/>
        <v>--</v>
      </c>
      <c r="R30" s="485" t="str">
        <f t="shared" si="8"/>
        <v>--</v>
      </c>
      <c r="S30" s="491" t="str">
        <f t="shared" si="9"/>
        <v>--</v>
      </c>
      <c r="T30" s="496" t="str">
        <f t="shared" si="10"/>
        <v>--</v>
      </c>
      <c r="U30" s="455">
        <f t="shared" si="11"/>
      </c>
      <c r="V30" s="290">
        <f t="shared" si="12"/>
      </c>
      <c r="W30" s="291"/>
    </row>
    <row r="31" spans="2:23" ht="16.5" customHeight="1">
      <c r="B31" s="277"/>
      <c r="C31" s="541"/>
      <c r="D31" s="566"/>
      <c r="E31" s="566"/>
      <c r="F31" s="566"/>
      <c r="G31" s="547"/>
      <c r="H31" s="549"/>
      <c r="I31" s="23">
        <f t="shared" si="0"/>
      </c>
      <c r="J31" s="24">
        <f t="shared" si="1"/>
      </c>
      <c r="K31" s="553"/>
      <c r="L31" s="552">
        <f t="shared" si="2"/>
      </c>
      <c r="M31" s="465" t="str">
        <f t="shared" si="3"/>
        <v>--</v>
      </c>
      <c r="N31" s="352" t="str">
        <f t="shared" si="4"/>
        <v>--</v>
      </c>
      <c r="O31" s="476" t="str">
        <f t="shared" si="5"/>
        <v>--</v>
      </c>
      <c r="P31" s="477" t="str">
        <f t="shared" si="6"/>
        <v>--</v>
      </c>
      <c r="Q31" s="424" t="str">
        <f t="shared" si="7"/>
        <v>--</v>
      </c>
      <c r="R31" s="485" t="str">
        <f t="shared" si="8"/>
        <v>--</v>
      </c>
      <c r="S31" s="491" t="str">
        <f t="shared" si="9"/>
        <v>--</v>
      </c>
      <c r="T31" s="496" t="str">
        <f t="shared" si="10"/>
        <v>--</v>
      </c>
      <c r="U31" s="455">
        <f t="shared" si="11"/>
      </c>
      <c r="V31" s="290">
        <f t="shared" si="12"/>
      </c>
      <c r="W31" s="291"/>
    </row>
    <row r="32" spans="2:23" ht="16.5" customHeight="1">
      <c r="B32" s="277"/>
      <c r="C32" s="541"/>
      <c r="D32" s="566"/>
      <c r="E32" s="566"/>
      <c r="F32" s="566"/>
      <c r="G32" s="547"/>
      <c r="H32" s="549"/>
      <c r="I32" s="23">
        <f t="shared" si="0"/>
      </c>
      <c r="J32" s="24">
        <f t="shared" si="1"/>
      </c>
      <c r="K32" s="553"/>
      <c r="L32" s="552">
        <f t="shared" si="2"/>
      </c>
      <c r="M32" s="465" t="str">
        <f t="shared" si="3"/>
        <v>--</v>
      </c>
      <c r="N32" s="352" t="str">
        <f t="shared" si="4"/>
        <v>--</v>
      </c>
      <c r="O32" s="476" t="str">
        <f t="shared" si="5"/>
        <v>--</v>
      </c>
      <c r="P32" s="477" t="str">
        <f t="shared" si="6"/>
        <v>--</v>
      </c>
      <c r="Q32" s="424" t="str">
        <f t="shared" si="7"/>
        <v>--</v>
      </c>
      <c r="R32" s="485" t="str">
        <f t="shared" si="8"/>
        <v>--</v>
      </c>
      <c r="S32" s="491" t="str">
        <f t="shared" si="9"/>
        <v>--</v>
      </c>
      <c r="T32" s="496" t="str">
        <f t="shared" si="10"/>
        <v>--</v>
      </c>
      <c r="U32" s="455">
        <f t="shared" si="11"/>
      </c>
      <c r="V32" s="290">
        <f t="shared" si="12"/>
      </c>
      <c r="W32" s="291"/>
    </row>
    <row r="33" spans="2:23" ht="16.5" customHeight="1">
      <c r="B33" s="277"/>
      <c r="C33" s="541"/>
      <c r="D33" s="566"/>
      <c r="E33" s="566"/>
      <c r="F33" s="566"/>
      <c r="G33" s="547"/>
      <c r="H33" s="549"/>
      <c r="I33" s="23">
        <f t="shared" si="0"/>
      </c>
      <c r="J33" s="24">
        <f t="shared" si="1"/>
      </c>
      <c r="K33" s="553"/>
      <c r="L33" s="552">
        <f t="shared" si="2"/>
      </c>
      <c r="M33" s="465" t="str">
        <f t="shared" si="3"/>
        <v>--</v>
      </c>
      <c r="N33" s="352" t="str">
        <f t="shared" si="4"/>
        <v>--</v>
      </c>
      <c r="O33" s="476" t="str">
        <f t="shared" si="5"/>
        <v>--</v>
      </c>
      <c r="P33" s="477" t="str">
        <f t="shared" si="6"/>
        <v>--</v>
      </c>
      <c r="Q33" s="424" t="str">
        <f t="shared" si="7"/>
        <v>--</v>
      </c>
      <c r="R33" s="485" t="str">
        <f t="shared" si="8"/>
        <v>--</v>
      </c>
      <c r="S33" s="491" t="str">
        <f t="shared" si="9"/>
        <v>--</v>
      </c>
      <c r="T33" s="496" t="str">
        <f t="shared" si="10"/>
        <v>--</v>
      </c>
      <c r="U33" s="455">
        <f t="shared" si="11"/>
      </c>
      <c r="V33" s="290">
        <f t="shared" si="12"/>
      </c>
      <c r="W33" s="291"/>
    </row>
    <row r="34" spans="2:23" ht="16.5" customHeight="1">
      <c r="B34" s="277"/>
      <c r="C34" s="541"/>
      <c r="D34" s="566"/>
      <c r="E34" s="566"/>
      <c r="F34" s="566"/>
      <c r="G34" s="547"/>
      <c r="H34" s="549"/>
      <c r="I34" s="23">
        <f t="shared" si="0"/>
      </c>
      <c r="J34" s="24">
        <f t="shared" si="1"/>
      </c>
      <c r="K34" s="553"/>
      <c r="L34" s="552">
        <f>IF(D34="","","--")</f>
      </c>
      <c r="M34" s="465" t="str">
        <f>IF(K34="P",5*ROUND(IF(J34&gt;10,J34,10)/60,2),"--")</f>
        <v>--</v>
      </c>
      <c r="N34" s="352" t="str">
        <f>IF(K34="RP",5*L34/100*ROUND(IF(J34&gt;10,J34,10)/60,2),"--")</f>
        <v>--</v>
      </c>
      <c r="O34" s="476" t="str">
        <f>IF(K34="F",50*IF(J34&lt;300,ROUND(IF(J34&gt;10,J34,10)/60,2),5),"--")</f>
        <v>--</v>
      </c>
      <c r="P34" s="477" t="str">
        <f>IF(AND(K34="F",J34&gt;300),(ROUND(J34/60,2)-5)*10,"--")</f>
        <v>--</v>
      </c>
      <c r="Q34" s="424" t="str">
        <f>IF(K34="R",50*L34/100*IF(J34&lt;300,ROUND(IF(J34&gt;10,J34,10)/60,2),5),"--")</f>
        <v>--</v>
      </c>
      <c r="R34" s="485" t="str">
        <f>IF(AND(K34="R",J34&gt;300),(ROUND(J34/60,2)-5)*10*L34/100,"--")</f>
        <v>--</v>
      </c>
      <c r="S34" s="491" t="str">
        <f>IF(K34="RF",ROUND(J34/60,2)*10,"--")</f>
        <v>--</v>
      </c>
      <c r="T34" s="496" t="str">
        <f>IF(K34="R",ROUND(J34/60,2)*10*L34/100,"--")</f>
        <v>--</v>
      </c>
      <c r="U34" s="455">
        <f t="shared" si="11"/>
      </c>
      <c r="V34" s="290">
        <f t="shared" si="12"/>
      </c>
      <c r="W34" s="291"/>
    </row>
    <row r="35" spans="2:23" ht="16.5" customHeight="1">
      <c r="B35" s="277"/>
      <c r="C35" s="541"/>
      <c r="D35" s="566"/>
      <c r="E35" s="566"/>
      <c r="F35" s="566"/>
      <c r="G35" s="547"/>
      <c r="H35" s="549"/>
      <c r="I35" s="23">
        <f t="shared" si="0"/>
      </c>
      <c r="J35" s="24">
        <f t="shared" si="1"/>
      </c>
      <c r="K35" s="553"/>
      <c r="L35" s="552">
        <f>IF(D35="","","--")</f>
      </c>
      <c r="M35" s="465" t="str">
        <f>IF(K35="P",5*ROUND(IF(J35&gt;10,J35,10)/60,2),"--")</f>
        <v>--</v>
      </c>
      <c r="N35" s="352" t="str">
        <f>IF(K35="RP",5*L35/100*ROUND(IF(J35&gt;10,J35,10)/60,2),"--")</f>
        <v>--</v>
      </c>
      <c r="O35" s="476" t="str">
        <f>IF(K35="F",50*IF(J35&lt;300,ROUND(IF(J35&gt;10,J35,10)/60,2),5),"--")</f>
        <v>--</v>
      </c>
      <c r="P35" s="477" t="str">
        <f>IF(AND(K35="F",J35&gt;300),(ROUND(J35/60,2)-5)*10,"--")</f>
        <v>--</v>
      </c>
      <c r="Q35" s="424" t="str">
        <f>IF(K35="R",50*L35/100*IF(J35&lt;300,ROUND(IF(J35&gt;10,J35,10)/60,2),5),"--")</f>
        <v>--</v>
      </c>
      <c r="R35" s="485" t="str">
        <f>IF(AND(K35="R",J35&gt;300),(ROUND(J35/60,2)-5)*10*L35/100,"--")</f>
        <v>--</v>
      </c>
      <c r="S35" s="491" t="str">
        <f>IF(K35="RF",ROUND(J35/60,2)*10,"--")</f>
        <v>--</v>
      </c>
      <c r="T35" s="496" t="str">
        <f>IF(K35="R",ROUND(J35/60,2)*10*L35/100,"--")</f>
        <v>--</v>
      </c>
      <c r="U35" s="455">
        <f t="shared" si="11"/>
      </c>
      <c r="V35" s="290">
        <f t="shared" si="12"/>
      </c>
      <c r="W35" s="291"/>
    </row>
    <row r="36" spans="2:23" ht="16.5" customHeight="1">
      <c r="B36" s="277"/>
      <c r="C36" s="541"/>
      <c r="D36" s="566"/>
      <c r="E36" s="566"/>
      <c r="F36" s="566"/>
      <c r="G36" s="547"/>
      <c r="H36" s="549"/>
      <c r="I36" s="23">
        <f t="shared" si="0"/>
      </c>
      <c r="J36" s="24">
        <f t="shared" si="1"/>
      </c>
      <c r="K36" s="553"/>
      <c r="L36" s="552">
        <f>IF(D36="","","--")</f>
      </c>
      <c r="M36" s="465" t="str">
        <f>IF(K36="P",5*ROUND(IF(J36&gt;10,J36,10)/60,2),"--")</f>
        <v>--</v>
      </c>
      <c r="N36" s="352" t="str">
        <f>IF(K36="RP",5*L36/100*ROUND(IF(J36&gt;10,J36,10)/60,2),"--")</f>
        <v>--</v>
      </c>
      <c r="O36" s="476" t="str">
        <f>IF(K36="F",50*IF(J36&lt;300,ROUND(IF(J36&gt;10,J36,10)/60,2),5),"--")</f>
        <v>--</v>
      </c>
      <c r="P36" s="477" t="str">
        <f>IF(AND(K36="F",J36&gt;300),(ROUND(J36/60,2)-5)*10,"--")</f>
        <v>--</v>
      </c>
      <c r="Q36" s="424" t="str">
        <f>IF(K36="R",50*L36/100*IF(J36&lt;300,ROUND(IF(J36&gt;10,J36,10)/60,2),5),"--")</f>
        <v>--</v>
      </c>
      <c r="R36" s="485" t="str">
        <f>IF(AND(K36="R",J36&gt;300),(ROUND(J36/60,2)-5)*10*L36/100,"--")</f>
        <v>--</v>
      </c>
      <c r="S36" s="491" t="str">
        <f>IF(K36="RF",ROUND(J36/60,2)*10,"--")</f>
        <v>--</v>
      </c>
      <c r="T36" s="496" t="str">
        <f>IF(K36="R",ROUND(J36/60,2)*10*L36/100,"--")</f>
        <v>--</v>
      </c>
      <c r="U36" s="455">
        <f t="shared" si="11"/>
      </c>
      <c r="V36" s="290">
        <f t="shared" si="12"/>
      </c>
      <c r="W36" s="291"/>
    </row>
    <row r="37" spans="2:23" ht="16.5" customHeight="1" thickBot="1">
      <c r="B37" s="277"/>
      <c r="C37" s="544"/>
      <c r="D37" s="567"/>
      <c r="E37" s="567"/>
      <c r="F37" s="567"/>
      <c r="G37" s="550"/>
      <c r="H37" s="550"/>
      <c r="I37" s="292"/>
      <c r="J37" s="292"/>
      <c r="K37" s="550"/>
      <c r="L37" s="559"/>
      <c r="M37" s="466"/>
      <c r="N37" s="469"/>
      <c r="O37" s="478"/>
      <c r="P37" s="479"/>
      <c r="Q37" s="486"/>
      <c r="R37" s="487"/>
      <c r="S37" s="492"/>
      <c r="T37" s="497"/>
      <c r="U37" s="539"/>
      <c r="V37" s="538"/>
      <c r="W37" s="291"/>
    </row>
    <row r="38" spans="2:23" ht="16.5" customHeight="1" thickBot="1" thickTop="1">
      <c r="B38" s="277"/>
      <c r="C38" s="246" t="s">
        <v>59</v>
      </c>
      <c r="D38" s="247" t="s">
        <v>145</v>
      </c>
      <c r="E38" s="30"/>
      <c r="F38" s="33"/>
      <c r="G38" s="33"/>
      <c r="H38" s="33"/>
      <c r="I38" s="33"/>
      <c r="J38" s="33"/>
      <c r="K38" s="293"/>
      <c r="L38" s="293"/>
      <c r="M38" s="293">
        <f aca="true" t="shared" si="13" ref="M38:S38">SUM(N17:N37)</f>
        <v>0</v>
      </c>
      <c r="N38" s="293">
        <f t="shared" si="13"/>
        <v>283.5</v>
      </c>
      <c r="O38" s="293">
        <f t="shared" si="13"/>
        <v>2266</v>
      </c>
      <c r="P38" s="293">
        <f t="shared" si="13"/>
        <v>0</v>
      </c>
      <c r="Q38" s="293">
        <f t="shared" si="13"/>
        <v>0</v>
      </c>
      <c r="R38" s="293">
        <f t="shared" si="13"/>
        <v>0</v>
      </c>
      <c r="S38" s="293">
        <f t="shared" si="13"/>
        <v>0</v>
      </c>
      <c r="T38" s="293"/>
      <c r="U38" s="293"/>
      <c r="V38" s="57">
        <f>SUM(V17:V37)</f>
        <v>14337</v>
      </c>
      <c r="W38" s="537"/>
    </row>
    <row r="39" spans="2:23" s="294" customFormat="1" ht="9.75" thickTop="1">
      <c r="B39" s="295"/>
      <c r="C39" s="248"/>
      <c r="D39" s="250" t="s">
        <v>146</v>
      </c>
      <c r="E39" s="249"/>
      <c r="F39" s="256"/>
      <c r="G39" s="256"/>
      <c r="H39" s="256"/>
      <c r="I39" s="256"/>
      <c r="J39" s="256"/>
      <c r="K39" s="296"/>
      <c r="L39" s="258"/>
      <c r="M39" s="258"/>
      <c r="N39" s="297"/>
      <c r="O39" s="297"/>
      <c r="P39" s="298"/>
      <c r="Q39" s="298"/>
      <c r="R39" s="298"/>
      <c r="S39" s="298"/>
      <c r="T39" s="299"/>
      <c r="U39" s="269"/>
      <c r="V39" s="269"/>
      <c r="W39" s="300"/>
    </row>
    <row r="40" spans="2:23" ht="16.5" customHeight="1" thickBot="1">
      <c r="B40" s="301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3"/>
      <c r="U40" s="302"/>
      <c r="V40" s="302"/>
      <c r="W40" s="304"/>
    </row>
    <row r="41" spans="2:22" ht="16.5" customHeight="1" thickTop="1">
      <c r="B41" s="12"/>
      <c r="T41" s="3"/>
      <c r="V41" s="12"/>
    </row>
    <row r="42" ht="16.5" customHeight="1">
      <c r="T42" s="3"/>
    </row>
    <row r="43" ht="16.5" customHeight="1">
      <c r="T43" s="3"/>
    </row>
    <row r="44" ht="12.75">
      <c r="T44" s="3"/>
    </row>
    <row r="45" ht="12.75">
      <c r="T45" s="3"/>
    </row>
    <row r="46" ht="12.75">
      <c r="T46" s="3"/>
    </row>
    <row r="47" ht="12.75">
      <c r="T47" s="3"/>
    </row>
    <row r="48" ht="12.75">
      <c r="T48" s="3"/>
    </row>
    <row r="49" ht="12.75">
      <c r="T49" s="3"/>
    </row>
    <row r="50" ht="12.75">
      <c r="T50" s="3"/>
    </row>
    <row r="51" ht="12.75">
      <c r="T51" s="3"/>
    </row>
    <row r="52" ht="12.75">
      <c r="T52" s="3"/>
    </row>
    <row r="53" ht="12.75">
      <c r="T53" s="3"/>
    </row>
    <row r="54" ht="12.75">
      <c r="T54" s="3"/>
    </row>
    <row r="55" ht="12.75">
      <c r="T55" s="3"/>
    </row>
    <row r="56" ht="12.75">
      <c r="T56" s="3"/>
    </row>
    <row r="57" ht="12.75">
      <c r="T57" s="3"/>
    </row>
    <row r="58" ht="12.75">
      <c r="T58" s="3"/>
    </row>
    <row r="59" ht="12.75">
      <c r="T59" s="3"/>
    </row>
    <row r="60" ht="12.75">
      <c r="T60" s="3"/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  <row r="66" ht="12.75">
      <c r="T66" s="3"/>
    </row>
    <row r="67" ht="12.75">
      <c r="T67" s="3"/>
    </row>
    <row r="68" ht="12.75">
      <c r="T68" s="3"/>
    </row>
    <row r="69" ht="12.75">
      <c r="T69" s="3"/>
    </row>
    <row r="70" ht="12.75">
      <c r="T70" s="3"/>
    </row>
    <row r="71" ht="12.75">
      <c r="T71" s="3"/>
    </row>
    <row r="72" ht="12.75"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  <row r="83" ht="12.75">
      <c r="T83" s="3"/>
    </row>
    <row r="84" ht="12.75">
      <c r="T84" s="3"/>
    </row>
    <row r="85" ht="12.75">
      <c r="T85" s="3"/>
    </row>
    <row r="86" ht="12.75">
      <c r="T86" s="3"/>
    </row>
    <row r="87" ht="12.75">
      <c r="T87" s="3"/>
    </row>
    <row r="88" ht="12.75">
      <c r="T88" s="3"/>
    </row>
    <row r="89" ht="12.75">
      <c r="T89" s="3"/>
    </row>
    <row r="90" ht="12.75">
      <c r="T90" s="3"/>
    </row>
    <row r="91" ht="12.75">
      <c r="T91" s="3"/>
    </row>
    <row r="92" ht="12.75">
      <c r="T92" s="3"/>
    </row>
    <row r="93" ht="12.75">
      <c r="T93" s="3"/>
    </row>
    <row r="94" ht="12.75">
      <c r="T94" s="3"/>
    </row>
    <row r="95" ht="12.75">
      <c r="T95" s="3"/>
    </row>
    <row r="96" ht="12.75">
      <c r="T96" s="3"/>
    </row>
    <row r="97" ht="12.75">
      <c r="T97" s="3"/>
    </row>
    <row r="98" ht="12.75">
      <c r="T98" s="3"/>
    </row>
    <row r="99" ht="12.75">
      <c r="T99" s="3"/>
    </row>
    <row r="100" ht="12.75">
      <c r="T100" s="3"/>
    </row>
    <row r="101" ht="12.75">
      <c r="T101" s="3"/>
    </row>
    <row r="102" ht="12.75">
      <c r="T102" s="3"/>
    </row>
    <row r="103" ht="12.75">
      <c r="T103" s="3"/>
    </row>
    <row r="104" ht="12.75">
      <c r="T104" s="3"/>
    </row>
    <row r="105" ht="12.75">
      <c r="T105" s="3"/>
    </row>
    <row r="106" ht="12.75">
      <c r="T106" s="3"/>
    </row>
    <row r="107" ht="12.75">
      <c r="T107" s="3"/>
    </row>
    <row r="108" ht="12.75">
      <c r="T108" s="3"/>
    </row>
    <row r="109" ht="12.75">
      <c r="T109" s="3"/>
    </row>
    <row r="110" ht="12.75">
      <c r="T110" s="3"/>
    </row>
    <row r="111" ht="12.75">
      <c r="T111" s="3"/>
    </row>
    <row r="112" ht="12.75">
      <c r="T112" s="3"/>
    </row>
    <row r="113" ht="12.75">
      <c r="T113" s="3"/>
    </row>
    <row r="114" ht="12.75">
      <c r="T114" s="3"/>
    </row>
    <row r="115" ht="12.75">
      <c r="T115" s="3"/>
    </row>
    <row r="116" ht="12.75">
      <c r="T116" s="3"/>
    </row>
    <row r="117" ht="12.75">
      <c r="T117" s="3"/>
    </row>
    <row r="118" ht="12.75">
      <c r="T118" s="3"/>
    </row>
    <row r="119" ht="12.75">
      <c r="T119" s="3"/>
    </row>
    <row r="120" ht="12.75">
      <c r="T120" s="3"/>
    </row>
    <row r="121" ht="12.75">
      <c r="T121" s="3"/>
    </row>
    <row r="122" ht="12.75">
      <c r="T122" s="3"/>
    </row>
    <row r="123" ht="12.75">
      <c r="T123" s="3"/>
    </row>
    <row r="124" ht="12.75">
      <c r="T124" s="3"/>
    </row>
    <row r="125" ht="12.75">
      <c r="T125" s="3"/>
    </row>
    <row r="126" ht="12.75">
      <c r="T126" s="3"/>
    </row>
    <row r="127" ht="12.75">
      <c r="T127" s="3"/>
    </row>
    <row r="128" ht="12.75">
      <c r="T128" s="3"/>
    </row>
    <row r="129" ht="12.75">
      <c r="T129" s="3"/>
    </row>
    <row r="130" ht="12.75">
      <c r="T130" s="3"/>
    </row>
    <row r="131" ht="12.75">
      <c r="T131" s="3"/>
    </row>
    <row r="132" ht="12.75">
      <c r="T132" s="3"/>
    </row>
    <row r="133" ht="12.75">
      <c r="T133" s="3"/>
    </row>
    <row r="134" ht="12.75">
      <c r="T134" s="3"/>
    </row>
    <row r="135" ht="12.75">
      <c r="T135" s="3"/>
    </row>
    <row r="136" ht="12.75">
      <c r="T136" s="3"/>
    </row>
    <row r="137" ht="12.75">
      <c r="T137" s="3"/>
    </row>
    <row r="138" ht="12.75">
      <c r="T138" s="3"/>
    </row>
    <row r="139" ht="12.75">
      <c r="T139" s="3"/>
    </row>
    <row r="140" ht="12.75">
      <c r="T140" s="3"/>
    </row>
    <row r="141" ht="12.75">
      <c r="T141" s="3"/>
    </row>
    <row r="142" ht="12.75">
      <c r="T142" s="3"/>
    </row>
    <row r="143" ht="12.75">
      <c r="T143" s="3"/>
    </row>
    <row r="144" ht="12.75">
      <c r="T144" s="3"/>
    </row>
    <row r="145" ht="12.75">
      <c r="T145" s="3"/>
    </row>
    <row r="146" ht="12.75">
      <c r="T146" s="3"/>
    </row>
    <row r="147" ht="12.75">
      <c r="T147" s="3"/>
    </row>
    <row r="148" ht="12.75">
      <c r="T148" s="3"/>
    </row>
    <row r="149" ht="12.75">
      <c r="T149" s="3"/>
    </row>
    <row r="150" ht="12.75">
      <c r="T150" s="3"/>
    </row>
    <row r="151" ht="12.75">
      <c r="T151" s="3"/>
    </row>
    <row r="152" ht="12.75">
      <c r="T152" s="3"/>
    </row>
    <row r="153" ht="12.75">
      <c r="T153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E46"/>
  <sheetViews>
    <sheetView zoomScale="75" zoomScaleNormal="75" workbookViewId="0" topLeftCell="D1">
      <selection activeCell="F60" sqref="F60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2.00390625" style="0" customWidth="1"/>
    <col min="5" max="5" width="8.7109375" style="0" customWidth="1"/>
    <col min="6" max="6" width="8.421875" style="0" customWidth="1"/>
    <col min="7" max="7" width="3.8515625" style="0" customWidth="1"/>
    <col min="8" max="8" width="10.421875" style="0" hidden="1" customWidth="1"/>
    <col min="9" max="9" width="11.7109375" style="0" hidden="1" customWidth="1"/>
    <col min="10" max="11" width="15.7109375" style="0" customWidth="1"/>
    <col min="12" max="14" width="9.7109375" style="0" customWidth="1"/>
    <col min="15" max="15" width="6.00390625" style="0" customWidth="1"/>
    <col min="16" max="16" width="5.421875" style="0" customWidth="1"/>
    <col min="17" max="17" width="6.00390625" style="0" customWidth="1"/>
    <col min="18" max="18" width="15.140625" style="0" hidden="1" customWidth="1"/>
    <col min="19" max="19" width="17.28125" style="0" hidden="1" customWidth="1"/>
    <col min="20" max="20" width="12.7109375" style="0" hidden="1" customWidth="1"/>
    <col min="21" max="21" width="13.7109375" style="0" hidden="1" customWidth="1"/>
    <col min="22" max="22" width="13.00390625" style="0" hidden="1" customWidth="1"/>
    <col min="23" max="23" width="14.8515625" style="0" hidden="1" customWidth="1"/>
    <col min="24" max="24" width="12.7109375" style="0" hidden="1" customWidth="1"/>
    <col min="25" max="25" width="14.00390625" style="0" hidden="1" customWidth="1"/>
    <col min="26" max="27" width="14.140625" style="0" hidden="1" customWidth="1"/>
    <col min="28" max="28" width="8.7109375" style="0" customWidth="1"/>
    <col min="29" max="29" width="15.00390625" style="0" hidden="1" customWidth="1"/>
    <col min="30" max="31" width="15.7109375" style="0" customWidth="1"/>
    <col min="32" max="32" width="17.8515625" style="0" customWidth="1"/>
    <col min="33" max="33" width="15.00390625" style="0" customWidth="1"/>
    <col min="34" max="34" width="14.28125" style="0" customWidth="1"/>
    <col min="35" max="35" width="14.003906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70" customFormat="1" ht="31.5" customHeight="1">
      <c r="A1" s="120"/>
      <c r="AE1" s="517"/>
    </row>
    <row r="2" spans="1:31" s="70" customFormat="1" ht="26.25">
      <c r="A2" s="120"/>
      <c r="B2" s="71" t="str">
        <f>+'tot-0312'!B2</f>
        <v>ANEXO I-2 a la Resolución ENRE N° 403/2008.-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="16" customFormat="1" ht="12.75">
      <c r="A3" s="45"/>
    </row>
    <row r="4" spans="1:2" s="77" customFormat="1" ht="11.25">
      <c r="A4" s="75" t="s">
        <v>24</v>
      </c>
      <c r="B4" s="154"/>
    </row>
    <row r="5" spans="1:2" s="77" customFormat="1" ht="11.25">
      <c r="A5" s="75" t="s">
        <v>25</v>
      </c>
      <c r="B5" s="154"/>
    </row>
    <row r="6" s="16" customFormat="1" ht="13.5" thickBot="1"/>
    <row r="7" spans="2:31" s="16" customFormat="1" ht="13.5" thickTop="1">
      <c r="B7" s="121"/>
      <c r="C7" s="122"/>
      <c r="D7" s="122"/>
      <c r="E7" s="123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4"/>
    </row>
    <row r="8" spans="2:31" s="15" customFormat="1" ht="20.25">
      <c r="B8" s="97"/>
      <c r="C8" s="96"/>
      <c r="D8" s="323" t="s">
        <v>38</v>
      </c>
      <c r="E8" s="96"/>
      <c r="F8" s="96"/>
      <c r="G8" s="96"/>
      <c r="H8" s="96"/>
      <c r="N8" s="96"/>
      <c r="O8" s="96"/>
      <c r="P8" s="324"/>
      <c r="Q8" s="324"/>
      <c r="R8" s="96"/>
      <c r="S8" s="96"/>
      <c r="T8" s="96"/>
      <c r="U8" s="96"/>
      <c r="V8" s="96"/>
      <c r="W8" s="96"/>
      <c r="X8" s="96"/>
      <c r="Y8" s="96"/>
      <c r="Z8" s="11"/>
      <c r="AA8" s="11"/>
      <c r="AB8" s="96"/>
      <c r="AC8" s="96"/>
      <c r="AD8"/>
      <c r="AE8" s="325"/>
    </row>
    <row r="9" spans="2:31" s="16" customFormat="1" ht="12.75">
      <c r="B9" s="10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25"/>
    </row>
    <row r="10" spans="2:31" s="15" customFormat="1" ht="20.25">
      <c r="B10" s="97"/>
      <c r="C10" s="96"/>
      <c r="D10" s="323" t="s">
        <v>69</v>
      </c>
      <c r="E10" s="96"/>
      <c r="F10" s="96"/>
      <c r="G10" s="96"/>
      <c r="H10" s="96"/>
      <c r="N10" s="96"/>
      <c r="O10" s="96"/>
      <c r="P10" s="324"/>
      <c r="Q10" s="324"/>
      <c r="R10" s="96"/>
      <c r="S10" s="96"/>
      <c r="T10" s="96"/>
      <c r="U10" s="96"/>
      <c r="V10" s="96"/>
      <c r="W10" s="96"/>
      <c r="X10" s="96"/>
      <c r="Y10" s="96"/>
      <c r="Z10" s="11"/>
      <c r="AA10" s="11"/>
      <c r="AB10" s="96"/>
      <c r="AC10" s="96"/>
      <c r="AD10"/>
      <c r="AE10" s="325"/>
    </row>
    <row r="11" spans="2:31" s="16" customFormat="1" ht="12.75">
      <c r="B11" s="102"/>
      <c r="C11" s="14"/>
      <c r="D11" s="14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25"/>
    </row>
    <row r="12" spans="2:31" s="15" customFormat="1" ht="21">
      <c r="B12" s="90" t="str">
        <f>+'tot-0312'!B14</f>
        <v>Desde el 01 al 31 de diciembre de 2003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39"/>
      <c r="O12" s="139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11"/>
      <c r="AA12" s="11"/>
      <c r="AB12" s="93"/>
      <c r="AC12" s="93"/>
      <c r="AD12" s="93"/>
      <c r="AE12" s="140"/>
    </row>
    <row r="13" spans="2:31" s="16" customFormat="1" ht="16.5" customHeight="1" thickBot="1">
      <c r="B13" s="102"/>
      <c r="C13" s="14"/>
      <c r="D13" s="14"/>
      <c r="E13" s="2"/>
      <c r="F13" s="2"/>
      <c r="G13" s="14"/>
      <c r="H13" s="14"/>
      <c r="I13" s="14"/>
      <c r="J13" s="134"/>
      <c r="K13" s="14"/>
      <c r="L13" s="14"/>
      <c r="M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25"/>
    </row>
    <row r="14" spans="2:31" s="16" customFormat="1" ht="16.5" customHeight="1" thickBot="1" thickTop="1">
      <c r="B14" s="102"/>
      <c r="C14" s="14"/>
      <c r="D14" s="14"/>
      <c r="E14" s="2"/>
      <c r="F14" s="2"/>
      <c r="G14" s="14"/>
      <c r="H14" s="14"/>
      <c r="I14" s="14"/>
      <c r="J14" s="134"/>
      <c r="K14" s="14"/>
      <c r="L14" s="14"/>
      <c r="M14" s="655" t="s">
        <v>101</v>
      </c>
      <c r="N14" s="656"/>
      <c r="O14" s="656"/>
      <c r="P14" s="656"/>
      <c r="Q14" s="657"/>
      <c r="R14" s="528" t="b">
        <f>AND(Q15&lt;=0.82,Q16&lt;=1.17)</f>
        <v>1</v>
      </c>
      <c r="S14" s="528" t="b">
        <f>AND(Q15&gt;=1.17,Q16&gt;=1.7)</f>
        <v>0</v>
      </c>
      <c r="T14" s="529">
        <f>((Q16/1.17)+(Q15/0.82))*0.852446393-1.454892785</f>
        <v>-0.43113967470752534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25"/>
    </row>
    <row r="15" spans="2:31" s="16" customFormat="1" ht="16.5" customHeight="1" thickBot="1" thickTop="1">
      <c r="B15" s="102"/>
      <c r="C15" s="14"/>
      <c r="D15" s="141" t="s">
        <v>60</v>
      </c>
      <c r="E15" s="512">
        <v>56.353</v>
      </c>
      <c r="F15" s="245"/>
      <c r="G15" s="14"/>
      <c r="H15" s="14"/>
      <c r="I15" s="14"/>
      <c r="J15"/>
      <c r="K15"/>
      <c r="L15" s="14"/>
      <c r="M15" s="530" t="s">
        <v>102</v>
      </c>
      <c r="N15" s="531"/>
      <c r="O15" s="531"/>
      <c r="P15" s="531"/>
      <c r="Q15" s="532">
        <v>0.34</v>
      </c>
      <c r="R15" s="533"/>
      <c r="S15" s="528"/>
      <c r="T15" s="529"/>
      <c r="U15" s="14"/>
      <c r="V15" s="14"/>
      <c r="W15" s="14"/>
      <c r="X15" s="14"/>
      <c r="Y15" s="14"/>
      <c r="Z15" s="93"/>
      <c r="AA15" s="93"/>
      <c r="AB15" s="14"/>
      <c r="AC15" s="14"/>
      <c r="AD15" s="14"/>
      <c r="AE15" s="125"/>
    </row>
    <row r="16" spans="2:31" s="16" customFormat="1" ht="16.5" customHeight="1" thickBot="1" thickTop="1">
      <c r="B16" s="102"/>
      <c r="C16" s="14"/>
      <c r="D16" s="141" t="s">
        <v>61</v>
      </c>
      <c r="E16" s="512">
        <v>46.961</v>
      </c>
      <c r="F16" s="245"/>
      <c r="G16" s="14"/>
      <c r="H16" s="14"/>
      <c r="I16" s="14"/>
      <c r="J16" s="271" t="s">
        <v>70</v>
      </c>
      <c r="K16" s="326">
        <f>4*Q17</f>
        <v>1</v>
      </c>
      <c r="L16" s="14"/>
      <c r="M16" s="530" t="s">
        <v>103</v>
      </c>
      <c r="N16" s="531"/>
      <c r="O16" s="531"/>
      <c r="P16" s="531"/>
      <c r="Q16" s="532">
        <v>0.92</v>
      </c>
      <c r="R16" s="533"/>
      <c r="S16" s="528"/>
      <c r="T16" s="529"/>
      <c r="U16" s="14"/>
      <c r="V16" s="127"/>
      <c r="W16" s="127"/>
      <c r="X16" s="127"/>
      <c r="Y16" s="127"/>
      <c r="Z16" s="14"/>
      <c r="AA16" s="14"/>
      <c r="AB16" s="127"/>
      <c r="AE16" s="125"/>
    </row>
    <row r="17" spans="2:31" s="16" customFormat="1" ht="16.5" customHeight="1" thickBot="1" thickTop="1">
      <c r="B17" s="102"/>
      <c r="C17" s="14"/>
      <c r="D17" s="519"/>
      <c r="E17" s="520"/>
      <c r="F17" s="527"/>
      <c r="G17" s="14"/>
      <c r="H17" s="14"/>
      <c r="I17" s="14"/>
      <c r="J17" s="271"/>
      <c r="K17" s="326"/>
      <c r="L17" s="14"/>
      <c r="M17" s="530" t="s">
        <v>104</v>
      </c>
      <c r="N17" s="531"/>
      <c r="O17" s="531"/>
      <c r="P17" s="531"/>
      <c r="Q17" s="532">
        <f>IF(R14=TRUE,0.25,IF(S14=TRUE,1,T14))</f>
        <v>0.25</v>
      </c>
      <c r="R17" s="534"/>
      <c r="S17" s="534"/>
      <c r="T17" s="534"/>
      <c r="U17" s="14"/>
      <c r="V17" s="127"/>
      <c r="W17" s="127"/>
      <c r="X17" s="127"/>
      <c r="Y17" s="127"/>
      <c r="Z17" s="14"/>
      <c r="AA17" s="14"/>
      <c r="AB17" s="127"/>
      <c r="AE17" s="125"/>
    </row>
    <row r="18" spans="2:31" s="16" customFormat="1" ht="16.5" customHeight="1" thickBot="1" thickTop="1">
      <c r="B18" s="102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2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25"/>
    </row>
    <row r="19" spans="2:31" s="16" customFormat="1" ht="33.75" customHeight="1" thickBot="1" thickTop="1">
      <c r="B19" s="102"/>
      <c r="C19" s="142" t="s">
        <v>39</v>
      </c>
      <c r="D19" s="327" t="s">
        <v>27</v>
      </c>
      <c r="E19" s="148" t="s">
        <v>40</v>
      </c>
      <c r="F19" s="149" t="s">
        <v>41</v>
      </c>
      <c r="G19" s="144" t="s">
        <v>42</v>
      </c>
      <c r="H19" s="342" t="s">
        <v>43</v>
      </c>
      <c r="I19" s="344" t="s">
        <v>44</v>
      </c>
      <c r="J19" s="145" t="s">
        <v>45</v>
      </c>
      <c r="K19" s="146" t="s">
        <v>46</v>
      </c>
      <c r="L19" s="150" t="s">
        <v>47</v>
      </c>
      <c r="M19" s="151" t="s">
        <v>48</v>
      </c>
      <c r="N19" s="150" t="s">
        <v>49</v>
      </c>
      <c r="O19" s="150" t="s">
        <v>50</v>
      </c>
      <c r="P19" s="146" t="s">
        <v>51</v>
      </c>
      <c r="Q19" s="145" t="s">
        <v>52</v>
      </c>
      <c r="R19" s="350" t="s">
        <v>53</v>
      </c>
      <c r="S19" s="353" t="s">
        <v>54</v>
      </c>
      <c r="T19" s="305" t="s">
        <v>71</v>
      </c>
      <c r="U19" s="306"/>
      <c r="V19" s="307"/>
      <c r="W19" s="363" t="s">
        <v>72</v>
      </c>
      <c r="X19" s="364"/>
      <c r="Y19" s="365"/>
      <c r="Z19" s="335" t="s">
        <v>55</v>
      </c>
      <c r="AA19" s="336" t="s">
        <v>56</v>
      </c>
      <c r="AB19" s="152" t="s">
        <v>57</v>
      </c>
      <c r="AC19" s="373" t="s">
        <v>58</v>
      </c>
      <c r="AD19" s="152" t="s">
        <v>58</v>
      </c>
      <c r="AE19" s="129"/>
    </row>
    <row r="20" spans="2:31" s="16" customFormat="1" ht="16.5" customHeight="1" thickTop="1">
      <c r="B20" s="102"/>
      <c r="C20" s="332"/>
      <c r="D20" s="341"/>
      <c r="E20" s="341"/>
      <c r="F20" s="332"/>
      <c r="G20" s="332"/>
      <c r="H20" s="343"/>
      <c r="I20" s="345"/>
      <c r="J20" s="332"/>
      <c r="K20" s="332"/>
      <c r="L20" s="332"/>
      <c r="M20" s="332"/>
      <c r="N20" s="332"/>
      <c r="O20" s="332"/>
      <c r="P20" s="332"/>
      <c r="Q20" s="332"/>
      <c r="R20" s="348"/>
      <c r="S20" s="354"/>
      <c r="T20" s="357"/>
      <c r="U20" s="358"/>
      <c r="V20" s="359"/>
      <c r="W20" s="366"/>
      <c r="X20" s="366"/>
      <c r="Y20" s="367"/>
      <c r="Z20" s="333"/>
      <c r="AA20" s="337"/>
      <c r="AB20" s="332"/>
      <c r="AC20" s="500"/>
      <c r="AD20" s="499"/>
      <c r="AE20" s="125"/>
    </row>
    <row r="21" spans="2:31" s="16" customFormat="1" ht="16.5" customHeight="1">
      <c r="B21" s="102"/>
      <c r="C21" s="17"/>
      <c r="D21" s="17"/>
      <c r="E21" s="59"/>
      <c r="F21" s="17"/>
      <c r="G21" s="18"/>
      <c r="H21" s="309"/>
      <c r="I21" s="346"/>
      <c r="J21" s="19"/>
      <c r="K21" s="14"/>
      <c r="L21" s="17"/>
      <c r="M21" s="17"/>
      <c r="N21" s="18"/>
      <c r="O21" s="18"/>
      <c r="P21" s="17"/>
      <c r="Q21" s="17"/>
      <c r="R21" s="351"/>
      <c r="S21" s="355"/>
      <c r="T21" s="331"/>
      <c r="U21" s="329"/>
      <c r="V21" s="330"/>
      <c r="W21" s="368"/>
      <c r="X21" s="368"/>
      <c r="Y21" s="369"/>
      <c r="Z21" s="334"/>
      <c r="AA21" s="338"/>
      <c r="AB21" s="17"/>
      <c r="AC21" s="375"/>
      <c r="AD21" s="153"/>
      <c r="AE21" s="125"/>
    </row>
    <row r="22" spans="2:31" s="16" customFormat="1" ht="16.5" customHeight="1">
      <c r="B22" s="102"/>
      <c r="C22" s="541" t="s">
        <v>112</v>
      </c>
      <c r="D22" s="541" t="s">
        <v>3</v>
      </c>
      <c r="E22" s="568">
        <v>500</v>
      </c>
      <c r="F22" s="543">
        <v>506</v>
      </c>
      <c r="G22" s="568" t="s">
        <v>1</v>
      </c>
      <c r="H22" s="319">
        <f aca="true" t="shared" si="0" ref="H22:H37">IF(G22="A",200,IF(G22="B",60,20))</f>
        <v>20</v>
      </c>
      <c r="I22" s="513">
        <f>IF(E22=500,IF(F22&lt;100,$E$15,F22*$E$15/100),IF(F22&lt;100,$E$16,F22*$E$16/100))</f>
        <v>285.14618</v>
      </c>
      <c r="J22" s="547">
        <v>37963.23611111111</v>
      </c>
      <c r="K22" s="547">
        <v>37963.27361111111</v>
      </c>
      <c r="L22" s="23">
        <f>IF(D22="","",(K22-J22)*24)</f>
        <v>0.8999999999650754</v>
      </c>
      <c r="M22" s="24">
        <f>IF(D22="","",ROUND((K22-J22)*24*60,0))</f>
        <v>54</v>
      </c>
      <c r="N22" s="551" t="s">
        <v>107</v>
      </c>
      <c r="O22" s="570" t="str">
        <f>IF(D22="","","--")</f>
        <v>--</v>
      </c>
      <c r="P22" s="22" t="str">
        <f>IF(D22="","","NO")</f>
        <v>NO</v>
      </c>
      <c r="Q22" s="553" t="str">
        <f>IF(D22="","",IF(OR(N22="P",N22="RP"),"--","NO"))</f>
        <v>--</v>
      </c>
      <c r="R22" s="571">
        <f>IF(N22="P",I22*H22*ROUND(M22/60,2)*0.01,"--")</f>
        <v>51.326312400000006</v>
      </c>
      <c r="S22" s="572" t="str">
        <f>IF(N22="RP",I22*H22*ROUND(M22/60,2)*0.01*O22/100,"--")</f>
        <v>--</v>
      </c>
      <c r="T22" s="554" t="str">
        <f>IF(AND(N22="F",Q22="NO"),I22*H22*IF(P22="SI",1.2,1),"--")</f>
        <v>--</v>
      </c>
      <c r="U22" s="555" t="str">
        <f>IF(AND(N22="F",M22&gt;=10),I22*H22*IF(P22="SI",1.2,1)*IF(M22&lt;=300,ROUND(M22/60,2),5),"--")</f>
        <v>--</v>
      </c>
      <c r="V22" s="556" t="str">
        <f>IF(AND(N22="F",M22&gt;300),(ROUND(M22/60,2)-5)*I22*H22*0.1*IF(P22="SI",1.2,1),"--")</f>
        <v>--</v>
      </c>
      <c r="W22" s="573" t="str">
        <f>IF(AND(N22="R",Q22="NO"),I22*H22*O22/100*IF(P22="SI",1.2,1),"--")</f>
        <v>--</v>
      </c>
      <c r="X22" s="574" t="str">
        <f>IF(AND(N22="R",M22&gt;=10),IF(M22&lt;=300,I22*H22*O22/100*IF(P22="SI",1.2,1)*ROUND(M22/60,2),5),"--")</f>
        <v>--</v>
      </c>
      <c r="Y22" s="575" t="str">
        <f>IF(AND(N22="R",M22&gt;300),(ROUND(M22/60,2)-5)*I22*H22*0.1*O22/100*IF(P22="SI",1.2,1),"--")</f>
        <v>--</v>
      </c>
      <c r="Z22" s="557" t="str">
        <f>IF(N22="RF",ROUND(M22/60,2)*I22*H22*0.1*IF(P22="SI",1.2,1),"--")</f>
        <v>--</v>
      </c>
      <c r="AA22" s="558" t="str">
        <f>IF(N22="RR",ROUND(M22/60,2)*I22*H22*0.1*O22/100*IF(P22="SI",1.2,1),"--")</f>
        <v>--</v>
      </c>
      <c r="AB22" s="576" t="str">
        <f>IF(D22="","","SI")</f>
        <v>SI</v>
      </c>
      <c r="AC22" s="376">
        <f>SUM(R22:AA22)*IF(AB22="SI",1,2)</f>
        <v>51.326312400000006</v>
      </c>
      <c r="AD22" s="25">
        <f>IF(D22="","",AC22*$K$16)</f>
        <v>51.326312400000006</v>
      </c>
      <c r="AE22" s="125"/>
    </row>
    <row r="23" spans="2:31" s="16" customFormat="1" ht="16.5" customHeight="1">
      <c r="B23" s="102"/>
      <c r="C23" s="541" t="s">
        <v>113</v>
      </c>
      <c r="D23" s="541" t="s">
        <v>3</v>
      </c>
      <c r="E23" s="568">
        <v>500</v>
      </c>
      <c r="F23" s="543">
        <v>506</v>
      </c>
      <c r="G23" s="568" t="s">
        <v>1</v>
      </c>
      <c r="H23" s="319">
        <f t="shared" si="0"/>
        <v>20</v>
      </c>
      <c r="I23" s="513">
        <f aca="true" t="shared" si="1" ref="I23:I38">IF(E23=500,IF(F23&lt;100,$E$15,F23*$E$15/100),IF(F23&lt;100,$E$16,F23*$E$16/100))</f>
        <v>285.14618</v>
      </c>
      <c r="J23" s="547">
        <v>37966.115277777775</v>
      </c>
      <c r="K23" s="547">
        <v>37966.15</v>
      </c>
      <c r="L23" s="23">
        <f aca="true" t="shared" si="2" ref="L23:L38">IF(D23="","",(K23-J23)*24)</f>
        <v>0.8333333334303461</v>
      </c>
      <c r="M23" s="24">
        <f aca="true" t="shared" si="3" ref="M23:M38">IF(D23="","",ROUND((K23-J23)*24*60,0))</f>
        <v>50</v>
      </c>
      <c r="N23" s="551" t="s">
        <v>107</v>
      </c>
      <c r="O23" s="570" t="str">
        <f aca="true" t="shared" si="4" ref="O23:O38">IF(D23="","","--")</f>
        <v>--</v>
      </c>
      <c r="P23" s="22" t="str">
        <f aca="true" t="shared" si="5" ref="P23:P38">IF(D23="","","NO")</f>
        <v>NO</v>
      </c>
      <c r="Q23" s="553" t="str">
        <f aca="true" t="shared" si="6" ref="Q23:Q41">IF(D23="","",IF(OR(N23="P",N23="RP"),"--","NO"))</f>
        <v>--</v>
      </c>
      <c r="R23" s="571">
        <f aca="true" t="shared" si="7" ref="R23:R38">IF(N23="P",I23*H23*ROUND(M23/60,2)*0.01,"--")</f>
        <v>47.334265880000004</v>
      </c>
      <c r="S23" s="572" t="str">
        <f aca="true" t="shared" si="8" ref="S23:S38">IF(N23="RP",I23*H23*ROUND(M23/60,2)*0.01*O23/100,"--")</f>
        <v>--</v>
      </c>
      <c r="T23" s="554" t="str">
        <f aca="true" t="shared" si="9" ref="T23:T38">IF(AND(N23="F",Q23="NO"),I23*H23*IF(P23="SI",1.2,1),"--")</f>
        <v>--</v>
      </c>
      <c r="U23" s="555" t="str">
        <f aca="true" t="shared" si="10" ref="U23:U38">IF(AND(N23="F",M23&gt;=10),I23*H23*IF(P23="SI",1.2,1)*IF(M23&lt;=300,ROUND(M23/60,2),5),"--")</f>
        <v>--</v>
      </c>
      <c r="V23" s="556" t="str">
        <f aca="true" t="shared" si="11" ref="V23:V38">IF(AND(N23="F",M23&gt;300),(ROUND(M23/60,2)-5)*I23*H23*0.1*IF(P23="SI",1.2,1),"--")</f>
        <v>--</v>
      </c>
      <c r="W23" s="573" t="str">
        <f aca="true" t="shared" si="12" ref="W23:W38">IF(AND(N23="R",Q23="NO"),I23*H23*O23/100*IF(P23="SI",1.2,1),"--")</f>
        <v>--</v>
      </c>
      <c r="X23" s="574" t="str">
        <f aca="true" t="shared" si="13" ref="X23:X38">IF(AND(N23="R",M23&gt;=10),IF(M23&lt;=300,I23*H23*O23/100*IF(P23="SI",1.2,1)*ROUND(M23/60,2),5),"--")</f>
        <v>--</v>
      </c>
      <c r="Y23" s="575" t="str">
        <f aca="true" t="shared" si="14" ref="Y23:Y38">IF(AND(N23="R",M23&gt;300),(ROUND(M23/60,2)-5)*I23*H23*0.1*O23/100*IF(P23="SI",1.2,1),"--")</f>
        <v>--</v>
      </c>
      <c r="Z23" s="557" t="str">
        <f>IF(N23="RF",ROUND(M23/60,2)*I23*H23*0.1*IF(P23="SI",1.2,1),"--")</f>
        <v>--</v>
      </c>
      <c r="AA23" s="558" t="str">
        <f>IF(N23="RR",ROUND(M23/60,2)*I23*H23*0.1*O23/100*IF(P23="SI",1.2,1),"--")</f>
        <v>--</v>
      </c>
      <c r="AB23" s="576" t="str">
        <f aca="true" t="shared" si="15" ref="AB23:AB38">IF(D23="","","SI")</f>
        <v>SI</v>
      </c>
      <c r="AC23" s="376">
        <f aca="true" t="shared" si="16" ref="AC23:AC38">SUM(R23:AA23)*IF(AB23="SI",1,2)</f>
        <v>47.334265880000004</v>
      </c>
      <c r="AD23" s="25">
        <f aca="true" t="shared" si="17" ref="AD23:AD38">IF(D23="","",AC23*$K$16)</f>
        <v>47.334265880000004</v>
      </c>
      <c r="AE23" s="125"/>
    </row>
    <row r="24" spans="2:31" s="16" customFormat="1" ht="16.5" customHeight="1">
      <c r="B24" s="102"/>
      <c r="C24" s="541" t="s">
        <v>114</v>
      </c>
      <c r="D24" s="541" t="s">
        <v>3</v>
      </c>
      <c r="E24" s="568">
        <v>500</v>
      </c>
      <c r="F24" s="543">
        <v>506</v>
      </c>
      <c r="G24" s="568" t="s">
        <v>1</v>
      </c>
      <c r="H24" s="319">
        <f t="shared" si="0"/>
        <v>20</v>
      </c>
      <c r="I24" s="513">
        <f t="shared" si="1"/>
        <v>285.14618</v>
      </c>
      <c r="J24" s="547">
        <v>37970.10833333333</v>
      </c>
      <c r="K24" s="547">
        <v>37970.138194444444</v>
      </c>
      <c r="L24" s="23">
        <f t="shared" si="2"/>
        <v>0.7166666667326353</v>
      </c>
      <c r="M24" s="24">
        <f t="shared" si="3"/>
        <v>43</v>
      </c>
      <c r="N24" s="551" t="s">
        <v>107</v>
      </c>
      <c r="O24" s="570" t="str">
        <f t="shared" si="4"/>
        <v>--</v>
      </c>
      <c r="P24" s="22" t="str">
        <f t="shared" si="5"/>
        <v>NO</v>
      </c>
      <c r="Q24" s="553" t="str">
        <f t="shared" si="6"/>
        <v>--</v>
      </c>
      <c r="R24" s="571">
        <f t="shared" si="7"/>
        <v>41.061049919999995</v>
      </c>
      <c r="S24" s="572" t="str">
        <f t="shared" si="8"/>
        <v>--</v>
      </c>
      <c r="T24" s="554" t="str">
        <f t="shared" si="9"/>
        <v>--</v>
      </c>
      <c r="U24" s="555" t="str">
        <f t="shared" si="10"/>
        <v>--</v>
      </c>
      <c r="V24" s="556" t="str">
        <f t="shared" si="11"/>
        <v>--</v>
      </c>
      <c r="W24" s="573" t="str">
        <f t="shared" si="12"/>
        <v>--</v>
      </c>
      <c r="X24" s="574" t="str">
        <f t="shared" si="13"/>
        <v>--</v>
      </c>
      <c r="Y24" s="575" t="str">
        <f t="shared" si="14"/>
        <v>--</v>
      </c>
      <c r="Z24" s="557" t="str">
        <f>IF(N24="RF",ROUND(M24/60,2)*I24*H24*0.1*IF(P24="SI",1.2,1),"--")</f>
        <v>--</v>
      </c>
      <c r="AA24" s="558" t="str">
        <f>IF(N24="RR",ROUND(M24/60,2)*I24*H24*0.1*O24/100*IF(P24="SI",1.2,1),"--")</f>
        <v>--</v>
      </c>
      <c r="AB24" s="576" t="str">
        <f t="shared" si="15"/>
        <v>SI</v>
      </c>
      <c r="AC24" s="376">
        <f t="shared" si="16"/>
        <v>41.061049919999995</v>
      </c>
      <c r="AD24" s="25">
        <f t="shared" si="17"/>
        <v>41.061049919999995</v>
      </c>
      <c r="AE24" s="125"/>
    </row>
    <row r="25" spans="2:31" s="16" customFormat="1" ht="16.5" customHeight="1">
      <c r="B25" s="102"/>
      <c r="C25" s="541"/>
      <c r="D25" s="541"/>
      <c r="E25" s="568"/>
      <c r="F25" s="543"/>
      <c r="G25" s="568"/>
      <c r="H25" s="319">
        <f t="shared" si="0"/>
        <v>20</v>
      </c>
      <c r="I25" s="513">
        <f t="shared" si="1"/>
        <v>46.961</v>
      </c>
      <c r="J25" s="547"/>
      <c r="K25" s="548"/>
      <c r="L25" s="23">
        <f t="shared" si="2"/>
      </c>
      <c r="M25" s="24">
        <f t="shared" si="3"/>
      </c>
      <c r="N25" s="551"/>
      <c r="O25" s="570">
        <f t="shared" si="4"/>
      </c>
      <c r="P25" s="22">
        <f t="shared" si="5"/>
      </c>
      <c r="Q25" s="553">
        <f t="shared" si="6"/>
      </c>
      <c r="R25" s="571" t="str">
        <f t="shared" si="7"/>
        <v>--</v>
      </c>
      <c r="S25" s="572" t="str">
        <f t="shared" si="8"/>
        <v>--</v>
      </c>
      <c r="T25" s="554" t="str">
        <f t="shared" si="9"/>
        <v>--</v>
      </c>
      <c r="U25" s="555" t="str">
        <f t="shared" si="10"/>
        <v>--</v>
      </c>
      <c r="V25" s="556" t="str">
        <f t="shared" si="11"/>
        <v>--</v>
      </c>
      <c r="W25" s="573" t="str">
        <f t="shared" si="12"/>
        <v>--</v>
      </c>
      <c r="X25" s="574" t="str">
        <f t="shared" si="13"/>
        <v>--</v>
      </c>
      <c r="Y25" s="575" t="str">
        <f t="shared" si="14"/>
        <v>--</v>
      </c>
      <c r="Z25" s="557" t="str">
        <f aca="true" t="shared" si="18" ref="Z25:Z40">IF(N25="RF",ROUND(M25/60,2)*I25*H25*0.1*IF(P25="SI",1.2,1),"--")</f>
        <v>--</v>
      </c>
      <c r="AA25" s="558" t="str">
        <f aca="true" t="shared" si="19" ref="AA25:AA40">IF(N25="RR",ROUND(M25/60,2)*I25*H25*0.1*O25/100*IF(P25="SI",1.2,1),"--")</f>
        <v>--</v>
      </c>
      <c r="AB25" s="576">
        <f t="shared" si="15"/>
      </c>
      <c r="AC25" s="376">
        <f t="shared" si="16"/>
        <v>0</v>
      </c>
      <c r="AD25" s="25">
        <f t="shared" si="17"/>
      </c>
      <c r="AE25" s="125"/>
    </row>
    <row r="26" spans="2:31" s="16" customFormat="1" ht="16.5" customHeight="1">
      <c r="B26" s="102"/>
      <c r="C26" s="541"/>
      <c r="D26" s="541"/>
      <c r="E26" s="568"/>
      <c r="F26" s="543"/>
      <c r="G26" s="568"/>
      <c r="H26" s="319">
        <f t="shared" si="0"/>
        <v>20</v>
      </c>
      <c r="I26" s="513">
        <f t="shared" si="1"/>
        <v>46.961</v>
      </c>
      <c r="J26" s="547"/>
      <c r="K26" s="548"/>
      <c r="L26" s="23">
        <f t="shared" si="2"/>
      </c>
      <c r="M26" s="24">
        <f t="shared" si="3"/>
      </c>
      <c r="N26" s="551"/>
      <c r="O26" s="570">
        <f t="shared" si="4"/>
      </c>
      <c r="P26" s="22">
        <f t="shared" si="5"/>
      </c>
      <c r="Q26" s="553">
        <f t="shared" si="6"/>
      </c>
      <c r="R26" s="571" t="str">
        <f t="shared" si="7"/>
        <v>--</v>
      </c>
      <c r="S26" s="572" t="str">
        <f t="shared" si="8"/>
        <v>--</v>
      </c>
      <c r="T26" s="554" t="str">
        <f t="shared" si="9"/>
        <v>--</v>
      </c>
      <c r="U26" s="555" t="str">
        <f t="shared" si="10"/>
        <v>--</v>
      </c>
      <c r="V26" s="556" t="str">
        <f t="shared" si="11"/>
        <v>--</v>
      </c>
      <c r="W26" s="573" t="str">
        <f t="shared" si="12"/>
        <v>--</v>
      </c>
      <c r="X26" s="574" t="str">
        <f t="shared" si="13"/>
        <v>--</v>
      </c>
      <c r="Y26" s="575" t="str">
        <f t="shared" si="14"/>
        <v>--</v>
      </c>
      <c r="Z26" s="557" t="str">
        <f t="shared" si="18"/>
        <v>--</v>
      </c>
      <c r="AA26" s="558" t="str">
        <f t="shared" si="19"/>
        <v>--</v>
      </c>
      <c r="AB26" s="576">
        <f t="shared" si="15"/>
      </c>
      <c r="AC26" s="376">
        <f t="shared" si="16"/>
        <v>0</v>
      </c>
      <c r="AD26" s="25">
        <f t="shared" si="17"/>
      </c>
      <c r="AE26" s="125"/>
    </row>
    <row r="27" spans="2:31" s="16" customFormat="1" ht="16.5" customHeight="1">
      <c r="B27" s="102"/>
      <c r="C27" s="541"/>
      <c r="D27" s="541"/>
      <c r="E27" s="568"/>
      <c r="F27" s="543"/>
      <c r="G27" s="568"/>
      <c r="H27" s="319">
        <f t="shared" si="0"/>
        <v>20</v>
      </c>
      <c r="I27" s="513">
        <f t="shared" si="1"/>
        <v>46.961</v>
      </c>
      <c r="J27" s="547"/>
      <c r="K27" s="548"/>
      <c r="L27" s="23">
        <f t="shared" si="2"/>
      </c>
      <c r="M27" s="24">
        <f t="shared" si="3"/>
      </c>
      <c r="N27" s="551"/>
      <c r="O27" s="570">
        <f t="shared" si="4"/>
      </c>
      <c r="P27" s="22">
        <f t="shared" si="5"/>
      </c>
      <c r="Q27" s="553">
        <f t="shared" si="6"/>
      </c>
      <c r="R27" s="571" t="str">
        <f t="shared" si="7"/>
        <v>--</v>
      </c>
      <c r="S27" s="572" t="str">
        <f t="shared" si="8"/>
        <v>--</v>
      </c>
      <c r="T27" s="554" t="str">
        <f t="shared" si="9"/>
        <v>--</v>
      </c>
      <c r="U27" s="555" t="str">
        <f t="shared" si="10"/>
        <v>--</v>
      </c>
      <c r="V27" s="556" t="str">
        <f t="shared" si="11"/>
        <v>--</v>
      </c>
      <c r="W27" s="573" t="str">
        <f t="shared" si="12"/>
        <v>--</v>
      </c>
      <c r="X27" s="574" t="str">
        <f t="shared" si="13"/>
        <v>--</v>
      </c>
      <c r="Y27" s="575" t="str">
        <f t="shared" si="14"/>
        <v>--</v>
      </c>
      <c r="Z27" s="557" t="str">
        <f t="shared" si="18"/>
        <v>--</v>
      </c>
      <c r="AA27" s="558" t="str">
        <f t="shared" si="19"/>
        <v>--</v>
      </c>
      <c r="AB27" s="576">
        <f t="shared" si="15"/>
      </c>
      <c r="AC27" s="376">
        <f t="shared" si="16"/>
        <v>0</v>
      </c>
      <c r="AD27" s="25">
        <f t="shared" si="17"/>
      </c>
      <c r="AE27" s="125"/>
    </row>
    <row r="28" spans="2:31" s="16" customFormat="1" ht="16.5" customHeight="1">
      <c r="B28" s="102"/>
      <c r="C28" s="541"/>
      <c r="D28" s="541"/>
      <c r="E28" s="568"/>
      <c r="F28" s="543"/>
      <c r="G28" s="568"/>
      <c r="H28" s="319">
        <f t="shared" si="0"/>
        <v>20</v>
      </c>
      <c r="I28" s="513">
        <f t="shared" si="1"/>
        <v>46.961</v>
      </c>
      <c r="J28" s="547"/>
      <c r="K28" s="548"/>
      <c r="L28" s="23">
        <f t="shared" si="2"/>
      </c>
      <c r="M28" s="24">
        <f t="shared" si="3"/>
      </c>
      <c r="N28" s="551"/>
      <c r="O28" s="570">
        <f t="shared" si="4"/>
      </c>
      <c r="P28" s="22">
        <f t="shared" si="5"/>
      </c>
      <c r="Q28" s="553">
        <f t="shared" si="6"/>
      </c>
      <c r="R28" s="571" t="str">
        <f t="shared" si="7"/>
        <v>--</v>
      </c>
      <c r="S28" s="572" t="str">
        <f t="shared" si="8"/>
        <v>--</v>
      </c>
      <c r="T28" s="554" t="str">
        <f t="shared" si="9"/>
        <v>--</v>
      </c>
      <c r="U28" s="555" t="str">
        <f t="shared" si="10"/>
        <v>--</v>
      </c>
      <c r="V28" s="556" t="str">
        <f t="shared" si="11"/>
        <v>--</v>
      </c>
      <c r="W28" s="573" t="str">
        <f t="shared" si="12"/>
        <v>--</v>
      </c>
      <c r="X28" s="574" t="str">
        <f t="shared" si="13"/>
        <v>--</v>
      </c>
      <c r="Y28" s="575" t="str">
        <f t="shared" si="14"/>
        <v>--</v>
      </c>
      <c r="Z28" s="557" t="str">
        <f t="shared" si="18"/>
        <v>--</v>
      </c>
      <c r="AA28" s="558" t="str">
        <f t="shared" si="19"/>
        <v>--</v>
      </c>
      <c r="AB28" s="576">
        <f t="shared" si="15"/>
      </c>
      <c r="AC28" s="376">
        <f t="shared" si="16"/>
        <v>0</v>
      </c>
      <c r="AD28" s="25">
        <f t="shared" si="17"/>
      </c>
      <c r="AE28" s="130"/>
    </row>
    <row r="29" spans="2:31" s="16" customFormat="1" ht="16.5" customHeight="1">
      <c r="B29" s="102"/>
      <c r="C29" s="541"/>
      <c r="D29" s="541"/>
      <c r="E29" s="568"/>
      <c r="F29" s="543"/>
      <c r="G29" s="568"/>
      <c r="H29" s="319">
        <f t="shared" si="0"/>
        <v>20</v>
      </c>
      <c r="I29" s="513">
        <f t="shared" si="1"/>
        <v>46.961</v>
      </c>
      <c r="J29" s="547"/>
      <c r="K29" s="548"/>
      <c r="L29" s="23">
        <f t="shared" si="2"/>
      </c>
      <c r="M29" s="24">
        <f t="shared" si="3"/>
      </c>
      <c r="N29" s="551"/>
      <c r="O29" s="570">
        <f t="shared" si="4"/>
      </c>
      <c r="P29" s="22">
        <f t="shared" si="5"/>
      </c>
      <c r="Q29" s="553">
        <f t="shared" si="6"/>
      </c>
      <c r="R29" s="571" t="str">
        <f t="shared" si="7"/>
        <v>--</v>
      </c>
      <c r="S29" s="572" t="str">
        <f t="shared" si="8"/>
        <v>--</v>
      </c>
      <c r="T29" s="554" t="str">
        <f t="shared" si="9"/>
        <v>--</v>
      </c>
      <c r="U29" s="555" t="str">
        <f t="shared" si="10"/>
        <v>--</v>
      </c>
      <c r="V29" s="556" t="str">
        <f t="shared" si="11"/>
        <v>--</v>
      </c>
      <c r="W29" s="573" t="str">
        <f t="shared" si="12"/>
        <v>--</v>
      </c>
      <c r="X29" s="574" t="str">
        <f t="shared" si="13"/>
        <v>--</v>
      </c>
      <c r="Y29" s="575" t="str">
        <f t="shared" si="14"/>
        <v>--</v>
      </c>
      <c r="Z29" s="557" t="str">
        <f t="shared" si="18"/>
        <v>--</v>
      </c>
      <c r="AA29" s="558" t="str">
        <f t="shared" si="19"/>
        <v>--</v>
      </c>
      <c r="AB29" s="576">
        <f t="shared" si="15"/>
      </c>
      <c r="AC29" s="376">
        <f t="shared" si="16"/>
        <v>0</v>
      </c>
      <c r="AD29" s="25">
        <f t="shared" si="17"/>
      </c>
      <c r="AE29" s="130"/>
    </row>
    <row r="30" spans="2:31" s="16" customFormat="1" ht="16.5" customHeight="1">
      <c r="B30" s="102"/>
      <c r="C30" s="541"/>
      <c r="D30" s="541"/>
      <c r="E30" s="568"/>
      <c r="F30" s="543"/>
      <c r="G30" s="568"/>
      <c r="H30" s="319">
        <f t="shared" si="0"/>
        <v>20</v>
      </c>
      <c r="I30" s="513">
        <f t="shared" si="1"/>
        <v>46.961</v>
      </c>
      <c r="J30" s="547"/>
      <c r="K30" s="548"/>
      <c r="L30" s="23">
        <f t="shared" si="2"/>
      </c>
      <c r="M30" s="24">
        <f t="shared" si="3"/>
      </c>
      <c r="N30" s="551"/>
      <c r="O30" s="570">
        <f t="shared" si="4"/>
      </c>
      <c r="P30" s="22">
        <f t="shared" si="5"/>
      </c>
      <c r="Q30" s="553">
        <f t="shared" si="6"/>
      </c>
      <c r="R30" s="571" t="str">
        <f t="shared" si="7"/>
        <v>--</v>
      </c>
      <c r="S30" s="572" t="str">
        <f t="shared" si="8"/>
        <v>--</v>
      </c>
      <c r="T30" s="554" t="str">
        <f t="shared" si="9"/>
        <v>--</v>
      </c>
      <c r="U30" s="555" t="str">
        <f t="shared" si="10"/>
        <v>--</v>
      </c>
      <c r="V30" s="556" t="str">
        <f t="shared" si="11"/>
        <v>--</v>
      </c>
      <c r="W30" s="573" t="str">
        <f t="shared" si="12"/>
        <v>--</v>
      </c>
      <c r="X30" s="574" t="str">
        <f t="shared" si="13"/>
        <v>--</v>
      </c>
      <c r="Y30" s="575" t="str">
        <f t="shared" si="14"/>
        <v>--</v>
      </c>
      <c r="Z30" s="557" t="str">
        <f t="shared" si="18"/>
        <v>--</v>
      </c>
      <c r="AA30" s="558" t="str">
        <f t="shared" si="19"/>
        <v>--</v>
      </c>
      <c r="AB30" s="576">
        <f t="shared" si="15"/>
      </c>
      <c r="AC30" s="376">
        <f t="shared" si="16"/>
        <v>0</v>
      </c>
      <c r="AD30" s="25">
        <f t="shared" si="17"/>
      </c>
      <c r="AE30" s="130"/>
    </row>
    <row r="31" spans="2:31" s="16" customFormat="1" ht="16.5" customHeight="1">
      <c r="B31" s="102"/>
      <c r="C31" s="541"/>
      <c r="D31" s="541"/>
      <c r="E31" s="568"/>
      <c r="F31" s="543"/>
      <c r="G31" s="568"/>
      <c r="H31" s="319">
        <f t="shared" si="0"/>
        <v>20</v>
      </c>
      <c r="I31" s="513">
        <f t="shared" si="1"/>
        <v>46.961</v>
      </c>
      <c r="J31" s="547"/>
      <c r="K31" s="548"/>
      <c r="L31" s="23">
        <f t="shared" si="2"/>
      </c>
      <c r="M31" s="24">
        <f t="shared" si="3"/>
      </c>
      <c r="N31" s="551"/>
      <c r="O31" s="570">
        <f t="shared" si="4"/>
      </c>
      <c r="P31" s="22">
        <f t="shared" si="5"/>
      </c>
      <c r="Q31" s="553">
        <f t="shared" si="6"/>
      </c>
      <c r="R31" s="571" t="str">
        <f t="shared" si="7"/>
        <v>--</v>
      </c>
      <c r="S31" s="572" t="str">
        <f t="shared" si="8"/>
        <v>--</v>
      </c>
      <c r="T31" s="554" t="str">
        <f t="shared" si="9"/>
        <v>--</v>
      </c>
      <c r="U31" s="555" t="str">
        <f t="shared" si="10"/>
        <v>--</v>
      </c>
      <c r="V31" s="556" t="str">
        <f t="shared" si="11"/>
        <v>--</v>
      </c>
      <c r="W31" s="573" t="str">
        <f t="shared" si="12"/>
        <v>--</v>
      </c>
      <c r="X31" s="574" t="str">
        <f t="shared" si="13"/>
        <v>--</v>
      </c>
      <c r="Y31" s="575" t="str">
        <f t="shared" si="14"/>
        <v>--</v>
      </c>
      <c r="Z31" s="557" t="str">
        <f t="shared" si="18"/>
        <v>--</v>
      </c>
      <c r="AA31" s="558" t="str">
        <f t="shared" si="19"/>
        <v>--</v>
      </c>
      <c r="AB31" s="576">
        <f t="shared" si="15"/>
      </c>
      <c r="AC31" s="376">
        <f t="shared" si="16"/>
        <v>0</v>
      </c>
      <c r="AD31" s="25">
        <f t="shared" si="17"/>
      </c>
      <c r="AE31" s="130"/>
    </row>
    <row r="32" spans="2:31" s="16" customFormat="1" ht="16.5" customHeight="1">
      <c r="B32" s="102"/>
      <c r="C32" s="541"/>
      <c r="D32" s="541"/>
      <c r="E32" s="568"/>
      <c r="F32" s="543"/>
      <c r="G32" s="568"/>
      <c r="H32" s="319">
        <f t="shared" si="0"/>
        <v>20</v>
      </c>
      <c r="I32" s="513">
        <f t="shared" si="1"/>
        <v>46.961</v>
      </c>
      <c r="J32" s="547"/>
      <c r="K32" s="548"/>
      <c r="L32" s="23">
        <f t="shared" si="2"/>
      </c>
      <c r="M32" s="24">
        <f t="shared" si="3"/>
      </c>
      <c r="N32" s="551"/>
      <c r="O32" s="570">
        <f t="shared" si="4"/>
      </c>
      <c r="P32" s="22">
        <f t="shared" si="5"/>
      </c>
      <c r="Q32" s="553">
        <f t="shared" si="6"/>
      </c>
      <c r="R32" s="571" t="str">
        <f t="shared" si="7"/>
        <v>--</v>
      </c>
      <c r="S32" s="572" t="str">
        <f t="shared" si="8"/>
        <v>--</v>
      </c>
      <c r="T32" s="554" t="str">
        <f t="shared" si="9"/>
        <v>--</v>
      </c>
      <c r="U32" s="555" t="str">
        <f t="shared" si="10"/>
        <v>--</v>
      </c>
      <c r="V32" s="556" t="str">
        <f t="shared" si="11"/>
        <v>--</v>
      </c>
      <c r="W32" s="573" t="str">
        <f t="shared" si="12"/>
        <v>--</v>
      </c>
      <c r="X32" s="574" t="str">
        <f t="shared" si="13"/>
        <v>--</v>
      </c>
      <c r="Y32" s="575" t="str">
        <f t="shared" si="14"/>
        <v>--</v>
      </c>
      <c r="Z32" s="557" t="str">
        <f t="shared" si="18"/>
        <v>--</v>
      </c>
      <c r="AA32" s="558" t="str">
        <f t="shared" si="19"/>
        <v>--</v>
      </c>
      <c r="AB32" s="576">
        <f t="shared" si="15"/>
      </c>
      <c r="AC32" s="376">
        <f t="shared" si="16"/>
        <v>0</v>
      </c>
      <c r="AD32" s="25">
        <f t="shared" si="17"/>
      </c>
      <c r="AE32" s="130"/>
    </row>
    <row r="33" spans="2:31" s="16" customFormat="1" ht="16.5" customHeight="1">
      <c r="B33" s="102"/>
      <c r="C33" s="541"/>
      <c r="D33" s="541"/>
      <c r="E33" s="568"/>
      <c r="F33" s="543"/>
      <c r="G33" s="568"/>
      <c r="H33" s="319">
        <f t="shared" si="0"/>
        <v>20</v>
      </c>
      <c r="I33" s="513">
        <f t="shared" si="1"/>
        <v>46.961</v>
      </c>
      <c r="J33" s="547"/>
      <c r="K33" s="549"/>
      <c r="L33" s="23">
        <f t="shared" si="2"/>
      </c>
      <c r="M33" s="24">
        <f t="shared" si="3"/>
      </c>
      <c r="N33" s="551"/>
      <c r="O33" s="570">
        <f t="shared" si="4"/>
      </c>
      <c r="P33" s="22">
        <f t="shared" si="5"/>
      </c>
      <c r="Q33" s="553">
        <f t="shared" si="6"/>
      </c>
      <c r="R33" s="571" t="str">
        <f t="shared" si="7"/>
        <v>--</v>
      </c>
      <c r="S33" s="572" t="str">
        <f t="shared" si="8"/>
        <v>--</v>
      </c>
      <c r="T33" s="554" t="str">
        <f t="shared" si="9"/>
        <v>--</v>
      </c>
      <c r="U33" s="555" t="str">
        <f t="shared" si="10"/>
        <v>--</v>
      </c>
      <c r="V33" s="556" t="str">
        <f t="shared" si="11"/>
        <v>--</v>
      </c>
      <c r="W33" s="573" t="str">
        <f t="shared" si="12"/>
        <v>--</v>
      </c>
      <c r="X33" s="574" t="str">
        <f t="shared" si="13"/>
        <v>--</v>
      </c>
      <c r="Y33" s="575" t="str">
        <f t="shared" si="14"/>
        <v>--</v>
      </c>
      <c r="Z33" s="557" t="str">
        <f t="shared" si="18"/>
        <v>--</v>
      </c>
      <c r="AA33" s="558" t="str">
        <f t="shared" si="19"/>
        <v>--</v>
      </c>
      <c r="AB33" s="576">
        <f t="shared" si="15"/>
      </c>
      <c r="AC33" s="376">
        <f t="shared" si="16"/>
        <v>0</v>
      </c>
      <c r="AD33" s="25">
        <f t="shared" si="17"/>
      </c>
      <c r="AE33" s="130"/>
    </row>
    <row r="34" spans="2:31" s="16" customFormat="1" ht="16.5" customHeight="1">
      <c r="B34" s="102"/>
      <c r="C34" s="541"/>
      <c r="D34" s="541"/>
      <c r="E34" s="568"/>
      <c r="F34" s="543"/>
      <c r="G34" s="568"/>
      <c r="H34" s="319">
        <f t="shared" si="0"/>
        <v>20</v>
      </c>
      <c r="I34" s="513">
        <f t="shared" si="1"/>
        <v>46.961</v>
      </c>
      <c r="J34" s="547"/>
      <c r="K34" s="549"/>
      <c r="L34" s="23">
        <f t="shared" si="2"/>
      </c>
      <c r="M34" s="24">
        <f t="shared" si="3"/>
      </c>
      <c r="N34" s="551"/>
      <c r="O34" s="570">
        <f t="shared" si="4"/>
      </c>
      <c r="P34" s="22">
        <f t="shared" si="5"/>
      </c>
      <c r="Q34" s="553">
        <f t="shared" si="6"/>
      </c>
      <c r="R34" s="571" t="str">
        <f t="shared" si="7"/>
        <v>--</v>
      </c>
      <c r="S34" s="572" t="str">
        <f t="shared" si="8"/>
        <v>--</v>
      </c>
      <c r="T34" s="554" t="str">
        <f t="shared" si="9"/>
        <v>--</v>
      </c>
      <c r="U34" s="555" t="str">
        <f t="shared" si="10"/>
        <v>--</v>
      </c>
      <c r="V34" s="556" t="str">
        <f t="shared" si="11"/>
        <v>--</v>
      </c>
      <c r="W34" s="573" t="str">
        <f t="shared" si="12"/>
        <v>--</v>
      </c>
      <c r="X34" s="574" t="str">
        <f t="shared" si="13"/>
        <v>--</v>
      </c>
      <c r="Y34" s="575" t="str">
        <f t="shared" si="14"/>
        <v>--</v>
      </c>
      <c r="Z34" s="557" t="str">
        <f t="shared" si="18"/>
        <v>--</v>
      </c>
      <c r="AA34" s="558" t="str">
        <f t="shared" si="19"/>
        <v>--</v>
      </c>
      <c r="AB34" s="576">
        <f t="shared" si="15"/>
      </c>
      <c r="AC34" s="376">
        <f t="shared" si="16"/>
        <v>0</v>
      </c>
      <c r="AD34" s="25">
        <f t="shared" si="17"/>
      </c>
      <c r="AE34" s="130"/>
    </row>
    <row r="35" spans="2:31" s="16" customFormat="1" ht="16.5" customHeight="1">
      <c r="B35" s="102"/>
      <c r="C35" s="541"/>
      <c r="D35" s="541"/>
      <c r="E35" s="568"/>
      <c r="F35" s="543"/>
      <c r="G35" s="568"/>
      <c r="H35" s="319">
        <f t="shared" si="0"/>
        <v>20</v>
      </c>
      <c r="I35" s="513">
        <f t="shared" si="1"/>
        <v>46.961</v>
      </c>
      <c r="J35" s="547"/>
      <c r="K35" s="549"/>
      <c r="L35" s="23">
        <f t="shared" si="2"/>
      </c>
      <c r="M35" s="24">
        <f t="shared" si="3"/>
      </c>
      <c r="N35" s="551"/>
      <c r="O35" s="570">
        <f t="shared" si="4"/>
      </c>
      <c r="P35" s="22">
        <f t="shared" si="5"/>
      </c>
      <c r="Q35" s="553">
        <f t="shared" si="6"/>
      </c>
      <c r="R35" s="571" t="str">
        <f t="shared" si="7"/>
        <v>--</v>
      </c>
      <c r="S35" s="572" t="str">
        <f t="shared" si="8"/>
        <v>--</v>
      </c>
      <c r="T35" s="554" t="str">
        <f t="shared" si="9"/>
        <v>--</v>
      </c>
      <c r="U35" s="555" t="str">
        <f t="shared" si="10"/>
        <v>--</v>
      </c>
      <c r="V35" s="556" t="str">
        <f t="shared" si="11"/>
        <v>--</v>
      </c>
      <c r="W35" s="573" t="str">
        <f t="shared" si="12"/>
        <v>--</v>
      </c>
      <c r="X35" s="574" t="str">
        <f t="shared" si="13"/>
        <v>--</v>
      </c>
      <c r="Y35" s="575" t="str">
        <f t="shared" si="14"/>
        <v>--</v>
      </c>
      <c r="Z35" s="557" t="str">
        <f t="shared" si="18"/>
        <v>--</v>
      </c>
      <c r="AA35" s="558" t="str">
        <f t="shared" si="19"/>
        <v>--</v>
      </c>
      <c r="AB35" s="576">
        <f t="shared" si="15"/>
      </c>
      <c r="AC35" s="376">
        <f t="shared" si="16"/>
        <v>0</v>
      </c>
      <c r="AD35" s="25">
        <f t="shared" si="17"/>
      </c>
      <c r="AE35" s="130"/>
    </row>
    <row r="36" spans="2:31" s="16" customFormat="1" ht="16.5" customHeight="1">
      <c r="B36" s="102"/>
      <c r="C36" s="541"/>
      <c r="D36" s="541"/>
      <c r="E36" s="568"/>
      <c r="F36" s="543"/>
      <c r="G36" s="568"/>
      <c r="H36" s="319">
        <f t="shared" si="0"/>
        <v>20</v>
      </c>
      <c r="I36" s="513">
        <f t="shared" si="1"/>
        <v>46.961</v>
      </c>
      <c r="J36" s="547"/>
      <c r="K36" s="549"/>
      <c r="L36" s="23">
        <f t="shared" si="2"/>
      </c>
      <c r="M36" s="24">
        <f t="shared" si="3"/>
      </c>
      <c r="N36" s="551"/>
      <c r="O36" s="570">
        <f t="shared" si="4"/>
      </c>
      <c r="P36" s="22">
        <f t="shared" si="5"/>
      </c>
      <c r="Q36" s="553">
        <f t="shared" si="6"/>
      </c>
      <c r="R36" s="571" t="str">
        <f t="shared" si="7"/>
        <v>--</v>
      </c>
      <c r="S36" s="572" t="str">
        <f t="shared" si="8"/>
        <v>--</v>
      </c>
      <c r="T36" s="554" t="str">
        <f t="shared" si="9"/>
        <v>--</v>
      </c>
      <c r="U36" s="555" t="str">
        <f t="shared" si="10"/>
        <v>--</v>
      </c>
      <c r="V36" s="556" t="str">
        <f t="shared" si="11"/>
        <v>--</v>
      </c>
      <c r="W36" s="573" t="str">
        <f t="shared" si="12"/>
        <v>--</v>
      </c>
      <c r="X36" s="574" t="str">
        <f t="shared" si="13"/>
        <v>--</v>
      </c>
      <c r="Y36" s="575" t="str">
        <f t="shared" si="14"/>
        <v>--</v>
      </c>
      <c r="Z36" s="557" t="str">
        <f t="shared" si="18"/>
        <v>--</v>
      </c>
      <c r="AA36" s="558" t="str">
        <f t="shared" si="19"/>
        <v>--</v>
      </c>
      <c r="AB36" s="576">
        <f t="shared" si="15"/>
      </c>
      <c r="AC36" s="376">
        <f t="shared" si="16"/>
        <v>0</v>
      </c>
      <c r="AD36" s="25">
        <f t="shared" si="17"/>
      </c>
      <c r="AE36" s="130"/>
    </row>
    <row r="37" spans="2:31" s="16" customFormat="1" ht="16.5" customHeight="1">
      <c r="B37" s="102"/>
      <c r="C37" s="541"/>
      <c r="D37" s="541"/>
      <c r="E37" s="568"/>
      <c r="F37" s="543"/>
      <c r="G37" s="568"/>
      <c r="H37" s="319">
        <f t="shared" si="0"/>
        <v>20</v>
      </c>
      <c r="I37" s="513">
        <f t="shared" si="1"/>
        <v>46.961</v>
      </c>
      <c r="J37" s="547"/>
      <c r="K37" s="549"/>
      <c r="L37" s="23">
        <f t="shared" si="2"/>
      </c>
      <c r="M37" s="24">
        <f t="shared" si="3"/>
      </c>
      <c r="N37" s="551"/>
      <c r="O37" s="570">
        <f t="shared" si="4"/>
      </c>
      <c r="P37" s="22">
        <f t="shared" si="5"/>
      </c>
      <c r="Q37" s="553">
        <f t="shared" si="6"/>
      </c>
      <c r="R37" s="571" t="str">
        <f t="shared" si="7"/>
        <v>--</v>
      </c>
      <c r="S37" s="572" t="str">
        <f t="shared" si="8"/>
        <v>--</v>
      </c>
      <c r="T37" s="554" t="str">
        <f t="shared" si="9"/>
        <v>--</v>
      </c>
      <c r="U37" s="555" t="str">
        <f t="shared" si="10"/>
        <v>--</v>
      </c>
      <c r="V37" s="556" t="str">
        <f t="shared" si="11"/>
        <v>--</v>
      </c>
      <c r="W37" s="573" t="str">
        <f t="shared" si="12"/>
        <v>--</v>
      </c>
      <c r="X37" s="574" t="str">
        <f t="shared" si="13"/>
        <v>--</v>
      </c>
      <c r="Y37" s="575" t="str">
        <f t="shared" si="14"/>
        <v>--</v>
      </c>
      <c r="Z37" s="557" t="str">
        <f t="shared" si="18"/>
        <v>--</v>
      </c>
      <c r="AA37" s="558" t="str">
        <f t="shared" si="19"/>
        <v>--</v>
      </c>
      <c r="AB37" s="576">
        <f t="shared" si="15"/>
      </c>
      <c r="AC37" s="376">
        <f t="shared" si="16"/>
        <v>0</v>
      </c>
      <c r="AD37" s="25">
        <f t="shared" si="17"/>
      </c>
      <c r="AE37" s="130"/>
    </row>
    <row r="38" spans="2:31" s="16" customFormat="1" ht="16.5" customHeight="1">
      <c r="B38" s="102"/>
      <c r="C38" s="541"/>
      <c r="D38" s="541"/>
      <c r="E38" s="568"/>
      <c r="F38" s="543"/>
      <c r="G38" s="568"/>
      <c r="H38" s="319">
        <f>IF(G38="A",200,IF(G38="B",60,20))</f>
        <v>20</v>
      </c>
      <c r="I38" s="513">
        <f t="shared" si="1"/>
        <v>46.961</v>
      </c>
      <c r="J38" s="547"/>
      <c r="K38" s="549"/>
      <c r="L38" s="23">
        <f t="shared" si="2"/>
      </c>
      <c r="M38" s="24">
        <f t="shared" si="3"/>
      </c>
      <c r="N38" s="551"/>
      <c r="O38" s="570">
        <f t="shared" si="4"/>
      </c>
      <c r="P38" s="22">
        <f t="shared" si="5"/>
      </c>
      <c r="Q38" s="553">
        <f t="shared" si="6"/>
      </c>
      <c r="R38" s="571" t="str">
        <f t="shared" si="7"/>
        <v>--</v>
      </c>
      <c r="S38" s="572" t="str">
        <f t="shared" si="8"/>
        <v>--</v>
      </c>
      <c r="T38" s="554" t="str">
        <f t="shared" si="9"/>
        <v>--</v>
      </c>
      <c r="U38" s="555" t="str">
        <f t="shared" si="10"/>
        <v>--</v>
      </c>
      <c r="V38" s="556" t="str">
        <f t="shared" si="11"/>
        <v>--</v>
      </c>
      <c r="W38" s="573" t="str">
        <f t="shared" si="12"/>
        <v>--</v>
      </c>
      <c r="X38" s="574" t="str">
        <f t="shared" si="13"/>
        <v>--</v>
      </c>
      <c r="Y38" s="575" t="str">
        <f t="shared" si="14"/>
        <v>--</v>
      </c>
      <c r="Z38" s="557" t="str">
        <f t="shared" si="18"/>
        <v>--</v>
      </c>
      <c r="AA38" s="558" t="str">
        <f t="shared" si="19"/>
        <v>--</v>
      </c>
      <c r="AB38" s="576">
        <f t="shared" si="15"/>
      </c>
      <c r="AC38" s="376">
        <f t="shared" si="16"/>
        <v>0</v>
      </c>
      <c r="AD38" s="25">
        <f t="shared" si="17"/>
      </c>
      <c r="AE38" s="130"/>
    </row>
    <row r="39" spans="2:31" s="16" customFormat="1" ht="16.5" customHeight="1">
      <c r="B39" s="102"/>
      <c r="C39" s="541"/>
      <c r="D39" s="541"/>
      <c r="E39" s="568"/>
      <c r="F39" s="543"/>
      <c r="G39" s="568"/>
      <c r="H39" s="319">
        <f>IF(G39="A",200,IF(G39="B",60,20))</f>
        <v>20</v>
      </c>
      <c r="I39" s="513">
        <f>IF(E39=500,IF(F39&lt;100,$E$15,F39*$E$15/100),IF(F39&lt;100,$E$16,F39*$E$16/100))</f>
        <v>46.961</v>
      </c>
      <c r="J39" s="547"/>
      <c r="K39" s="549"/>
      <c r="L39" s="23">
        <f>IF(D39="","",(K39-J39)*24)</f>
      </c>
      <c r="M39" s="24">
        <f>IF(D39="","",ROUND((K39-J39)*24*60,0))</f>
      </c>
      <c r="N39" s="551"/>
      <c r="O39" s="570">
        <f>IF(D39="","","--")</f>
      </c>
      <c r="P39" s="22">
        <f>IF(D39="","","NO")</f>
      </c>
      <c r="Q39" s="553">
        <f t="shared" si="6"/>
      </c>
      <c r="R39" s="571" t="str">
        <f>IF(N39="P",I39*H39*ROUND(M39/60,2)*0.01,"--")</f>
        <v>--</v>
      </c>
      <c r="S39" s="572" t="str">
        <f>IF(N39="RP",I39*H39*ROUND(M39/60,2)*0.01*O39/100,"--")</f>
        <v>--</v>
      </c>
      <c r="T39" s="554" t="str">
        <f>IF(AND(N39="F",Q39="NO"),I39*H39*IF(P39="SI",1.2,1),"--")</f>
        <v>--</v>
      </c>
      <c r="U39" s="555" t="str">
        <f>IF(AND(N39="F",M39&gt;=10),I39*H39*IF(P39="SI",1.2,1)*IF(M39&lt;=300,ROUND(M39/60,2),5),"--")</f>
        <v>--</v>
      </c>
      <c r="V39" s="556" t="str">
        <f>IF(AND(N39="F",M39&gt;300),(ROUND(M39/60,2)-5)*I39*H39*0.1*IF(P39="SI",1.2,1),"--")</f>
        <v>--</v>
      </c>
      <c r="W39" s="573" t="str">
        <f>IF(AND(N39="R",Q39="NO"),I39*H39*O39/100*IF(P39="SI",1.2,1),"--")</f>
        <v>--</v>
      </c>
      <c r="X39" s="574" t="str">
        <f>IF(AND(N39="R",M39&gt;=10),IF(M39&lt;=300,I39*H39*O39/100*IF(P39="SI",1.2,1)*ROUND(M39/60,2),5),"--")</f>
        <v>--</v>
      </c>
      <c r="Y39" s="575" t="str">
        <f>IF(AND(N39="R",M39&gt;300),(ROUND(M39/60,2)-5)*I39*H39*0.1*O39/100*IF(P39="SI",1.2,1),"--")</f>
        <v>--</v>
      </c>
      <c r="Z39" s="557" t="str">
        <f t="shared" si="18"/>
        <v>--</v>
      </c>
      <c r="AA39" s="558" t="str">
        <f t="shared" si="19"/>
        <v>--</v>
      </c>
      <c r="AB39" s="576">
        <f>IF(D39="","","SI")</f>
      </c>
      <c r="AC39" s="376">
        <f>SUM(R39:AA39)*IF(AB39="SI",1,2)</f>
        <v>0</v>
      </c>
      <c r="AD39" s="25">
        <f>IF(D39="","",AC39*$K$16)</f>
      </c>
      <c r="AE39" s="130"/>
    </row>
    <row r="40" spans="2:31" s="16" customFormat="1" ht="16.5" customHeight="1">
      <c r="B40" s="102"/>
      <c r="C40" s="541"/>
      <c r="D40" s="541"/>
      <c r="E40" s="569"/>
      <c r="F40" s="543"/>
      <c r="G40" s="568"/>
      <c r="H40" s="319">
        <f>IF(G40="A",200,IF(G40="B",60,20))</f>
        <v>20</v>
      </c>
      <c r="I40" s="513">
        <f>IF(E40=500,IF(F40&lt;100,$E$15,F40*$E$15/100),IF(F40&lt;100,$E$16,F40*$E$16/100))</f>
        <v>46.961</v>
      </c>
      <c r="J40" s="547"/>
      <c r="K40" s="549"/>
      <c r="L40" s="23">
        <f>IF(D40="","",(K40-J40)*24)</f>
      </c>
      <c r="M40" s="24">
        <f>IF(D40="","",ROUND((K40-J40)*24*60,0))</f>
      </c>
      <c r="N40" s="551"/>
      <c r="O40" s="570">
        <f>IF(D40="","","--")</f>
      </c>
      <c r="P40" s="22">
        <f>IF(D40="","","NO")</f>
      </c>
      <c r="Q40" s="553">
        <f t="shared" si="6"/>
      </c>
      <c r="R40" s="571" t="str">
        <f>IF(N40="P",I40*H40*ROUND(M40/60,2)*0.01,"--")</f>
        <v>--</v>
      </c>
      <c r="S40" s="572" t="str">
        <f>IF(N40="RP",I40*H40*ROUND(M40/60,2)*0.01*O40/100,"--")</f>
        <v>--</v>
      </c>
      <c r="T40" s="554" t="str">
        <f>IF(AND(N40="F",Q40="NO"),I40*H40*IF(P40="SI",1.2,1),"--")</f>
        <v>--</v>
      </c>
      <c r="U40" s="555" t="str">
        <f>IF(AND(N40="F",M40&gt;=10),I40*H40*IF(P40="SI",1.2,1)*IF(M40&lt;=300,ROUND(M40/60,2),5),"--")</f>
        <v>--</v>
      </c>
      <c r="V40" s="556" t="str">
        <f>IF(AND(N40="F",M40&gt;300),(ROUND(M40/60,2)-5)*I40*H40*0.1*IF(P40="SI",1.2,1),"--")</f>
        <v>--</v>
      </c>
      <c r="W40" s="573" t="str">
        <f>IF(AND(N40="R",Q40="NO"),I40*H40*O40/100*IF(P40="SI",1.2,1),"--")</f>
        <v>--</v>
      </c>
      <c r="X40" s="574" t="str">
        <f>IF(AND(N40="R",M40&gt;=10),IF(M40&lt;=300,I40*H40*O40/100*IF(P40="SI",1.2,1)*ROUND(M40/60,2),5),"--")</f>
        <v>--</v>
      </c>
      <c r="Y40" s="575" t="str">
        <f>IF(AND(N40="R",M40&gt;300),(ROUND(M40/60,2)-5)*I40*H40*0.1*O40/100*IF(P40="SI",1.2,1),"--")</f>
        <v>--</v>
      </c>
      <c r="Z40" s="557" t="str">
        <f t="shared" si="18"/>
        <v>--</v>
      </c>
      <c r="AA40" s="558" t="str">
        <f t="shared" si="19"/>
        <v>--</v>
      </c>
      <c r="AB40" s="576">
        <f>IF(D40="","","SI")</f>
      </c>
      <c r="AC40" s="376">
        <f>SUM(R40:AA40)*IF(AB40="SI",1,2)</f>
        <v>0</v>
      </c>
      <c r="AD40" s="25">
        <f>IF(D40="","",AC40*$K$16)</f>
      </c>
      <c r="AE40" s="130"/>
    </row>
    <row r="41" spans="2:31" s="16" customFormat="1" ht="16.5" customHeight="1">
      <c r="B41" s="102"/>
      <c r="C41" s="541"/>
      <c r="D41" s="541"/>
      <c r="E41" s="569"/>
      <c r="F41" s="543"/>
      <c r="G41" s="568"/>
      <c r="H41" s="319">
        <f>IF(G41="A",200,IF(G41="B",60,20))</f>
        <v>20</v>
      </c>
      <c r="I41" s="513">
        <f>IF(E41=500,IF(F41&lt;100,$E$15,F41*$E$15/100),IF(F41&lt;100,$E$16,F41*$E$16/100))</f>
        <v>46.961</v>
      </c>
      <c r="J41" s="547"/>
      <c r="K41" s="549"/>
      <c r="L41" s="23">
        <f>IF(D41="","",(K41-J41)*24)</f>
      </c>
      <c r="M41" s="24">
        <f>IF(D41="","",ROUND((K41-J41)*24*60,0))</f>
      </c>
      <c r="N41" s="551"/>
      <c r="O41" s="570">
        <f>IF(D41="","","--")</f>
      </c>
      <c r="P41" s="22">
        <f>IF(D41="","","NO")</f>
      </c>
      <c r="Q41" s="553">
        <f t="shared" si="6"/>
      </c>
      <c r="R41" s="571" t="str">
        <f>IF(N41="P",I41*H41*ROUND(M41/60,2)*0.01,"--")</f>
        <v>--</v>
      </c>
      <c r="S41" s="572" t="str">
        <f>IF(N41="RP",I41*H41*ROUND(M41/60,2)*0.01*O41/100,"--")</f>
        <v>--</v>
      </c>
      <c r="T41" s="554" t="str">
        <f>IF(AND(N41="F",Q41="NO"),I41*H41*IF(P41="SI",1.2,1),"--")</f>
        <v>--</v>
      </c>
      <c r="U41" s="555" t="str">
        <f>IF(AND(N41="F",M41&gt;=10),I41*H41*IF(P41="SI",1.2,1)*IF(M41&lt;=300,ROUND(M41/60,2),5),"--")</f>
        <v>--</v>
      </c>
      <c r="V41" s="556" t="str">
        <f>IF(AND(N41="F",M41&gt;300),(ROUND(M41/60,2)-5)*I41*H41*0.1*IF(P41="SI",1.2,1),"--")</f>
        <v>--</v>
      </c>
      <c r="W41" s="573" t="str">
        <f>IF(AND(N41="R",Q41="NO"),I41*H41*O41/100*IF(P41="SI",1.2,1),"--")</f>
        <v>--</v>
      </c>
      <c r="X41" s="574" t="str">
        <f>IF(AND(N41="R",M41&gt;=10),IF(M41&lt;=300,I41*H41*O41/100*IF(P41="SI",1.2,1)*ROUND(M41/60,2),5),"--")</f>
        <v>--</v>
      </c>
      <c r="Y41" s="575" t="str">
        <f>IF(AND(N41="R",M41&gt;300),(ROUND(M41/60,2)-5)*I41*H41*0.1*O41/100*IF(P41="SI",1.2,1),"--")</f>
        <v>--</v>
      </c>
      <c r="Z41" s="557" t="str">
        <f>IF(N41="RF",ROUND(M41/60,2)*I41*H41*0.1*IF(P41="SI",1.2,1),"--")</f>
        <v>--</v>
      </c>
      <c r="AA41" s="558" t="str">
        <f>IF(N41="RR",ROUND(M41/60,2)*I41*H41*0.1*O41/100*IF(P41="SI",1.2,1),"--")</f>
        <v>--</v>
      </c>
      <c r="AB41" s="576">
        <f>IF(D41="","","SI")</f>
      </c>
      <c r="AC41" s="376">
        <f>SUM(R41:AA41)*IF(AB41="SI",1,2)</f>
        <v>0</v>
      </c>
      <c r="AD41" s="25">
        <f>IF(D41="","",AC41*$K$16)</f>
      </c>
      <c r="AE41" s="130"/>
    </row>
    <row r="42" spans="2:31" s="16" customFormat="1" ht="16.5" customHeight="1" thickBot="1">
      <c r="B42" s="102"/>
      <c r="C42" s="544"/>
      <c r="D42" s="544"/>
      <c r="E42" s="545"/>
      <c r="F42" s="544"/>
      <c r="G42" s="546"/>
      <c r="H42" s="311"/>
      <c r="I42" s="347"/>
      <c r="J42" s="550"/>
      <c r="K42" s="550"/>
      <c r="L42" s="28"/>
      <c r="M42" s="28"/>
      <c r="N42" s="550"/>
      <c r="O42" s="559"/>
      <c r="P42" s="28"/>
      <c r="Q42" s="550"/>
      <c r="R42" s="577"/>
      <c r="S42" s="578"/>
      <c r="T42" s="560"/>
      <c r="U42" s="561"/>
      <c r="V42" s="562"/>
      <c r="W42" s="579"/>
      <c r="X42" s="580"/>
      <c r="Y42" s="581"/>
      <c r="Z42" s="563"/>
      <c r="AA42" s="564"/>
      <c r="AB42" s="582"/>
      <c r="AC42" s="377"/>
      <c r="AD42" s="29"/>
      <c r="AE42" s="130"/>
    </row>
    <row r="43" spans="2:31" s="16" customFormat="1" ht="16.5" customHeight="1" thickBot="1" thickTop="1">
      <c r="B43" s="102"/>
      <c r="C43" s="246" t="s">
        <v>59</v>
      </c>
      <c r="D43" s="247" t="s">
        <v>147</v>
      </c>
      <c r="E43" s="31"/>
      <c r="F43" s="1"/>
      <c r="G43" s="32"/>
      <c r="H43" s="1"/>
      <c r="I43" s="33"/>
      <c r="J43" s="33"/>
      <c r="K43" s="33"/>
      <c r="L43" s="33"/>
      <c r="M43" s="33"/>
      <c r="N43" s="33"/>
      <c r="O43" s="34"/>
      <c r="P43" s="33"/>
      <c r="Q43" s="33"/>
      <c r="R43" s="349">
        <f aca="true" t="shared" si="20" ref="R43:AA43">SUM(R20:R42)</f>
        <v>139.7216282</v>
      </c>
      <c r="S43" s="356">
        <f t="shared" si="20"/>
        <v>0</v>
      </c>
      <c r="T43" s="360">
        <f t="shared" si="20"/>
        <v>0</v>
      </c>
      <c r="U43" s="361">
        <f t="shared" si="20"/>
        <v>0</v>
      </c>
      <c r="V43" s="362">
        <f t="shared" si="20"/>
        <v>0</v>
      </c>
      <c r="W43" s="370">
        <f t="shared" si="20"/>
        <v>0</v>
      </c>
      <c r="X43" s="371">
        <f t="shared" si="20"/>
        <v>0</v>
      </c>
      <c r="Y43" s="372">
        <f t="shared" si="20"/>
        <v>0</v>
      </c>
      <c r="Z43" s="339">
        <f t="shared" si="20"/>
        <v>0</v>
      </c>
      <c r="AA43" s="340">
        <f t="shared" si="20"/>
        <v>0</v>
      </c>
      <c r="AB43" s="35"/>
      <c r="AC43" s="374">
        <f>ROUND(SUM(AC20:AC42),2)</f>
        <v>139.72</v>
      </c>
      <c r="AD43" s="61">
        <f>ROUND(SUM(AD20:AD42),2)</f>
        <v>139.72</v>
      </c>
      <c r="AE43" s="130"/>
    </row>
    <row r="44" spans="2:31" s="251" customFormat="1" ht="9.75" thickTop="1">
      <c r="B44" s="252"/>
      <c r="C44" s="248"/>
      <c r="D44" s="250"/>
      <c r="E44" s="253"/>
      <c r="F44" s="254"/>
      <c r="G44" s="255"/>
      <c r="H44" s="254"/>
      <c r="I44" s="256"/>
      <c r="J44" s="256"/>
      <c r="K44" s="256"/>
      <c r="L44" s="256"/>
      <c r="M44" s="256"/>
      <c r="N44" s="256"/>
      <c r="O44" s="257"/>
      <c r="P44" s="256"/>
      <c r="Q44" s="256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9"/>
      <c r="AD44" s="259"/>
      <c r="AE44" s="260"/>
    </row>
    <row r="45" spans="2:31" s="16" customFormat="1" ht="16.5" customHeight="1" thickBot="1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3"/>
    </row>
    <row r="46" spans="2:31" ht="16.5" customHeight="1" thickTop="1">
      <c r="B46" s="12"/>
      <c r="AE46" s="12"/>
    </row>
  </sheetData>
  <mergeCells count="1">
    <mergeCell ref="M14:Q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C155"/>
  <sheetViews>
    <sheetView zoomScale="75" zoomScaleNormal="75" workbookViewId="0" topLeftCell="D1">
      <selection activeCell="L55" sqref="L55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0" customFormat="1" ht="26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518"/>
    </row>
    <row r="2" spans="1:28" s="70" customFormat="1" ht="26.25">
      <c r="A2" s="120"/>
      <c r="B2" s="165" t="str">
        <f>+'tot-0312'!B2</f>
        <v>ANEXO I-2 a la Resolución ENRE N° 403/2008.-</v>
      </c>
      <c r="C2" s="165"/>
      <c r="D2" s="165"/>
      <c r="E2" s="71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7" customFormat="1" ht="11.25">
      <c r="A4" s="189" t="s">
        <v>73</v>
      </c>
      <c r="B4" s="190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s="77" customFormat="1" ht="11.25">
      <c r="A5" s="189" t="s">
        <v>25</v>
      </c>
      <c r="B5" s="190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24"/>
    </row>
    <row r="8" spans="1:28" s="10" customFormat="1" ht="20.25">
      <c r="A8" s="167"/>
      <c r="B8" s="168"/>
      <c r="C8" s="167"/>
      <c r="D8" s="170" t="s">
        <v>38</v>
      </c>
      <c r="E8" s="167"/>
      <c r="F8" s="167"/>
      <c r="G8" s="169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6"/>
      <c r="S8" s="36"/>
      <c r="T8" s="36"/>
      <c r="U8" s="36"/>
      <c r="V8" s="36"/>
      <c r="W8" s="36"/>
      <c r="X8" s="36"/>
      <c r="Y8" s="36"/>
      <c r="Z8" s="36"/>
      <c r="AA8" s="36"/>
      <c r="AB8" s="137"/>
    </row>
    <row r="9" spans="1:28" s="16" customFormat="1" ht="12.75">
      <c r="A9" s="45"/>
      <c r="B9" s="158"/>
      <c r="C9" s="45"/>
      <c r="D9" s="46"/>
      <c r="E9" s="164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5"/>
    </row>
    <row r="10" spans="1:28" s="10" customFormat="1" ht="20.25">
      <c r="A10" s="167"/>
      <c r="B10" s="168"/>
      <c r="C10" s="167"/>
      <c r="D10" s="7" t="s">
        <v>82</v>
      </c>
      <c r="E10" s="167"/>
      <c r="F10" s="48"/>
      <c r="G10" s="3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37"/>
    </row>
    <row r="11" spans="1:28" s="16" customFormat="1" ht="12.75">
      <c r="A11" s="45"/>
      <c r="B11" s="158"/>
      <c r="C11" s="45"/>
      <c r="D11" s="46"/>
      <c r="E11" s="46"/>
      <c r="F11" s="46"/>
      <c r="G11" s="159"/>
      <c r="H11" s="46"/>
      <c r="I11" s="46"/>
      <c r="J11" s="46"/>
      <c r="K11" s="46"/>
      <c r="L11" s="46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5"/>
    </row>
    <row r="12" spans="1:28" s="15" customFormat="1" ht="19.5">
      <c r="A12" s="172"/>
      <c r="B12" s="173" t="str">
        <f>+'tot-0312'!B14</f>
        <v>Desde el 01 al 31 de diciembre de 2003</v>
      </c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4"/>
      <c r="N12" s="174"/>
      <c r="O12" s="174"/>
      <c r="P12" s="174"/>
      <c r="Q12" s="174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</row>
    <row r="13" spans="1:28" s="16" customFormat="1" ht="13.5" thickBot="1">
      <c r="A13" s="45"/>
      <c r="B13" s="158"/>
      <c r="C13" s="45"/>
      <c r="D13" s="46"/>
      <c r="E13" s="46"/>
      <c r="F13" s="46"/>
      <c r="G13" s="159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5"/>
    </row>
    <row r="14" spans="1:28" s="16" customFormat="1" ht="16.5" customHeight="1" thickBot="1" thickTop="1">
      <c r="A14" s="45"/>
      <c r="B14" s="158"/>
      <c r="C14" s="45"/>
      <c r="D14" s="313" t="s">
        <v>74</v>
      </c>
      <c r="E14" s="314"/>
      <c r="F14" s="315">
        <v>0.059</v>
      </c>
      <c r="H14" s="45"/>
      <c r="I14" s="45"/>
      <c r="J14" s="45"/>
      <c r="K14" s="45"/>
      <c r="L14" s="45"/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125"/>
    </row>
    <row r="15" spans="1:28" s="16" customFormat="1" ht="16.5" customHeight="1" thickBot="1" thickTop="1">
      <c r="A15" s="45"/>
      <c r="B15" s="158"/>
      <c r="C15" s="45"/>
      <c r="D15" s="177" t="s">
        <v>75</v>
      </c>
      <c r="E15" s="178"/>
      <c r="F15" s="179">
        <v>200</v>
      </c>
      <c r="G1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7"/>
      <c r="W15" s="47"/>
      <c r="X15" s="47"/>
      <c r="Y15" s="47"/>
      <c r="Z15" s="47"/>
      <c r="AA15" s="45"/>
      <c r="AB15" s="125"/>
    </row>
    <row r="16" spans="1:28" s="16" customFormat="1" ht="16.5" customHeight="1" thickBot="1" thickTop="1">
      <c r="A16" s="45"/>
      <c r="B16" s="158"/>
      <c r="C16" s="45"/>
      <c r="D16" s="46"/>
      <c r="E16" s="46"/>
      <c r="F16" s="46"/>
      <c r="G16" s="160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5"/>
    </row>
    <row r="17" spans="1:28" s="16" customFormat="1" ht="33.75" customHeight="1" thickBot="1" thickTop="1">
      <c r="A17" s="45"/>
      <c r="B17" s="158"/>
      <c r="C17" s="180" t="s">
        <v>39</v>
      </c>
      <c r="D17" s="183" t="s">
        <v>76</v>
      </c>
      <c r="E17" s="181" t="s">
        <v>18</v>
      </c>
      <c r="F17" s="184" t="s">
        <v>77</v>
      </c>
      <c r="G17" s="185" t="s">
        <v>40</v>
      </c>
      <c r="H17" s="308" t="s">
        <v>44</v>
      </c>
      <c r="I17" s="181" t="s">
        <v>45</v>
      </c>
      <c r="J17" s="181" t="s">
        <v>46</v>
      </c>
      <c r="K17" s="183" t="s">
        <v>78</v>
      </c>
      <c r="L17" s="183" t="s">
        <v>48</v>
      </c>
      <c r="M17" s="150" t="s">
        <v>49</v>
      </c>
      <c r="N17" s="150" t="s">
        <v>50</v>
      </c>
      <c r="O17" s="182" t="s">
        <v>52</v>
      </c>
      <c r="P17" s="181" t="s">
        <v>79</v>
      </c>
      <c r="Q17" s="382" t="s">
        <v>43</v>
      </c>
      <c r="R17" s="385" t="s">
        <v>53</v>
      </c>
      <c r="S17" s="389" t="s">
        <v>54</v>
      </c>
      <c r="T17" s="305" t="s">
        <v>80</v>
      </c>
      <c r="U17" s="307"/>
      <c r="V17" s="399" t="s">
        <v>81</v>
      </c>
      <c r="W17" s="400"/>
      <c r="X17" s="408" t="s">
        <v>55</v>
      </c>
      <c r="Y17" s="411" t="s">
        <v>56</v>
      </c>
      <c r="Z17" s="152" t="s">
        <v>57</v>
      </c>
      <c r="AA17" s="185" t="s">
        <v>58</v>
      </c>
      <c r="AB17" s="125"/>
    </row>
    <row r="18" spans="1:28" s="16" customFormat="1" ht="16.5" customHeight="1" thickTop="1">
      <c r="A18" s="45"/>
      <c r="B18" s="158"/>
      <c r="C18" s="379"/>
      <c r="D18" s="379"/>
      <c r="E18" s="379"/>
      <c r="F18" s="379"/>
      <c r="G18" s="380"/>
      <c r="H18" s="378"/>
      <c r="I18" s="379"/>
      <c r="J18" s="379"/>
      <c r="K18" s="379"/>
      <c r="L18" s="379"/>
      <c r="M18" s="379"/>
      <c r="N18" s="332"/>
      <c r="O18" s="381"/>
      <c r="P18" s="379"/>
      <c r="Q18" s="383"/>
      <c r="R18" s="386"/>
      <c r="S18" s="390"/>
      <c r="T18" s="393"/>
      <c r="U18" s="394"/>
      <c r="V18" s="401"/>
      <c r="W18" s="402"/>
      <c r="X18" s="409"/>
      <c r="Y18" s="412"/>
      <c r="Z18" s="381"/>
      <c r="AA18" s="515"/>
      <c r="AB18" s="125"/>
    </row>
    <row r="19" spans="1:28" s="16" customFormat="1" ht="16.5" customHeight="1">
      <c r="A19" s="45"/>
      <c r="B19" s="158"/>
      <c r="C19" s="38"/>
      <c r="D19" s="38"/>
      <c r="E19" s="38"/>
      <c r="F19" s="38"/>
      <c r="G19" s="39"/>
      <c r="H19" s="317"/>
      <c r="I19" s="38"/>
      <c r="J19" s="38"/>
      <c r="K19" s="38"/>
      <c r="L19" s="38"/>
      <c r="M19" s="38"/>
      <c r="N19" s="18"/>
      <c r="O19" s="40"/>
      <c r="P19" s="38"/>
      <c r="Q19" s="384"/>
      <c r="R19" s="387"/>
      <c r="S19" s="391"/>
      <c r="T19" s="395"/>
      <c r="U19" s="396"/>
      <c r="V19" s="403"/>
      <c r="W19" s="404"/>
      <c r="X19" s="410"/>
      <c r="Y19" s="413"/>
      <c r="Z19" s="40"/>
      <c r="AA19" s="186"/>
      <c r="AB19" s="125"/>
    </row>
    <row r="20" spans="1:28" s="16" customFormat="1" ht="16.5" customHeight="1">
      <c r="A20" s="45"/>
      <c r="B20" s="158"/>
      <c r="C20" s="542" t="s">
        <v>115</v>
      </c>
      <c r="D20" s="650" t="s">
        <v>7</v>
      </c>
      <c r="E20" s="650" t="s">
        <v>98</v>
      </c>
      <c r="F20" s="650">
        <v>300</v>
      </c>
      <c r="G20" s="650" t="s">
        <v>8</v>
      </c>
      <c r="H20" s="514">
        <f aca="true" t="shared" si="0" ref="H20:H39">F20*$F$14</f>
        <v>17.7</v>
      </c>
      <c r="I20" s="592">
        <v>37976.222916666666</v>
      </c>
      <c r="J20" s="592">
        <v>37976.436111111114</v>
      </c>
      <c r="K20" s="41">
        <f aca="true" t="shared" si="1" ref="K20:K39">IF(D20="","",(J20-I20)*24)</f>
        <v>5.116666666755918</v>
      </c>
      <c r="L20" s="42">
        <f aca="true" t="shared" si="2" ref="L20:L39">IF(D20="","",ROUND((J20-I20)*24*60,0))</f>
        <v>307</v>
      </c>
      <c r="M20" s="594" t="s">
        <v>107</v>
      </c>
      <c r="N20" s="570" t="str">
        <f aca="true" t="shared" si="3" ref="N20:N39">IF(D20="","","--")</f>
        <v>--</v>
      </c>
      <c r="O20" s="595" t="str">
        <f>IF(D20="","",IF(OR(M20="P",M20="RP"),"--","NO"))</f>
        <v>--</v>
      </c>
      <c r="P20" s="553" t="str">
        <f aca="true" t="shared" si="4" ref="P20:P39">IF(D20="","","NO")</f>
        <v>NO</v>
      </c>
      <c r="Q20" s="615">
        <f aca="true" t="shared" si="5" ref="Q20:Q39">$F$15*IF(OR(M20="P",M20="RP"),0.1,1)*IF(P20="SI",1,0.1)</f>
        <v>2</v>
      </c>
      <c r="R20" s="598">
        <f aca="true" t="shared" si="6" ref="R20:R39">IF(M20="P",H20*Q20*ROUND(L20/60,2),"--")</f>
        <v>181.248</v>
      </c>
      <c r="S20" s="599" t="str">
        <f aca="true" t="shared" si="7" ref="S20:S39">IF(M20="RP",H20*Q20*N20/100*ROUND(L20/60,2),"--")</f>
        <v>--</v>
      </c>
      <c r="T20" s="600" t="str">
        <f aca="true" t="shared" si="8" ref="T20:T39">IF(AND(M20="F",O20="NO"),H20*Q20,"--")</f>
        <v>--</v>
      </c>
      <c r="U20" s="601" t="str">
        <f aca="true" t="shared" si="9" ref="U20:U39">IF(M20="F",H20*Q20*ROUND(L20/60,2),"--")</f>
        <v>--</v>
      </c>
      <c r="V20" s="602" t="str">
        <f aca="true" t="shared" si="10" ref="V20:V39">IF(AND(M20="R",O20="NO"),H20*Q20*N20/100,"--")</f>
        <v>--</v>
      </c>
      <c r="W20" s="603" t="str">
        <f aca="true" t="shared" si="11" ref="W20:W39">IF(M20="R",H20*Q20*N20/100*ROUND(L20/60,2),"--")</f>
        <v>--</v>
      </c>
      <c r="X20" s="604" t="str">
        <f aca="true" t="shared" si="12" ref="X20:X39">IF(M20="RF",H20*Q20*ROUND(L20/60,2),"--")</f>
        <v>--</v>
      </c>
      <c r="Y20" s="605" t="str">
        <f aca="true" t="shared" si="13" ref="Y20:Y39">IF(M20="RR",H20*Q20*N20/100*ROUND(L20/60,2),"--")</f>
        <v>--</v>
      </c>
      <c r="Z20" s="616" t="str">
        <f aca="true" t="shared" si="14" ref="Z20:Z39">IF(D20="","","SI")</f>
        <v>SI</v>
      </c>
      <c r="AA20" s="187">
        <f aca="true" t="shared" si="15" ref="AA20:AA39">IF(D20="","",SUM(R20:Y20)*IF(Z20="SI",1,2))</f>
        <v>181.248</v>
      </c>
      <c r="AB20" s="125"/>
    </row>
    <row r="21" spans="1:28" s="16" customFormat="1" ht="16.5" customHeight="1">
      <c r="A21" s="45"/>
      <c r="B21" s="158"/>
      <c r="C21" s="542" t="s">
        <v>116</v>
      </c>
      <c r="D21" s="650" t="s">
        <v>9</v>
      </c>
      <c r="E21" s="650" t="s">
        <v>5</v>
      </c>
      <c r="F21" s="650">
        <v>300</v>
      </c>
      <c r="G21" s="650" t="s">
        <v>8</v>
      </c>
      <c r="H21" s="514">
        <f t="shared" si="0"/>
        <v>17.7</v>
      </c>
      <c r="I21" s="592">
        <v>37979.09444444445</v>
      </c>
      <c r="J21" s="592">
        <v>37979.163194444445</v>
      </c>
      <c r="K21" s="41">
        <f t="shared" si="1"/>
        <v>1.6499999999650754</v>
      </c>
      <c r="L21" s="42">
        <f t="shared" si="2"/>
        <v>99</v>
      </c>
      <c r="M21" s="594" t="s">
        <v>107</v>
      </c>
      <c r="N21" s="570" t="str">
        <f t="shared" si="3"/>
        <v>--</v>
      </c>
      <c r="O21" s="595" t="str">
        <f aca="true" t="shared" si="16" ref="O21:O39">IF(D21="","",IF(M21="P","--","NO"))</f>
        <v>--</v>
      </c>
      <c r="P21" s="553" t="str">
        <f t="shared" si="4"/>
        <v>NO</v>
      </c>
      <c r="Q21" s="615">
        <f t="shared" si="5"/>
        <v>2</v>
      </c>
      <c r="R21" s="598">
        <f t="shared" si="6"/>
        <v>58.41</v>
      </c>
      <c r="S21" s="599" t="str">
        <f t="shared" si="7"/>
        <v>--</v>
      </c>
      <c r="T21" s="600" t="str">
        <f t="shared" si="8"/>
        <v>--</v>
      </c>
      <c r="U21" s="601" t="str">
        <f t="shared" si="9"/>
        <v>--</v>
      </c>
      <c r="V21" s="602" t="str">
        <f t="shared" si="10"/>
        <v>--</v>
      </c>
      <c r="W21" s="603" t="str">
        <f t="shared" si="11"/>
        <v>--</v>
      </c>
      <c r="X21" s="604" t="str">
        <f t="shared" si="12"/>
        <v>--</v>
      </c>
      <c r="Y21" s="605" t="str">
        <f t="shared" si="13"/>
        <v>--</v>
      </c>
      <c r="Z21" s="616" t="str">
        <f t="shared" si="14"/>
        <v>SI</v>
      </c>
      <c r="AA21" s="187">
        <f t="shared" si="15"/>
        <v>58.41</v>
      </c>
      <c r="AB21" s="125"/>
    </row>
    <row r="22" spans="1:28" s="16" customFormat="1" ht="16.5" customHeight="1">
      <c r="A22" s="45"/>
      <c r="B22" s="158"/>
      <c r="C22" s="542" t="s">
        <v>117</v>
      </c>
      <c r="D22" s="650" t="s">
        <v>9</v>
      </c>
      <c r="E22" s="650" t="s">
        <v>98</v>
      </c>
      <c r="F22" s="650">
        <v>300</v>
      </c>
      <c r="G22" s="650" t="s">
        <v>8</v>
      </c>
      <c r="H22" s="514">
        <f t="shared" si="0"/>
        <v>17.7</v>
      </c>
      <c r="I22" s="592">
        <v>37979.174305555556</v>
      </c>
      <c r="J22" s="592">
        <v>37979.21875</v>
      </c>
      <c r="K22" s="41">
        <f t="shared" si="1"/>
        <v>1.0666666666511446</v>
      </c>
      <c r="L22" s="42">
        <f t="shared" si="2"/>
        <v>64</v>
      </c>
      <c r="M22" s="594" t="s">
        <v>107</v>
      </c>
      <c r="N22" s="570" t="str">
        <f t="shared" si="3"/>
        <v>--</v>
      </c>
      <c r="O22" s="595" t="str">
        <f t="shared" si="16"/>
        <v>--</v>
      </c>
      <c r="P22" s="553" t="str">
        <f t="shared" si="4"/>
        <v>NO</v>
      </c>
      <c r="Q22" s="615">
        <f t="shared" si="5"/>
        <v>2</v>
      </c>
      <c r="R22" s="598">
        <f t="shared" si="6"/>
        <v>37.878</v>
      </c>
      <c r="S22" s="599" t="str">
        <f t="shared" si="7"/>
        <v>--</v>
      </c>
      <c r="T22" s="600" t="str">
        <f t="shared" si="8"/>
        <v>--</v>
      </c>
      <c r="U22" s="601" t="str">
        <f t="shared" si="9"/>
        <v>--</v>
      </c>
      <c r="V22" s="602" t="str">
        <f t="shared" si="10"/>
        <v>--</v>
      </c>
      <c r="W22" s="603" t="str">
        <f t="shared" si="11"/>
        <v>--</v>
      </c>
      <c r="X22" s="604" t="str">
        <f t="shared" si="12"/>
        <v>--</v>
      </c>
      <c r="Y22" s="605" t="str">
        <f t="shared" si="13"/>
        <v>--</v>
      </c>
      <c r="Z22" s="616" t="str">
        <f t="shared" si="14"/>
        <v>SI</v>
      </c>
      <c r="AA22" s="187">
        <f t="shared" si="15"/>
        <v>37.878</v>
      </c>
      <c r="AB22" s="125"/>
    </row>
    <row r="23" spans="1:28" s="16" customFormat="1" ht="16.5" customHeight="1">
      <c r="A23" s="45"/>
      <c r="B23" s="158"/>
      <c r="C23" s="542"/>
      <c r="D23" s="583"/>
      <c r="E23" s="584"/>
      <c r="F23" s="585"/>
      <c r="G23" s="586"/>
      <c r="H23" s="514">
        <f t="shared" si="0"/>
        <v>0</v>
      </c>
      <c r="I23" s="592"/>
      <c r="J23" s="592"/>
      <c r="K23" s="41">
        <f t="shared" si="1"/>
      </c>
      <c r="L23" s="42">
        <f t="shared" si="2"/>
      </c>
      <c r="M23" s="594"/>
      <c r="N23" s="570">
        <f t="shared" si="3"/>
      </c>
      <c r="O23" s="595">
        <f t="shared" si="16"/>
      </c>
      <c r="P23" s="553">
        <f t="shared" si="4"/>
      </c>
      <c r="Q23" s="615">
        <f t="shared" si="5"/>
        <v>20</v>
      </c>
      <c r="R23" s="598" t="str">
        <f t="shared" si="6"/>
        <v>--</v>
      </c>
      <c r="S23" s="599" t="str">
        <f t="shared" si="7"/>
        <v>--</v>
      </c>
      <c r="T23" s="600" t="str">
        <f t="shared" si="8"/>
        <v>--</v>
      </c>
      <c r="U23" s="601" t="str">
        <f t="shared" si="9"/>
        <v>--</v>
      </c>
      <c r="V23" s="602" t="str">
        <f t="shared" si="10"/>
        <v>--</v>
      </c>
      <c r="W23" s="603" t="str">
        <f t="shared" si="11"/>
        <v>--</v>
      </c>
      <c r="X23" s="604" t="str">
        <f t="shared" si="12"/>
        <v>--</v>
      </c>
      <c r="Y23" s="605" t="str">
        <f t="shared" si="13"/>
        <v>--</v>
      </c>
      <c r="Z23" s="616">
        <f t="shared" si="14"/>
      </c>
      <c r="AA23" s="187">
        <f t="shared" si="15"/>
      </c>
      <c r="AB23" s="125"/>
    </row>
    <row r="24" spans="1:28" s="16" customFormat="1" ht="16.5" customHeight="1">
      <c r="A24" s="45"/>
      <c r="B24" s="158"/>
      <c r="C24" s="542"/>
      <c r="D24" s="583"/>
      <c r="E24" s="584"/>
      <c r="F24" s="585"/>
      <c r="G24" s="586"/>
      <c r="H24" s="514">
        <f t="shared" si="0"/>
        <v>0</v>
      </c>
      <c r="I24" s="592"/>
      <c r="J24" s="592"/>
      <c r="K24" s="41">
        <f t="shared" si="1"/>
      </c>
      <c r="L24" s="42">
        <f t="shared" si="2"/>
      </c>
      <c r="M24" s="594"/>
      <c r="N24" s="570">
        <f t="shared" si="3"/>
      </c>
      <c r="O24" s="595">
        <f t="shared" si="16"/>
      </c>
      <c r="P24" s="553">
        <f t="shared" si="4"/>
      </c>
      <c r="Q24" s="615">
        <f t="shared" si="5"/>
        <v>20</v>
      </c>
      <c r="R24" s="598" t="str">
        <f t="shared" si="6"/>
        <v>--</v>
      </c>
      <c r="S24" s="599" t="str">
        <f t="shared" si="7"/>
        <v>--</v>
      </c>
      <c r="T24" s="600" t="str">
        <f t="shared" si="8"/>
        <v>--</v>
      </c>
      <c r="U24" s="601" t="str">
        <f t="shared" si="9"/>
        <v>--</v>
      </c>
      <c r="V24" s="602" t="str">
        <f t="shared" si="10"/>
        <v>--</v>
      </c>
      <c r="W24" s="603" t="str">
        <f t="shared" si="11"/>
        <v>--</v>
      </c>
      <c r="X24" s="604" t="str">
        <f t="shared" si="12"/>
        <v>--</v>
      </c>
      <c r="Y24" s="605" t="str">
        <f t="shared" si="13"/>
        <v>--</v>
      </c>
      <c r="Z24" s="616">
        <f t="shared" si="14"/>
      </c>
      <c r="AA24" s="187">
        <f t="shared" si="15"/>
      </c>
      <c r="AB24" s="125"/>
    </row>
    <row r="25" spans="1:28" s="16" customFormat="1" ht="16.5" customHeight="1">
      <c r="A25" s="45"/>
      <c r="B25" s="158"/>
      <c r="C25" s="542"/>
      <c r="D25" s="583"/>
      <c r="E25" s="584"/>
      <c r="F25" s="585"/>
      <c r="G25" s="586"/>
      <c r="H25" s="514">
        <f t="shared" si="0"/>
        <v>0</v>
      </c>
      <c r="I25" s="592"/>
      <c r="J25" s="592"/>
      <c r="K25" s="41">
        <f t="shared" si="1"/>
      </c>
      <c r="L25" s="42">
        <f t="shared" si="2"/>
      </c>
      <c r="M25" s="594"/>
      <c r="N25" s="570">
        <f t="shared" si="3"/>
      </c>
      <c r="O25" s="595">
        <f t="shared" si="16"/>
      </c>
      <c r="P25" s="553">
        <f t="shared" si="4"/>
      </c>
      <c r="Q25" s="615">
        <f t="shared" si="5"/>
        <v>20</v>
      </c>
      <c r="R25" s="598" t="str">
        <f t="shared" si="6"/>
        <v>--</v>
      </c>
      <c r="S25" s="599" t="str">
        <f t="shared" si="7"/>
        <v>--</v>
      </c>
      <c r="T25" s="600" t="str">
        <f t="shared" si="8"/>
        <v>--</v>
      </c>
      <c r="U25" s="601" t="str">
        <f t="shared" si="9"/>
        <v>--</v>
      </c>
      <c r="V25" s="602" t="str">
        <f t="shared" si="10"/>
        <v>--</v>
      </c>
      <c r="W25" s="603" t="str">
        <f t="shared" si="11"/>
        <v>--</v>
      </c>
      <c r="X25" s="604" t="str">
        <f t="shared" si="12"/>
        <v>--</v>
      </c>
      <c r="Y25" s="605" t="str">
        <f t="shared" si="13"/>
        <v>--</v>
      </c>
      <c r="Z25" s="616">
        <f t="shared" si="14"/>
      </c>
      <c r="AA25" s="187">
        <f t="shared" si="15"/>
      </c>
      <c r="AB25" s="125"/>
    </row>
    <row r="26" spans="1:29" s="16" customFormat="1" ht="16.5" customHeight="1">
      <c r="A26" s="45"/>
      <c r="B26" s="158"/>
      <c r="C26" s="542"/>
      <c r="D26" s="583"/>
      <c r="E26" s="584"/>
      <c r="F26" s="585"/>
      <c r="G26" s="586"/>
      <c r="H26" s="514">
        <f t="shared" si="0"/>
        <v>0</v>
      </c>
      <c r="I26" s="592"/>
      <c r="J26" s="592"/>
      <c r="K26" s="41">
        <f t="shared" si="1"/>
      </c>
      <c r="L26" s="42">
        <f t="shared" si="2"/>
      </c>
      <c r="M26" s="594"/>
      <c r="N26" s="570">
        <f t="shared" si="3"/>
      </c>
      <c r="O26" s="595">
        <f t="shared" si="16"/>
      </c>
      <c r="P26" s="553">
        <f t="shared" si="4"/>
      </c>
      <c r="Q26" s="615">
        <f t="shared" si="5"/>
        <v>20</v>
      </c>
      <c r="R26" s="598" t="str">
        <f t="shared" si="6"/>
        <v>--</v>
      </c>
      <c r="S26" s="599" t="str">
        <f t="shared" si="7"/>
        <v>--</v>
      </c>
      <c r="T26" s="600" t="str">
        <f t="shared" si="8"/>
        <v>--</v>
      </c>
      <c r="U26" s="601" t="str">
        <f t="shared" si="9"/>
        <v>--</v>
      </c>
      <c r="V26" s="602" t="str">
        <f t="shared" si="10"/>
        <v>--</v>
      </c>
      <c r="W26" s="603" t="str">
        <f t="shared" si="11"/>
        <v>--</v>
      </c>
      <c r="X26" s="604" t="str">
        <f t="shared" si="12"/>
        <v>--</v>
      </c>
      <c r="Y26" s="605" t="str">
        <f t="shared" si="13"/>
        <v>--</v>
      </c>
      <c r="Z26" s="616">
        <f t="shared" si="14"/>
      </c>
      <c r="AA26" s="187">
        <f t="shared" si="15"/>
      </c>
      <c r="AB26" s="125"/>
      <c r="AC26" s="46"/>
    </row>
    <row r="27" spans="1:28" s="16" customFormat="1" ht="16.5" customHeight="1">
      <c r="A27" s="45"/>
      <c r="B27" s="158"/>
      <c r="C27" s="542"/>
      <c r="D27" s="583"/>
      <c r="E27" s="584"/>
      <c r="F27" s="585"/>
      <c r="G27" s="586"/>
      <c r="H27" s="514">
        <f t="shared" si="0"/>
        <v>0</v>
      </c>
      <c r="I27" s="592"/>
      <c r="J27" s="592"/>
      <c r="K27" s="41">
        <f t="shared" si="1"/>
      </c>
      <c r="L27" s="42">
        <f t="shared" si="2"/>
      </c>
      <c r="M27" s="594"/>
      <c r="N27" s="570">
        <f t="shared" si="3"/>
      </c>
      <c r="O27" s="595">
        <f t="shared" si="16"/>
      </c>
      <c r="P27" s="553">
        <f t="shared" si="4"/>
      </c>
      <c r="Q27" s="615">
        <f t="shared" si="5"/>
        <v>20</v>
      </c>
      <c r="R27" s="598" t="str">
        <f t="shared" si="6"/>
        <v>--</v>
      </c>
      <c r="S27" s="599" t="str">
        <f t="shared" si="7"/>
        <v>--</v>
      </c>
      <c r="T27" s="600" t="str">
        <f t="shared" si="8"/>
        <v>--</v>
      </c>
      <c r="U27" s="601" t="str">
        <f t="shared" si="9"/>
        <v>--</v>
      </c>
      <c r="V27" s="602" t="str">
        <f t="shared" si="10"/>
        <v>--</v>
      </c>
      <c r="W27" s="603" t="str">
        <f t="shared" si="11"/>
        <v>--</v>
      </c>
      <c r="X27" s="604" t="str">
        <f t="shared" si="12"/>
        <v>--</v>
      </c>
      <c r="Y27" s="605" t="str">
        <f t="shared" si="13"/>
        <v>--</v>
      </c>
      <c r="Z27" s="616">
        <f t="shared" si="14"/>
      </c>
      <c r="AA27" s="187">
        <f t="shared" si="15"/>
      </c>
      <c r="AB27" s="125"/>
    </row>
    <row r="28" spans="1:28" s="16" customFormat="1" ht="16.5" customHeight="1">
      <c r="A28" s="45"/>
      <c r="B28" s="158"/>
      <c r="C28" s="542"/>
      <c r="D28" s="583"/>
      <c r="E28" s="584"/>
      <c r="F28" s="585"/>
      <c r="G28" s="586"/>
      <c r="H28" s="514">
        <f t="shared" si="0"/>
        <v>0</v>
      </c>
      <c r="I28" s="592"/>
      <c r="J28" s="592"/>
      <c r="K28" s="41">
        <f t="shared" si="1"/>
      </c>
      <c r="L28" s="42">
        <f t="shared" si="2"/>
      </c>
      <c r="M28" s="594"/>
      <c r="N28" s="570">
        <f t="shared" si="3"/>
      </c>
      <c r="O28" s="595">
        <f t="shared" si="16"/>
      </c>
      <c r="P28" s="553">
        <f t="shared" si="4"/>
      </c>
      <c r="Q28" s="615">
        <f t="shared" si="5"/>
        <v>20</v>
      </c>
      <c r="R28" s="598" t="str">
        <f t="shared" si="6"/>
        <v>--</v>
      </c>
      <c r="S28" s="599" t="str">
        <f t="shared" si="7"/>
        <v>--</v>
      </c>
      <c r="T28" s="600" t="str">
        <f t="shared" si="8"/>
        <v>--</v>
      </c>
      <c r="U28" s="601" t="str">
        <f t="shared" si="9"/>
        <v>--</v>
      </c>
      <c r="V28" s="602" t="str">
        <f t="shared" si="10"/>
        <v>--</v>
      </c>
      <c r="W28" s="603" t="str">
        <f t="shared" si="11"/>
        <v>--</v>
      </c>
      <c r="X28" s="604" t="str">
        <f t="shared" si="12"/>
        <v>--</v>
      </c>
      <c r="Y28" s="605" t="str">
        <f t="shared" si="13"/>
        <v>--</v>
      </c>
      <c r="Z28" s="616">
        <f t="shared" si="14"/>
      </c>
      <c r="AA28" s="187">
        <f t="shared" si="15"/>
      </c>
      <c r="AB28" s="125"/>
    </row>
    <row r="29" spans="1:28" s="16" customFormat="1" ht="16.5" customHeight="1">
      <c r="A29" s="45"/>
      <c r="B29" s="158"/>
      <c r="C29" s="542"/>
      <c r="D29" s="583"/>
      <c r="E29" s="584"/>
      <c r="F29" s="585"/>
      <c r="G29" s="586"/>
      <c r="H29" s="514">
        <f t="shared" si="0"/>
        <v>0</v>
      </c>
      <c r="I29" s="592"/>
      <c r="J29" s="592"/>
      <c r="K29" s="41">
        <f t="shared" si="1"/>
      </c>
      <c r="L29" s="42">
        <f t="shared" si="2"/>
      </c>
      <c r="M29" s="594"/>
      <c r="N29" s="570">
        <f t="shared" si="3"/>
      </c>
      <c r="O29" s="595">
        <f t="shared" si="16"/>
      </c>
      <c r="P29" s="553">
        <f t="shared" si="4"/>
      </c>
      <c r="Q29" s="615">
        <f t="shared" si="5"/>
        <v>20</v>
      </c>
      <c r="R29" s="598" t="str">
        <f t="shared" si="6"/>
        <v>--</v>
      </c>
      <c r="S29" s="599" t="str">
        <f t="shared" si="7"/>
        <v>--</v>
      </c>
      <c r="T29" s="600" t="str">
        <f t="shared" si="8"/>
        <v>--</v>
      </c>
      <c r="U29" s="601" t="str">
        <f t="shared" si="9"/>
        <v>--</v>
      </c>
      <c r="V29" s="602" t="str">
        <f t="shared" si="10"/>
        <v>--</v>
      </c>
      <c r="W29" s="603" t="str">
        <f t="shared" si="11"/>
        <v>--</v>
      </c>
      <c r="X29" s="604" t="str">
        <f t="shared" si="12"/>
        <v>--</v>
      </c>
      <c r="Y29" s="605" t="str">
        <f t="shared" si="13"/>
        <v>--</v>
      </c>
      <c r="Z29" s="616">
        <f t="shared" si="14"/>
      </c>
      <c r="AA29" s="187">
        <f t="shared" si="15"/>
      </c>
      <c r="AB29" s="125"/>
    </row>
    <row r="30" spans="1:28" s="16" customFormat="1" ht="16.5" customHeight="1">
      <c r="A30" s="45"/>
      <c r="B30" s="158"/>
      <c r="C30" s="542"/>
      <c r="D30" s="583"/>
      <c r="E30" s="587"/>
      <c r="F30" s="585"/>
      <c r="G30" s="586"/>
      <c r="H30" s="514">
        <f t="shared" si="0"/>
        <v>0</v>
      </c>
      <c r="I30" s="592"/>
      <c r="J30" s="592"/>
      <c r="K30" s="41">
        <f t="shared" si="1"/>
      </c>
      <c r="L30" s="42">
        <f t="shared" si="2"/>
      </c>
      <c r="M30" s="594"/>
      <c r="N30" s="570">
        <f t="shared" si="3"/>
      </c>
      <c r="O30" s="595">
        <f t="shared" si="16"/>
      </c>
      <c r="P30" s="553">
        <f t="shared" si="4"/>
      </c>
      <c r="Q30" s="615">
        <f t="shared" si="5"/>
        <v>20</v>
      </c>
      <c r="R30" s="598" t="str">
        <f t="shared" si="6"/>
        <v>--</v>
      </c>
      <c r="S30" s="599" t="str">
        <f t="shared" si="7"/>
        <v>--</v>
      </c>
      <c r="T30" s="600" t="str">
        <f t="shared" si="8"/>
        <v>--</v>
      </c>
      <c r="U30" s="601" t="str">
        <f t="shared" si="9"/>
        <v>--</v>
      </c>
      <c r="V30" s="602" t="str">
        <f t="shared" si="10"/>
        <v>--</v>
      </c>
      <c r="W30" s="603" t="str">
        <f t="shared" si="11"/>
        <v>--</v>
      </c>
      <c r="X30" s="604" t="str">
        <f t="shared" si="12"/>
        <v>--</v>
      </c>
      <c r="Y30" s="605" t="str">
        <f t="shared" si="13"/>
        <v>--</v>
      </c>
      <c r="Z30" s="616">
        <f t="shared" si="14"/>
      </c>
      <c r="AA30" s="187">
        <f t="shared" si="15"/>
      </c>
      <c r="AB30" s="125"/>
    </row>
    <row r="31" spans="1:28" s="16" customFormat="1" ht="16.5" customHeight="1">
      <c r="A31" s="45"/>
      <c r="B31" s="158"/>
      <c r="C31" s="542"/>
      <c r="D31" s="583"/>
      <c r="E31" s="587"/>
      <c r="F31" s="585"/>
      <c r="G31" s="586"/>
      <c r="H31" s="514">
        <f t="shared" si="0"/>
        <v>0</v>
      </c>
      <c r="I31" s="592"/>
      <c r="J31" s="592"/>
      <c r="K31" s="41">
        <f t="shared" si="1"/>
      </c>
      <c r="L31" s="42">
        <f t="shared" si="2"/>
      </c>
      <c r="M31" s="594"/>
      <c r="N31" s="570">
        <f t="shared" si="3"/>
      </c>
      <c r="O31" s="595">
        <f t="shared" si="16"/>
      </c>
      <c r="P31" s="553">
        <f t="shared" si="4"/>
      </c>
      <c r="Q31" s="615">
        <f t="shared" si="5"/>
        <v>20</v>
      </c>
      <c r="R31" s="598" t="str">
        <f t="shared" si="6"/>
        <v>--</v>
      </c>
      <c r="S31" s="599" t="str">
        <f t="shared" si="7"/>
        <v>--</v>
      </c>
      <c r="T31" s="600" t="str">
        <f t="shared" si="8"/>
        <v>--</v>
      </c>
      <c r="U31" s="601" t="str">
        <f t="shared" si="9"/>
        <v>--</v>
      </c>
      <c r="V31" s="602" t="str">
        <f t="shared" si="10"/>
        <v>--</v>
      </c>
      <c r="W31" s="603" t="str">
        <f t="shared" si="11"/>
        <v>--</v>
      </c>
      <c r="X31" s="604" t="str">
        <f t="shared" si="12"/>
        <v>--</v>
      </c>
      <c r="Y31" s="605" t="str">
        <f t="shared" si="13"/>
        <v>--</v>
      </c>
      <c r="Z31" s="616">
        <f t="shared" si="14"/>
      </c>
      <c r="AA31" s="187">
        <f t="shared" si="15"/>
      </c>
      <c r="AB31" s="125"/>
    </row>
    <row r="32" spans="1:28" s="16" customFormat="1" ht="16.5" customHeight="1">
      <c r="A32" s="45"/>
      <c r="B32" s="158"/>
      <c r="C32" s="542"/>
      <c r="D32" s="583"/>
      <c r="E32" s="587"/>
      <c r="F32" s="585"/>
      <c r="G32" s="586"/>
      <c r="H32" s="514">
        <f t="shared" si="0"/>
        <v>0</v>
      </c>
      <c r="I32" s="592"/>
      <c r="J32" s="592"/>
      <c r="K32" s="41">
        <f t="shared" si="1"/>
      </c>
      <c r="L32" s="42">
        <f t="shared" si="2"/>
      </c>
      <c r="M32" s="594"/>
      <c r="N32" s="570">
        <f t="shared" si="3"/>
      </c>
      <c r="O32" s="595">
        <f t="shared" si="16"/>
      </c>
      <c r="P32" s="553">
        <f t="shared" si="4"/>
      </c>
      <c r="Q32" s="615">
        <f t="shared" si="5"/>
        <v>20</v>
      </c>
      <c r="R32" s="598" t="str">
        <f t="shared" si="6"/>
        <v>--</v>
      </c>
      <c r="S32" s="599" t="str">
        <f t="shared" si="7"/>
        <v>--</v>
      </c>
      <c r="T32" s="600" t="str">
        <f t="shared" si="8"/>
        <v>--</v>
      </c>
      <c r="U32" s="601" t="str">
        <f t="shared" si="9"/>
        <v>--</v>
      </c>
      <c r="V32" s="602" t="str">
        <f t="shared" si="10"/>
        <v>--</v>
      </c>
      <c r="W32" s="603" t="str">
        <f t="shared" si="11"/>
        <v>--</v>
      </c>
      <c r="X32" s="604" t="str">
        <f t="shared" si="12"/>
        <v>--</v>
      </c>
      <c r="Y32" s="605" t="str">
        <f t="shared" si="13"/>
        <v>--</v>
      </c>
      <c r="Z32" s="616">
        <f t="shared" si="14"/>
      </c>
      <c r="AA32" s="187">
        <f t="shared" si="15"/>
      </c>
      <c r="AB32" s="125"/>
    </row>
    <row r="33" spans="1:28" s="16" customFormat="1" ht="16.5" customHeight="1">
      <c r="A33" s="45"/>
      <c r="B33" s="158"/>
      <c r="C33" s="542"/>
      <c r="D33" s="583"/>
      <c r="E33" s="587"/>
      <c r="F33" s="585"/>
      <c r="G33" s="586"/>
      <c r="H33" s="514">
        <f t="shared" si="0"/>
        <v>0</v>
      </c>
      <c r="I33" s="592"/>
      <c r="J33" s="592"/>
      <c r="K33" s="41">
        <f t="shared" si="1"/>
      </c>
      <c r="L33" s="42">
        <f t="shared" si="2"/>
      </c>
      <c r="M33" s="594"/>
      <c r="N33" s="570">
        <f t="shared" si="3"/>
      </c>
      <c r="O33" s="595">
        <f t="shared" si="16"/>
      </c>
      <c r="P33" s="553">
        <f t="shared" si="4"/>
      </c>
      <c r="Q33" s="615">
        <f t="shared" si="5"/>
        <v>20</v>
      </c>
      <c r="R33" s="598" t="str">
        <f t="shared" si="6"/>
        <v>--</v>
      </c>
      <c r="S33" s="599" t="str">
        <f t="shared" si="7"/>
        <v>--</v>
      </c>
      <c r="T33" s="600" t="str">
        <f t="shared" si="8"/>
        <v>--</v>
      </c>
      <c r="U33" s="601" t="str">
        <f t="shared" si="9"/>
        <v>--</v>
      </c>
      <c r="V33" s="602" t="str">
        <f t="shared" si="10"/>
        <v>--</v>
      </c>
      <c r="W33" s="603" t="str">
        <f t="shared" si="11"/>
        <v>--</v>
      </c>
      <c r="X33" s="604" t="str">
        <f t="shared" si="12"/>
        <v>--</v>
      </c>
      <c r="Y33" s="605" t="str">
        <f t="shared" si="13"/>
        <v>--</v>
      </c>
      <c r="Z33" s="616">
        <f t="shared" si="14"/>
      </c>
      <c r="AA33" s="187">
        <f t="shared" si="15"/>
      </c>
      <c r="AB33" s="125"/>
    </row>
    <row r="34" spans="1:28" s="16" customFormat="1" ht="16.5" customHeight="1">
      <c r="A34" s="45"/>
      <c r="B34" s="158"/>
      <c r="C34" s="542"/>
      <c r="D34" s="583"/>
      <c r="E34" s="587"/>
      <c r="F34" s="585"/>
      <c r="G34" s="586"/>
      <c r="H34" s="514">
        <f t="shared" si="0"/>
        <v>0</v>
      </c>
      <c r="I34" s="592"/>
      <c r="J34" s="592"/>
      <c r="K34" s="41">
        <f t="shared" si="1"/>
      </c>
      <c r="L34" s="42">
        <f t="shared" si="2"/>
      </c>
      <c r="M34" s="594"/>
      <c r="N34" s="570">
        <f t="shared" si="3"/>
      </c>
      <c r="O34" s="595">
        <f t="shared" si="16"/>
      </c>
      <c r="P34" s="553">
        <f t="shared" si="4"/>
      </c>
      <c r="Q34" s="615">
        <f t="shared" si="5"/>
        <v>20</v>
      </c>
      <c r="R34" s="598" t="str">
        <f t="shared" si="6"/>
        <v>--</v>
      </c>
      <c r="S34" s="599" t="str">
        <f t="shared" si="7"/>
        <v>--</v>
      </c>
      <c r="T34" s="600" t="str">
        <f t="shared" si="8"/>
        <v>--</v>
      </c>
      <c r="U34" s="601" t="str">
        <f t="shared" si="9"/>
        <v>--</v>
      </c>
      <c r="V34" s="602" t="str">
        <f t="shared" si="10"/>
        <v>--</v>
      </c>
      <c r="W34" s="603" t="str">
        <f t="shared" si="11"/>
        <v>--</v>
      </c>
      <c r="X34" s="604" t="str">
        <f t="shared" si="12"/>
        <v>--</v>
      </c>
      <c r="Y34" s="605" t="str">
        <f t="shared" si="13"/>
        <v>--</v>
      </c>
      <c r="Z34" s="616">
        <f t="shared" si="14"/>
      </c>
      <c r="AA34" s="187">
        <f t="shared" si="15"/>
      </c>
      <c r="AB34" s="125"/>
    </row>
    <row r="35" spans="1:28" s="16" customFormat="1" ht="16.5" customHeight="1">
      <c r="A35" s="45"/>
      <c r="B35" s="158"/>
      <c r="C35" s="542"/>
      <c r="D35" s="583"/>
      <c r="E35" s="587"/>
      <c r="F35" s="585"/>
      <c r="G35" s="586"/>
      <c r="H35" s="514">
        <f t="shared" si="0"/>
        <v>0</v>
      </c>
      <c r="I35" s="592"/>
      <c r="J35" s="592"/>
      <c r="K35" s="41">
        <f t="shared" si="1"/>
      </c>
      <c r="L35" s="42">
        <f t="shared" si="2"/>
      </c>
      <c r="M35" s="594"/>
      <c r="N35" s="570">
        <f t="shared" si="3"/>
      </c>
      <c r="O35" s="595">
        <f t="shared" si="16"/>
      </c>
      <c r="P35" s="553">
        <f t="shared" si="4"/>
      </c>
      <c r="Q35" s="615">
        <f t="shared" si="5"/>
        <v>20</v>
      </c>
      <c r="R35" s="598" t="str">
        <f t="shared" si="6"/>
        <v>--</v>
      </c>
      <c r="S35" s="599" t="str">
        <f t="shared" si="7"/>
        <v>--</v>
      </c>
      <c r="T35" s="600" t="str">
        <f t="shared" si="8"/>
        <v>--</v>
      </c>
      <c r="U35" s="601" t="str">
        <f t="shared" si="9"/>
        <v>--</v>
      </c>
      <c r="V35" s="602" t="str">
        <f t="shared" si="10"/>
        <v>--</v>
      </c>
      <c r="W35" s="603" t="str">
        <f t="shared" si="11"/>
        <v>--</v>
      </c>
      <c r="X35" s="604" t="str">
        <f t="shared" si="12"/>
        <v>--</v>
      </c>
      <c r="Y35" s="605" t="str">
        <f t="shared" si="13"/>
        <v>--</v>
      </c>
      <c r="Z35" s="616">
        <f t="shared" si="14"/>
      </c>
      <c r="AA35" s="187">
        <f t="shared" si="15"/>
      </c>
      <c r="AB35" s="125"/>
    </row>
    <row r="36" spans="1:28" s="16" customFormat="1" ht="16.5" customHeight="1">
      <c r="A36" s="45"/>
      <c r="B36" s="158"/>
      <c r="C36" s="542"/>
      <c r="D36" s="583"/>
      <c r="E36" s="587"/>
      <c r="F36" s="585"/>
      <c r="G36" s="586"/>
      <c r="H36" s="514">
        <f t="shared" si="0"/>
        <v>0</v>
      </c>
      <c r="I36" s="592"/>
      <c r="J36" s="592"/>
      <c r="K36" s="41">
        <f t="shared" si="1"/>
      </c>
      <c r="L36" s="42">
        <f t="shared" si="2"/>
      </c>
      <c r="M36" s="594"/>
      <c r="N36" s="570">
        <f t="shared" si="3"/>
      </c>
      <c r="O36" s="595">
        <f t="shared" si="16"/>
      </c>
      <c r="P36" s="553">
        <f t="shared" si="4"/>
      </c>
      <c r="Q36" s="615">
        <f t="shared" si="5"/>
        <v>20</v>
      </c>
      <c r="R36" s="598" t="str">
        <f t="shared" si="6"/>
        <v>--</v>
      </c>
      <c r="S36" s="599" t="str">
        <f t="shared" si="7"/>
        <v>--</v>
      </c>
      <c r="T36" s="600" t="str">
        <f t="shared" si="8"/>
        <v>--</v>
      </c>
      <c r="U36" s="601" t="str">
        <f t="shared" si="9"/>
        <v>--</v>
      </c>
      <c r="V36" s="602" t="str">
        <f t="shared" si="10"/>
        <v>--</v>
      </c>
      <c r="W36" s="603" t="str">
        <f t="shared" si="11"/>
        <v>--</v>
      </c>
      <c r="X36" s="604" t="str">
        <f t="shared" si="12"/>
        <v>--</v>
      </c>
      <c r="Y36" s="605" t="str">
        <f t="shared" si="13"/>
        <v>--</v>
      </c>
      <c r="Z36" s="616">
        <f t="shared" si="14"/>
      </c>
      <c r="AA36" s="187">
        <f t="shared" si="15"/>
      </c>
      <c r="AB36" s="125"/>
    </row>
    <row r="37" spans="1:28" s="16" customFormat="1" ht="16.5" customHeight="1">
      <c r="A37" s="45"/>
      <c r="B37" s="158"/>
      <c r="C37" s="542"/>
      <c r="D37" s="583"/>
      <c r="E37" s="587"/>
      <c r="F37" s="585"/>
      <c r="G37" s="586"/>
      <c r="H37" s="514">
        <f t="shared" si="0"/>
        <v>0</v>
      </c>
      <c r="I37" s="592"/>
      <c r="J37" s="592"/>
      <c r="K37" s="41">
        <f t="shared" si="1"/>
      </c>
      <c r="L37" s="42">
        <f t="shared" si="2"/>
      </c>
      <c r="M37" s="594"/>
      <c r="N37" s="570">
        <f t="shared" si="3"/>
      </c>
      <c r="O37" s="595">
        <f t="shared" si="16"/>
      </c>
      <c r="P37" s="553">
        <f t="shared" si="4"/>
      </c>
      <c r="Q37" s="615">
        <f t="shared" si="5"/>
        <v>20</v>
      </c>
      <c r="R37" s="598" t="str">
        <f t="shared" si="6"/>
        <v>--</v>
      </c>
      <c r="S37" s="599" t="str">
        <f t="shared" si="7"/>
        <v>--</v>
      </c>
      <c r="T37" s="600" t="str">
        <f t="shared" si="8"/>
        <v>--</v>
      </c>
      <c r="U37" s="601" t="str">
        <f t="shared" si="9"/>
        <v>--</v>
      </c>
      <c r="V37" s="602" t="str">
        <f t="shared" si="10"/>
        <v>--</v>
      </c>
      <c r="W37" s="603" t="str">
        <f t="shared" si="11"/>
        <v>--</v>
      </c>
      <c r="X37" s="604" t="str">
        <f t="shared" si="12"/>
        <v>--</v>
      </c>
      <c r="Y37" s="605" t="str">
        <f t="shared" si="13"/>
        <v>--</v>
      </c>
      <c r="Z37" s="616">
        <f t="shared" si="14"/>
      </c>
      <c r="AA37" s="187">
        <f t="shared" si="15"/>
      </c>
      <c r="AB37" s="125"/>
    </row>
    <row r="38" spans="1:28" s="16" customFormat="1" ht="16.5" customHeight="1">
      <c r="A38" s="45"/>
      <c r="B38" s="158"/>
      <c r="C38" s="542"/>
      <c r="D38" s="583"/>
      <c r="E38" s="587"/>
      <c r="F38" s="585"/>
      <c r="G38" s="586"/>
      <c r="H38" s="514">
        <f t="shared" si="0"/>
        <v>0</v>
      </c>
      <c r="I38" s="592"/>
      <c r="J38" s="592"/>
      <c r="K38" s="41">
        <f t="shared" si="1"/>
      </c>
      <c r="L38" s="42">
        <f t="shared" si="2"/>
      </c>
      <c r="M38" s="594"/>
      <c r="N38" s="570">
        <f t="shared" si="3"/>
      </c>
      <c r="O38" s="595">
        <f t="shared" si="16"/>
      </c>
      <c r="P38" s="553">
        <f t="shared" si="4"/>
      </c>
      <c r="Q38" s="615">
        <f t="shared" si="5"/>
        <v>20</v>
      </c>
      <c r="R38" s="598" t="str">
        <f t="shared" si="6"/>
        <v>--</v>
      </c>
      <c r="S38" s="599" t="str">
        <f t="shared" si="7"/>
        <v>--</v>
      </c>
      <c r="T38" s="600" t="str">
        <f t="shared" si="8"/>
        <v>--</v>
      </c>
      <c r="U38" s="601" t="str">
        <f t="shared" si="9"/>
        <v>--</v>
      </c>
      <c r="V38" s="602" t="str">
        <f t="shared" si="10"/>
        <v>--</v>
      </c>
      <c r="W38" s="603" t="str">
        <f t="shared" si="11"/>
        <v>--</v>
      </c>
      <c r="X38" s="604" t="str">
        <f t="shared" si="12"/>
        <v>--</v>
      </c>
      <c r="Y38" s="605" t="str">
        <f t="shared" si="13"/>
        <v>--</v>
      </c>
      <c r="Z38" s="616">
        <f t="shared" si="14"/>
      </c>
      <c r="AA38" s="187">
        <f t="shared" si="15"/>
      </c>
      <c r="AB38" s="125"/>
    </row>
    <row r="39" spans="1:28" s="16" customFormat="1" ht="16.5" customHeight="1">
      <c r="A39" s="45"/>
      <c r="B39" s="158"/>
      <c r="C39" s="542"/>
      <c r="D39" s="583"/>
      <c r="E39" s="587"/>
      <c r="F39" s="585"/>
      <c r="G39" s="586"/>
      <c r="H39" s="514">
        <f t="shared" si="0"/>
        <v>0</v>
      </c>
      <c r="I39" s="592"/>
      <c r="J39" s="592"/>
      <c r="K39" s="41">
        <f t="shared" si="1"/>
      </c>
      <c r="L39" s="42">
        <f t="shared" si="2"/>
      </c>
      <c r="M39" s="594"/>
      <c r="N39" s="570">
        <f t="shared" si="3"/>
      </c>
      <c r="O39" s="595">
        <f t="shared" si="16"/>
      </c>
      <c r="P39" s="553">
        <f t="shared" si="4"/>
      </c>
      <c r="Q39" s="615">
        <f t="shared" si="5"/>
        <v>20</v>
      </c>
      <c r="R39" s="598" t="str">
        <f t="shared" si="6"/>
        <v>--</v>
      </c>
      <c r="S39" s="599" t="str">
        <f t="shared" si="7"/>
        <v>--</v>
      </c>
      <c r="T39" s="600" t="str">
        <f t="shared" si="8"/>
        <v>--</v>
      </c>
      <c r="U39" s="601" t="str">
        <f t="shared" si="9"/>
        <v>--</v>
      </c>
      <c r="V39" s="602" t="str">
        <f t="shared" si="10"/>
        <v>--</v>
      </c>
      <c r="W39" s="603" t="str">
        <f t="shared" si="11"/>
        <v>--</v>
      </c>
      <c r="X39" s="604" t="str">
        <f t="shared" si="12"/>
        <v>--</v>
      </c>
      <c r="Y39" s="605" t="str">
        <f t="shared" si="13"/>
        <v>--</v>
      </c>
      <c r="Z39" s="616">
        <f t="shared" si="14"/>
      </c>
      <c r="AA39" s="187">
        <f t="shared" si="15"/>
      </c>
      <c r="AB39" s="125"/>
    </row>
    <row r="40" spans="1:28" s="16" customFormat="1" ht="16.5" customHeight="1" thickBot="1">
      <c r="A40" s="45"/>
      <c r="B40" s="158"/>
      <c r="C40" s="588"/>
      <c r="D40" s="589"/>
      <c r="E40" s="590"/>
      <c r="F40" s="589"/>
      <c r="G40" s="591"/>
      <c r="H40" s="312"/>
      <c r="I40" s="588"/>
      <c r="J40" s="593"/>
      <c r="K40" s="43"/>
      <c r="L40" s="44"/>
      <c r="M40" s="596"/>
      <c r="N40" s="559"/>
      <c r="O40" s="597"/>
      <c r="P40" s="596"/>
      <c r="Q40" s="617"/>
      <c r="R40" s="606"/>
      <c r="S40" s="607"/>
      <c r="T40" s="608"/>
      <c r="U40" s="609"/>
      <c r="V40" s="610"/>
      <c r="W40" s="611"/>
      <c r="X40" s="612"/>
      <c r="Y40" s="613"/>
      <c r="Z40" s="614"/>
      <c r="AA40" s="188"/>
      <c r="AB40" s="125"/>
    </row>
    <row r="41" spans="1:28" s="16" customFormat="1" ht="16.5" customHeight="1" thickBot="1" thickTop="1">
      <c r="A41" s="45"/>
      <c r="B41" s="158"/>
      <c r="C41" s="246" t="s">
        <v>59</v>
      </c>
      <c r="D41" s="247" t="s">
        <v>145</v>
      </c>
      <c r="E41" s="46"/>
      <c r="F41" s="46"/>
      <c r="G41" s="46"/>
      <c r="H41" s="46"/>
      <c r="I41" s="46"/>
      <c r="J41" s="47"/>
      <c r="K41" s="46"/>
      <c r="L41" s="46"/>
      <c r="M41" s="46"/>
      <c r="N41" s="46"/>
      <c r="O41" s="46"/>
      <c r="P41" s="46"/>
      <c r="Q41" s="46"/>
      <c r="R41" s="388">
        <f aca="true" t="shared" si="17" ref="R41:Y41">SUM(R18:R40)</f>
        <v>277.536</v>
      </c>
      <c r="S41" s="392">
        <f t="shared" si="17"/>
        <v>0</v>
      </c>
      <c r="T41" s="397">
        <f t="shared" si="17"/>
        <v>0</v>
      </c>
      <c r="U41" s="398">
        <f t="shared" si="17"/>
        <v>0</v>
      </c>
      <c r="V41" s="405">
        <f t="shared" si="17"/>
        <v>0</v>
      </c>
      <c r="W41" s="406">
        <f t="shared" si="17"/>
        <v>0</v>
      </c>
      <c r="X41" s="457">
        <f t="shared" si="17"/>
        <v>0</v>
      </c>
      <c r="Y41" s="458">
        <f t="shared" si="17"/>
        <v>0</v>
      </c>
      <c r="Z41" s="45"/>
      <c r="AA41" s="318">
        <f>ROUND(SUM(AA18:AA40),2)</f>
        <v>277.54</v>
      </c>
      <c r="AB41" s="125"/>
    </row>
    <row r="42" spans="1:28" s="251" customFormat="1" ht="9.75" thickTop="1">
      <c r="A42" s="261"/>
      <c r="B42" s="262"/>
      <c r="C42" s="248"/>
      <c r="D42" s="250"/>
      <c r="E42" s="263"/>
      <c r="F42" s="263"/>
      <c r="G42" s="263"/>
      <c r="H42" s="263"/>
      <c r="I42" s="263"/>
      <c r="J42" s="264"/>
      <c r="K42" s="263"/>
      <c r="L42" s="263"/>
      <c r="M42" s="263"/>
      <c r="N42" s="263"/>
      <c r="O42" s="263"/>
      <c r="P42" s="263"/>
      <c r="Q42" s="263"/>
      <c r="R42" s="266"/>
      <c r="S42" s="266"/>
      <c r="T42" s="266"/>
      <c r="U42" s="266"/>
      <c r="V42" s="266"/>
      <c r="W42" s="266"/>
      <c r="X42" s="266"/>
      <c r="Y42" s="266"/>
      <c r="Z42" s="261"/>
      <c r="AA42" s="265"/>
      <c r="AB42" s="267"/>
    </row>
    <row r="43" spans="1:28" s="16" customFormat="1" ht="16.5" customHeight="1" thickBot="1">
      <c r="A43" s="45"/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3"/>
    </row>
    <row r="44" spans="1:29" ht="16.5" customHeight="1" thickTop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>
      <c r="AC155" s="5"/>
    </row>
    <row r="156" ht="16.5" customHeight="1"/>
    <row r="157" ht="16.5" customHeight="1"/>
    <row r="158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1">
    <pageSetUpPr fitToPage="1"/>
  </sheetPr>
  <dimension ref="A1:AC154"/>
  <sheetViews>
    <sheetView zoomScale="75" zoomScaleNormal="75" workbookViewId="0" topLeftCell="A1">
      <selection activeCell="K46" sqref="K46:K47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70" customFormat="1" ht="26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518"/>
    </row>
    <row r="2" spans="1:28" s="70" customFormat="1" ht="26.25">
      <c r="A2" s="120"/>
      <c r="B2" s="165" t="str">
        <f>+'tot-0312'!B2</f>
        <v>ANEXO I-2 a la Resolución ENRE N° 403/2008.-</v>
      </c>
      <c r="C2" s="165"/>
      <c r="D2" s="165"/>
      <c r="E2" s="71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28" s="16" customFormat="1" ht="12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</row>
    <row r="4" spans="1:28" s="77" customFormat="1" ht="11.25">
      <c r="A4" s="189" t="s">
        <v>73</v>
      </c>
      <c r="B4" s="190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</row>
    <row r="5" spans="1:28" s="77" customFormat="1" ht="11.25">
      <c r="A5" s="189" t="s">
        <v>25</v>
      </c>
      <c r="B5" s="190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</row>
    <row r="6" spans="1:28" s="16" customFormat="1" ht="13.5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16" customFormat="1" ht="13.5" thickTop="1">
      <c r="A7" s="45"/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24"/>
    </row>
    <row r="8" spans="1:28" s="10" customFormat="1" ht="20.25">
      <c r="A8" s="167"/>
      <c r="B8" s="168"/>
      <c r="C8" s="167"/>
      <c r="D8" s="170" t="s">
        <v>38</v>
      </c>
      <c r="E8" s="167"/>
      <c r="F8" s="167"/>
      <c r="G8" s="169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36"/>
      <c r="S8" s="36"/>
      <c r="T8" s="36"/>
      <c r="U8" s="36"/>
      <c r="V8" s="36"/>
      <c r="W8" s="36"/>
      <c r="X8" s="36"/>
      <c r="Y8" s="36"/>
      <c r="Z8" s="36"/>
      <c r="AA8" s="36"/>
      <c r="AB8" s="137"/>
    </row>
    <row r="9" spans="1:28" s="16" customFormat="1" ht="12.75">
      <c r="A9" s="45"/>
      <c r="B9" s="158"/>
      <c r="C9" s="45"/>
      <c r="D9" s="46"/>
      <c r="E9" s="164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6"/>
      <c r="Y9" s="46"/>
      <c r="Z9" s="46"/>
      <c r="AA9" s="46"/>
      <c r="AB9" s="125"/>
    </row>
    <row r="10" spans="1:28" s="10" customFormat="1" ht="20.25">
      <c r="A10" s="167"/>
      <c r="B10" s="168"/>
      <c r="C10" s="167"/>
      <c r="D10" s="7" t="s">
        <v>97</v>
      </c>
      <c r="E10" s="167"/>
      <c r="F10" s="48"/>
      <c r="G10" s="36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137"/>
    </row>
    <row r="11" spans="1:28" s="16" customFormat="1" ht="12.75">
      <c r="A11" s="45"/>
      <c r="B11" s="158"/>
      <c r="C11" s="45"/>
      <c r="D11" s="46"/>
      <c r="E11" s="46"/>
      <c r="F11" s="46"/>
      <c r="G11" s="159"/>
      <c r="H11" s="46"/>
      <c r="I11" s="46"/>
      <c r="J11" s="46"/>
      <c r="K11" s="46"/>
      <c r="L11" s="46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125"/>
    </row>
    <row r="12" spans="1:28" s="15" customFormat="1" ht="19.5">
      <c r="A12" s="172"/>
      <c r="B12" s="173" t="str">
        <f>+'tot-0312'!B14</f>
        <v>Desde el 01 al 31 de diciembre de 2003</v>
      </c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4"/>
      <c r="N12" s="174"/>
      <c r="O12" s="174"/>
      <c r="P12" s="174"/>
      <c r="Q12" s="174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</row>
    <row r="13" spans="1:28" s="16" customFormat="1" ht="13.5" thickBot="1">
      <c r="A13" s="45"/>
      <c r="B13" s="158"/>
      <c r="C13" s="45"/>
      <c r="D13" s="46"/>
      <c r="E13" s="46"/>
      <c r="F13" s="46"/>
      <c r="G13" s="159"/>
      <c r="H13" s="46"/>
      <c r="I13" s="46"/>
      <c r="J13" s="46"/>
      <c r="K13" s="46"/>
      <c r="L13" s="46"/>
      <c r="M13" s="45"/>
      <c r="N13" s="45"/>
      <c r="O13" s="45"/>
      <c r="P13" s="45"/>
      <c r="Q13" s="45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125"/>
    </row>
    <row r="14" spans="1:28" s="16" customFormat="1" ht="16.5" customHeight="1" thickBot="1" thickTop="1">
      <c r="A14" s="45"/>
      <c r="B14" s="158"/>
      <c r="C14" s="45"/>
      <c r="D14" s="313" t="s">
        <v>74</v>
      </c>
      <c r="E14" s="314"/>
      <c r="F14" s="315">
        <v>0.059</v>
      </c>
      <c r="H14" s="45"/>
      <c r="I14" s="45"/>
      <c r="J14" s="45"/>
      <c r="K14" s="45"/>
      <c r="L14" s="45"/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125"/>
    </row>
    <row r="15" spans="1:28" s="16" customFormat="1" ht="16.5" customHeight="1" thickBot="1" thickTop="1">
      <c r="A15" s="45"/>
      <c r="B15" s="158"/>
      <c r="C15" s="45"/>
      <c r="D15" s="177" t="s">
        <v>75</v>
      </c>
      <c r="E15" s="178"/>
      <c r="F15" s="179">
        <v>200</v>
      </c>
      <c r="G1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47"/>
      <c r="W15" s="47"/>
      <c r="X15" s="47"/>
      <c r="Y15" s="47"/>
      <c r="Z15" s="47"/>
      <c r="AA15" s="45"/>
      <c r="AB15" s="125"/>
    </row>
    <row r="16" spans="1:28" s="16" customFormat="1" ht="16.5" customHeight="1" thickBot="1" thickTop="1">
      <c r="A16" s="45"/>
      <c r="B16" s="158"/>
      <c r="C16" s="45"/>
      <c r="D16" s="46"/>
      <c r="E16" s="46"/>
      <c r="F16" s="46"/>
      <c r="G16" s="160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125"/>
    </row>
    <row r="17" spans="1:28" s="16" customFormat="1" ht="33.75" customHeight="1" thickBot="1" thickTop="1">
      <c r="A17" s="45"/>
      <c r="B17" s="158"/>
      <c r="C17" s="180" t="s">
        <v>39</v>
      </c>
      <c r="D17" s="183" t="s">
        <v>76</v>
      </c>
      <c r="E17" s="181" t="s">
        <v>18</v>
      </c>
      <c r="F17" s="184" t="s">
        <v>77</v>
      </c>
      <c r="G17" s="185" t="s">
        <v>40</v>
      </c>
      <c r="H17" s="308" t="s">
        <v>44</v>
      </c>
      <c r="I17" s="181" t="s">
        <v>45</v>
      </c>
      <c r="J17" s="181" t="s">
        <v>46</v>
      </c>
      <c r="K17" s="183" t="s">
        <v>78</v>
      </c>
      <c r="L17" s="183" t="s">
        <v>48</v>
      </c>
      <c r="M17" s="150" t="s">
        <v>49</v>
      </c>
      <c r="N17" s="150" t="s">
        <v>50</v>
      </c>
      <c r="O17" s="182" t="s">
        <v>52</v>
      </c>
      <c r="P17" s="181" t="s">
        <v>79</v>
      </c>
      <c r="Q17" s="382" t="s">
        <v>43</v>
      </c>
      <c r="R17" s="385" t="s">
        <v>53</v>
      </c>
      <c r="S17" s="389" t="s">
        <v>54</v>
      </c>
      <c r="T17" s="305" t="s">
        <v>80</v>
      </c>
      <c r="U17" s="307"/>
      <c r="V17" s="399" t="s">
        <v>81</v>
      </c>
      <c r="W17" s="400"/>
      <c r="X17" s="408" t="s">
        <v>55</v>
      </c>
      <c r="Y17" s="411" t="s">
        <v>56</v>
      </c>
      <c r="Z17" s="152" t="s">
        <v>57</v>
      </c>
      <c r="AA17" s="185" t="s">
        <v>58</v>
      </c>
      <c r="AB17" s="125"/>
    </row>
    <row r="18" spans="1:28" s="16" customFormat="1" ht="16.5" customHeight="1" thickTop="1">
      <c r="A18" s="45"/>
      <c r="B18" s="158"/>
      <c r="C18" s="379"/>
      <c r="D18" s="379"/>
      <c r="E18" s="379"/>
      <c r="F18" s="379"/>
      <c r="G18" s="380"/>
      <c r="H18" s="378"/>
      <c r="I18" s="379"/>
      <c r="J18" s="379"/>
      <c r="K18" s="379"/>
      <c r="L18" s="379"/>
      <c r="M18" s="379"/>
      <c r="N18" s="332"/>
      <c r="O18" s="381"/>
      <c r="P18" s="379"/>
      <c r="Q18" s="383"/>
      <c r="R18" s="386"/>
      <c r="S18" s="390"/>
      <c r="T18" s="393"/>
      <c r="U18" s="394"/>
      <c r="V18" s="401"/>
      <c r="W18" s="402"/>
      <c r="X18" s="409"/>
      <c r="Y18" s="412"/>
      <c r="Z18" s="381"/>
      <c r="AA18" s="515"/>
      <c r="AB18" s="125"/>
    </row>
    <row r="19" spans="1:28" s="16" customFormat="1" ht="16.5" customHeight="1">
      <c r="A19" s="45"/>
      <c r="B19" s="158"/>
      <c r="C19" s="38"/>
      <c r="D19" s="38"/>
      <c r="E19" s="38"/>
      <c r="F19" s="38"/>
      <c r="G19" s="39"/>
      <c r="H19" s="317"/>
      <c r="I19" s="38"/>
      <c r="J19" s="38"/>
      <c r="K19" s="38"/>
      <c r="L19" s="38"/>
      <c r="M19" s="38"/>
      <c r="N19" s="18"/>
      <c r="O19" s="40"/>
      <c r="P19" s="38"/>
      <c r="Q19" s="384"/>
      <c r="R19" s="387"/>
      <c r="S19" s="391"/>
      <c r="T19" s="395"/>
      <c r="U19" s="396"/>
      <c r="V19" s="403"/>
      <c r="W19" s="404"/>
      <c r="X19" s="410"/>
      <c r="Y19" s="413"/>
      <c r="Z19" s="40"/>
      <c r="AA19" s="186"/>
      <c r="AB19" s="125"/>
    </row>
    <row r="20" spans="1:28" s="16" customFormat="1" ht="16.5" customHeight="1">
      <c r="A20" s="45"/>
      <c r="B20" s="158"/>
      <c r="C20" s="542" t="s">
        <v>118</v>
      </c>
      <c r="D20" s="650" t="s">
        <v>95</v>
      </c>
      <c r="E20" s="650" t="s">
        <v>4</v>
      </c>
      <c r="F20" s="650">
        <v>300</v>
      </c>
      <c r="G20" s="650" t="s">
        <v>108</v>
      </c>
      <c r="H20" s="514">
        <f aca="true" t="shared" si="0" ref="H20:H38">F20*$F$14</f>
        <v>17.7</v>
      </c>
      <c r="I20" s="592">
        <v>37985.736805555556</v>
      </c>
      <c r="J20" s="592">
        <v>37985.73888888889</v>
      </c>
      <c r="K20" s="41">
        <f aca="true" t="shared" si="1" ref="K20:K38">IF(D20="","",(J20-I20)*24)</f>
        <v>0.04999999998835847</v>
      </c>
      <c r="L20" s="42">
        <f aca="true" t="shared" si="2" ref="L20:L38">IF(D20="","",ROUND((J20-I20)*24*60,0))</f>
        <v>3</v>
      </c>
      <c r="M20" s="594" t="s">
        <v>105</v>
      </c>
      <c r="N20" s="570" t="str">
        <f aca="true" t="shared" si="3" ref="N20:N38">IF(D20="","","--")</f>
        <v>--</v>
      </c>
      <c r="O20" s="595" t="str">
        <f aca="true" t="shared" si="4" ref="O20:O38">IF(D20="","",IF(M20="P","--","NO"))</f>
        <v>NO</v>
      </c>
      <c r="P20" s="553" t="str">
        <f>IF(D20="","","NO")</f>
        <v>NO</v>
      </c>
      <c r="Q20" s="615">
        <f>$F$15*IF(OR(M20="P",M20="RP"),0.1,1)*IF(P20="SI",1,0.1)</f>
        <v>20</v>
      </c>
      <c r="R20" s="598" t="str">
        <f>IF(M20="P",H20*Q20*ROUND(L20/60,2),"--")</f>
        <v>--</v>
      </c>
      <c r="S20" s="599" t="str">
        <f>IF(M20="RP",H20*Q20*N20/100*ROUND(L20/60,2),"--")</f>
        <v>--</v>
      </c>
      <c r="T20" s="600">
        <f>IF(AND(M20="F",O20="NO"),H20*Q20,"--")</f>
        <v>354</v>
      </c>
      <c r="U20" s="601">
        <f>IF(M20="F",H20*Q20*ROUND(L20/60,2),"--")</f>
        <v>17.7</v>
      </c>
      <c r="V20" s="602" t="str">
        <f>IF(AND(M20="R",O20="NO"),H20*Q20*N20/100,"--")</f>
        <v>--</v>
      </c>
      <c r="W20" s="603" t="str">
        <f>IF(M20="R",H20*Q20*N20/100*ROUND(L20/60,2),"--")</f>
        <v>--</v>
      </c>
      <c r="X20" s="604" t="str">
        <f>IF(M20="RF",H20*Q20*ROUND(L20/60,2),"--")</f>
        <v>--</v>
      </c>
      <c r="Y20" s="605" t="str">
        <f>IF(M20="RR",H20*Q20*N20/100*ROUND(L20/60,2),"--")</f>
        <v>--</v>
      </c>
      <c r="Z20" s="616" t="str">
        <f>IF(D20="","","SI")</f>
        <v>SI</v>
      </c>
      <c r="AA20" s="187">
        <f aca="true" t="shared" si="5" ref="AA20:AA38">IF(D20="","",SUM(R20:Y20)*IF(Z20="SI",1,2))</f>
        <v>371.7</v>
      </c>
      <c r="AB20" s="125"/>
    </row>
    <row r="21" spans="1:28" s="16" customFormat="1" ht="16.5" customHeight="1">
      <c r="A21" s="45"/>
      <c r="B21" s="158"/>
      <c r="C21" s="542"/>
      <c r="D21" s="583"/>
      <c r="E21" s="584"/>
      <c r="F21" s="585"/>
      <c r="G21" s="586"/>
      <c r="H21" s="514">
        <f t="shared" si="0"/>
        <v>0</v>
      </c>
      <c r="I21" s="592"/>
      <c r="J21" s="592"/>
      <c r="K21" s="41">
        <f t="shared" si="1"/>
      </c>
      <c r="L21" s="42">
        <f t="shared" si="2"/>
      </c>
      <c r="M21" s="594"/>
      <c r="N21" s="570">
        <f t="shared" si="3"/>
      </c>
      <c r="O21" s="595">
        <f t="shared" si="4"/>
      </c>
      <c r="P21" s="553">
        <f aca="true" t="shared" si="6" ref="P21:P38">IF(D21="","","NO")</f>
      </c>
      <c r="Q21" s="615">
        <f aca="true" t="shared" si="7" ref="Q21:Q38">$F$15*IF(OR(M21="P",M21="RP"),0.1,1)*IF(P21="SI",1,0.1)</f>
        <v>20</v>
      </c>
      <c r="R21" s="598" t="str">
        <f aca="true" t="shared" si="8" ref="R21:R38">IF(M21="P",H21*Q21*ROUND(L21/60,2),"--")</f>
        <v>--</v>
      </c>
      <c r="S21" s="599" t="str">
        <f aca="true" t="shared" si="9" ref="S21:S38">IF(M21="RP",H21*Q21*N21/100*ROUND(L21/60,2),"--")</f>
        <v>--</v>
      </c>
      <c r="T21" s="600" t="str">
        <f aca="true" t="shared" si="10" ref="T21:T38">IF(AND(M21="F",O21="NO"),H21*Q21,"--")</f>
        <v>--</v>
      </c>
      <c r="U21" s="601" t="str">
        <f aca="true" t="shared" si="11" ref="U21:U38">IF(M21="F",H21*Q21*ROUND(L21/60,2),"--")</f>
        <v>--</v>
      </c>
      <c r="V21" s="602" t="str">
        <f aca="true" t="shared" si="12" ref="V21:V38">IF(AND(M21="R",O21="NO"),H21*Q21*N21/100,"--")</f>
        <v>--</v>
      </c>
      <c r="W21" s="603" t="str">
        <f aca="true" t="shared" si="13" ref="W21:W38">IF(M21="R",H21*Q21*N21/100*ROUND(L21/60,2),"--")</f>
        <v>--</v>
      </c>
      <c r="X21" s="604" t="str">
        <f aca="true" t="shared" si="14" ref="X21:X38">IF(M21="RF",H21*Q21*ROUND(L21/60,2),"--")</f>
        <v>--</v>
      </c>
      <c r="Y21" s="605" t="str">
        <f aca="true" t="shared" si="15" ref="Y21:Y38">IF(M21="RR",H21*Q21*N21/100*ROUND(L21/60,2),"--")</f>
        <v>--</v>
      </c>
      <c r="Z21" s="616">
        <f aca="true" t="shared" si="16" ref="Z21:Z38">IF(D21="","","SI")</f>
      </c>
      <c r="AA21" s="187">
        <f t="shared" si="5"/>
      </c>
      <c r="AB21" s="125"/>
    </row>
    <row r="22" spans="1:28" s="16" customFormat="1" ht="16.5" customHeight="1">
      <c r="A22" s="45"/>
      <c r="B22" s="158"/>
      <c r="C22" s="542"/>
      <c r="D22" s="583"/>
      <c r="E22" s="584"/>
      <c r="F22" s="585"/>
      <c r="G22" s="586"/>
      <c r="H22" s="514">
        <f t="shared" si="0"/>
        <v>0</v>
      </c>
      <c r="I22" s="592"/>
      <c r="J22" s="592"/>
      <c r="K22" s="41">
        <f t="shared" si="1"/>
      </c>
      <c r="L22" s="42">
        <f t="shared" si="2"/>
      </c>
      <c r="M22" s="594"/>
      <c r="N22" s="570">
        <f t="shared" si="3"/>
      </c>
      <c r="O22" s="595">
        <f t="shared" si="4"/>
      </c>
      <c r="P22" s="553">
        <f t="shared" si="6"/>
      </c>
      <c r="Q22" s="615">
        <f t="shared" si="7"/>
        <v>20</v>
      </c>
      <c r="R22" s="598" t="str">
        <f t="shared" si="8"/>
        <v>--</v>
      </c>
      <c r="S22" s="599" t="str">
        <f t="shared" si="9"/>
        <v>--</v>
      </c>
      <c r="T22" s="600" t="str">
        <f t="shared" si="10"/>
        <v>--</v>
      </c>
      <c r="U22" s="601" t="str">
        <f t="shared" si="11"/>
        <v>--</v>
      </c>
      <c r="V22" s="602" t="str">
        <f t="shared" si="12"/>
        <v>--</v>
      </c>
      <c r="W22" s="603" t="str">
        <f t="shared" si="13"/>
        <v>--</v>
      </c>
      <c r="X22" s="604" t="str">
        <f t="shared" si="14"/>
        <v>--</v>
      </c>
      <c r="Y22" s="605" t="str">
        <f t="shared" si="15"/>
        <v>--</v>
      </c>
      <c r="Z22" s="616">
        <f t="shared" si="16"/>
      </c>
      <c r="AA22" s="187">
        <f t="shared" si="5"/>
      </c>
      <c r="AB22" s="125"/>
    </row>
    <row r="23" spans="1:28" s="16" customFormat="1" ht="16.5" customHeight="1">
      <c r="A23" s="45"/>
      <c r="B23" s="158"/>
      <c r="C23" s="542"/>
      <c r="D23" s="583"/>
      <c r="E23" s="584"/>
      <c r="F23" s="585"/>
      <c r="G23" s="586"/>
      <c r="H23" s="514">
        <f t="shared" si="0"/>
        <v>0</v>
      </c>
      <c r="I23" s="592"/>
      <c r="J23" s="592"/>
      <c r="K23" s="41">
        <f t="shared" si="1"/>
      </c>
      <c r="L23" s="42">
        <f t="shared" si="2"/>
      </c>
      <c r="M23" s="594"/>
      <c r="N23" s="570">
        <f t="shared" si="3"/>
      </c>
      <c r="O23" s="595">
        <f t="shared" si="4"/>
      </c>
      <c r="P23" s="553">
        <f t="shared" si="6"/>
      </c>
      <c r="Q23" s="615">
        <f t="shared" si="7"/>
        <v>20</v>
      </c>
      <c r="R23" s="598" t="str">
        <f t="shared" si="8"/>
        <v>--</v>
      </c>
      <c r="S23" s="599" t="str">
        <f t="shared" si="9"/>
        <v>--</v>
      </c>
      <c r="T23" s="600" t="str">
        <f t="shared" si="10"/>
        <v>--</v>
      </c>
      <c r="U23" s="601" t="str">
        <f t="shared" si="11"/>
        <v>--</v>
      </c>
      <c r="V23" s="602" t="str">
        <f t="shared" si="12"/>
        <v>--</v>
      </c>
      <c r="W23" s="603" t="str">
        <f t="shared" si="13"/>
        <v>--</v>
      </c>
      <c r="X23" s="604" t="str">
        <f t="shared" si="14"/>
        <v>--</v>
      </c>
      <c r="Y23" s="605" t="str">
        <f t="shared" si="15"/>
        <v>--</v>
      </c>
      <c r="Z23" s="616">
        <f t="shared" si="16"/>
      </c>
      <c r="AA23" s="187">
        <f t="shared" si="5"/>
      </c>
      <c r="AB23" s="125"/>
    </row>
    <row r="24" spans="1:28" s="16" customFormat="1" ht="16.5" customHeight="1">
      <c r="A24" s="45"/>
      <c r="B24" s="158"/>
      <c r="C24" s="542"/>
      <c r="D24" s="583"/>
      <c r="E24" s="584"/>
      <c r="F24" s="585"/>
      <c r="G24" s="586"/>
      <c r="H24" s="514">
        <f t="shared" si="0"/>
        <v>0</v>
      </c>
      <c r="I24" s="592"/>
      <c r="J24" s="592"/>
      <c r="K24" s="41">
        <f t="shared" si="1"/>
      </c>
      <c r="L24" s="42">
        <f t="shared" si="2"/>
      </c>
      <c r="M24" s="594"/>
      <c r="N24" s="570">
        <f t="shared" si="3"/>
      </c>
      <c r="O24" s="595">
        <f t="shared" si="4"/>
      </c>
      <c r="P24" s="553">
        <f t="shared" si="6"/>
      </c>
      <c r="Q24" s="615">
        <f t="shared" si="7"/>
        <v>20</v>
      </c>
      <c r="R24" s="598" t="str">
        <f t="shared" si="8"/>
        <v>--</v>
      </c>
      <c r="S24" s="599" t="str">
        <f t="shared" si="9"/>
        <v>--</v>
      </c>
      <c r="T24" s="600" t="str">
        <f t="shared" si="10"/>
        <v>--</v>
      </c>
      <c r="U24" s="601" t="str">
        <f t="shared" si="11"/>
        <v>--</v>
      </c>
      <c r="V24" s="602" t="str">
        <f t="shared" si="12"/>
        <v>--</v>
      </c>
      <c r="W24" s="603" t="str">
        <f t="shared" si="13"/>
        <v>--</v>
      </c>
      <c r="X24" s="604" t="str">
        <f t="shared" si="14"/>
        <v>--</v>
      </c>
      <c r="Y24" s="605" t="str">
        <f t="shared" si="15"/>
        <v>--</v>
      </c>
      <c r="Z24" s="616">
        <f t="shared" si="16"/>
      </c>
      <c r="AA24" s="187">
        <f t="shared" si="5"/>
      </c>
      <c r="AB24" s="125"/>
    </row>
    <row r="25" spans="1:29" s="16" customFormat="1" ht="16.5" customHeight="1">
      <c r="A25" s="45"/>
      <c r="B25" s="158"/>
      <c r="C25" s="542"/>
      <c r="D25" s="583"/>
      <c r="E25" s="584"/>
      <c r="F25" s="585"/>
      <c r="G25" s="586"/>
      <c r="H25" s="514">
        <f t="shared" si="0"/>
        <v>0</v>
      </c>
      <c r="I25" s="592"/>
      <c r="J25" s="592"/>
      <c r="K25" s="41">
        <f t="shared" si="1"/>
      </c>
      <c r="L25" s="42">
        <f t="shared" si="2"/>
      </c>
      <c r="M25" s="594"/>
      <c r="N25" s="570">
        <f t="shared" si="3"/>
      </c>
      <c r="O25" s="595">
        <f t="shared" si="4"/>
      </c>
      <c r="P25" s="553">
        <f t="shared" si="6"/>
      </c>
      <c r="Q25" s="615">
        <f t="shared" si="7"/>
        <v>20</v>
      </c>
      <c r="R25" s="598" t="str">
        <f t="shared" si="8"/>
        <v>--</v>
      </c>
      <c r="S25" s="599" t="str">
        <f t="shared" si="9"/>
        <v>--</v>
      </c>
      <c r="T25" s="600" t="str">
        <f t="shared" si="10"/>
        <v>--</v>
      </c>
      <c r="U25" s="601" t="str">
        <f t="shared" si="11"/>
        <v>--</v>
      </c>
      <c r="V25" s="602" t="str">
        <f t="shared" si="12"/>
        <v>--</v>
      </c>
      <c r="W25" s="603" t="str">
        <f t="shared" si="13"/>
        <v>--</v>
      </c>
      <c r="X25" s="604" t="str">
        <f t="shared" si="14"/>
        <v>--</v>
      </c>
      <c r="Y25" s="605" t="str">
        <f t="shared" si="15"/>
        <v>--</v>
      </c>
      <c r="Z25" s="616">
        <f t="shared" si="16"/>
      </c>
      <c r="AA25" s="187">
        <f t="shared" si="5"/>
      </c>
      <c r="AB25" s="125"/>
      <c r="AC25" s="46"/>
    </row>
    <row r="26" spans="1:28" s="16" customFormat="1" ht="16.5" customHeight="1">
      <c r="A26" s="45"/>
      <c r="B26" s="158"/>
      <c r="C26" s="542"/>
      <c r="D26" s="583"/>
      <c r="E26" s="584"/>
      <c r="F26" s="585"/>
      <c r="G26" s="586"/>
      <c r="H26" s="514">
        <f t="shared" si="0"/>
        <v>0</v>
      </c>
      <c r="I26" s="592"/>
      <c r="J26" s="592"/>
      <c r="K26" s="41">
        <f t="shared" si="1"/>
      </c>
      <c r="L26" s="42">
        <f t="shared" si="2"/>
      </c>
      <c r="M26" s="594"/>
      <c r="N26" s="570">
        <f t="shared" si="3"/>
      </c>
      <c r="O26" s="595">
        <f t="shared" si="4"/>
      </c>
      <c r="P26" s="553">
        <f t="shared" si="6"/>
      </c>
      <c r="Q26" s="615">
        <f t="shared" si="7"/>
        <v>20</v>
      </c>
      <c r="R26" s="598" t="str">
        <f t="shared" si="8"/>
        <v>--</v>
      </c>
      <c r="S26" s="599" t="str">
        <f t="shared" si="9"/>
        <v>--</v>
      </c>
      <c r="T26" s="600" t="str">
        <f t="shared" si="10"/>
        <v>--</v>
      </c>
      <c r="U26" s="601" t="str">
        <f t="shared" si="11"/>
        <v>--</v>
      </c>
      <c r="V26" s="602" t="str">
        <f t="shared" si="12"/>
        <v>--</v>
      </c>
      <c r="W26" s="603" t="str">
        <f t="shared" si="13"/>
        <v>--</v>
      </c>
      <c r="X26" s="604" t="str">
        <f t="shared" si="14"/>
        <v>--</v>
      </c>
      <c r="Y26" s="605" t="str">
        <f t="shared" si="15"/>
        <v>--</v>
      </c>
      <c r="Z26" s="616">
        <f t="shared" si="16"/>
      </c>
      <c r="AA26" s="187">
        <f t="shared" si="5"/>
      </c>
      <c r="AB26" s="125"/>
    </row>
    <row r="27" spans="1:28" s="16" customFormat="1" ht="16.5" customHeight="1">
      <c r="A27" s="45"/>
      <c r="B27" s="158"/>
      <c r="C27" s="542"/>
      <c r="D27" s="583"/>
      <c r="E27" s="584"/>
      <c r="F27" s="585"/>
      <c r="G27" s="586"/>
      <c r="H27" s="514">
        <f t="shared" si="0"/>
        <v>0</v>
      </c>
      <c r="I27" s="592"/>
      <c r="J27" s="592"/>
      <c r="K27" s="41">
        <f t="shared" si="1"/>
      </c>
      <c r="L27" s="42">
        <f t="shared" si="2"/>
      </c>
      <c r="M27" s="594"/>
      <c r="N27" s="570">
        <f t="shared" si="3"/>
      </c>
      <c r="O27" s="595">
        <f t="shared" si="4"/>
      </c>
      <c r="P27" s="553">
        <f t="shared" si="6"/>
      </c>
      <c r="Q27" s="615">
        <f t="shared" si="7"/>
        <v>20</v>
      </c>
      <c r="R27" s="598" t="str">
        <f t="shared" si="8"/>
        <v>--</v>
      </c>
      <c r="S27" s="599" t="str">
        <f t="shared" si="9"/>
        <v>--</v>
      </c>
      <c r="T27" s="600" t="str">
        <f t="shared" si="10"/>
        <v>--</v>
      </c>
      <c r="U27" s="601" t="str">
        <f t="shared" si="11"/>
        <v>--</v>
      </c>
      <c r="V27" s="602" t="str">
        <f t="shared" si="12"/>
        <v>--</v>
      </c>
      <c r="W27" s="603" t="str">
        <f t="shared" si="13"/>
        <v>--</v>
      </c>
      <c r="X27" s="604" t="str">
        <f t="shared" si="14"/>
        <v>--</v>
      </c>
      <c r="Y27" s="605" t="str">
        <f t="shared" si="15"/>
        <v>--</v>
      </c>
      <c r="Z27" s="616">
        <f t="shared" si="16"/>
      </c>
      <c r="AA27" s="187">
        <f t="shared" si="5"/>
      </c>
      <c r="AB27" s="125"/>
    </row>
    <row r="28" spans="1:28" s="16" customFormat="1" ht="16.5" customHeight="1">
      <c r="A28" s="45"/>
      <c r="B28" s="158"/>
      <c r="C28" s="542"/>
      <c r="D28" s="583"/>
      <c r="E28" s="584"/>
      <c r="F28" s="585"/>
      <c r="G28" s="586"/>
      <c r="H28" s="514">
        <f t="shared" si="0"/>
        <v>0</v>
      </c>
      <c r="I28" s="592"/>
      <c r="J28" s="592"/>
      <c r="K28" s="41">
        <f t="shared" si="1"/>
      </c>
      <c r="L28" s="42">
        <f t="shared" si="2"/>
      </c>
      <c r="M28" s="594"/>
      <c r="N28" s="570">
        <f t="shared" si="3"/>
      </c>
      <c r="O28" s="595">
        <f t="shared" si="4"/>
      </c>
      <c r="P28" s="553">
        <f t="shared" si="6"/>
      </c>
      <c r="Q28" s="615">
        <f t="shared" si="7"/>
        <v>20</v>
      </c>
      <c r="R28" s="598" t="str">
        <f t="shared" si="8"/>
        <v>--</v>
      </c>
      <c r="S28" s="599" t="str">
        <f t="shared" si="9"/>
        <v>--</v>
      </c>
      <c r="T28" s="600" t="str">
        <f t="shared" si="10"/>
        <v>--</v>
      </c>
      <c r="U28" s="601" t="str">
        <f t="shared" si="11"/>
        <v>--</v>
      </c>
      <c r="V28" s="602" t="str">
        <f t="shared" si="12"/>
        <v>--</v>
      </c>
      <c r="W28" s="603" t="str">
        <f t="shared" si="13"/>
        <v>--</v>
      </c>
      <c r="X28" s="604" t="str">
        <f t="shared" si="14"/>
        <v>--</v>
      </c>
      <c r="Y28" s="605" t="str">
        <f t="shared" si="15"/>
        <v>--</v>
      </c>
      <c r="Z28" s="616">
        <f t="shared" si="16"/>
      </c>
      <c r="AA28" s="187">
        <f t="shared" si="5"/>
      </c>
      <c r="AB28" s="125"/>
    </row>
    <row r="29" spans="1:28" s="16" customFormat="1" ht="16.5" customHeight="1">
      <c r="A29" s="45"/>
      <c r="B29" s="158"/>
      <c r="C29" s="542"/>
      <c r="D29" s="583"/>
      <c r="E29" s="587"/>
      <c r="F29" s="585"/>
      <c r="G29" s="586"/>
      <c r="H29" s="514">
        <f t="shared" si="0"/>
        <v>0</v>
      </c>
      <c r="I29" s="592"/>
      <c r="J29" s="592"/>
      <c r="K29" s="41">
        <f t="shared" si="1"/>
      </c>
      <c r="L29" s="42">
        <f t="shared" si="2"/>
      </c>
      <c r="M29" s="594"/>
      <c r="N29" s="570">
        <f t="shared" si="3"/>
      </c>
      <c r="O29" s="595">
        <f t="shared" si="4"/>
      </c>
      <c r="P29" s="553">
        <f t="shared" si="6"/>
      </c>
      <c r="Q29" s="615">
        <f t="shared" si="7"/>
        <v>20</v>
      </c>
      <c r="R29" s="598" t="str">
        <f t="shared" si="8"/>
        <v>--</v>
      </c>
      <c r="S29" s="599" t="str">
        <f t="shared" si="9"/>
        <v>--</v>
      </c>
      <c r="T29" s="600" t="str">
        <f t="shared" si="10"/>
        <v>--</v>
      </c>
      <c r="U29" s="601" t="str">
        <f t="shared" si="11"/>
        <v>--</v>
      </c>
      <c r="V29" s="602" t="str">
        <f t="shared" si="12"/>
        <v>--</v>
      </c>
      <c r="W29" s="603" t="str">
        <f t="shared" si="13"/>
        <v>--</v>
      </c>
      <c r="X29" s="604" t="str">
        <f t="shared" si="14"/>
        <v>--</v>
      </c>
      <c r="Y29" s="605" t="str">
        <f t="shared" si="15"/>
        <v>--</v>
      </c>
      <c r="Z29" s="616">
        <f t="shared" si="16"/>
      </c>
      <c r="AA29" s="187">
        <f t="shared" si="5"/>
      </c>
      <c r="AB29" s="125"/>
    </row>
    <row r="30" spans="1:28" s="16" customFormat="1" ht="16.5" customHeight="1">
      <c r="A30" s="45"/>
      <c r="B30" s="158"/>
      <c r="C30" s="542"/>
      <c r="D30" s="583"/>
      <c r="E30" s="587"/>
      <c r="F30" s="585"/>
      <c r="G30" s="586"/>
      <c r="H30" s="514">
        <f t="shared" si="0"/>
        <v>0</v>
      </c>
      <c r="I30" s="592"/>
      <c r="J30" s="592"/>
      <c r="K30" s="41">
        <f t="shared" si="1"/>
      </c>
      <c r="L30" s="42">
        <f t="shared" si="2"/>
      </c>
      <c r="M30" s="594"/>
      <c r="N30" s="570">
        <f t="shared" si="3"/>
      </c>
      <c r="O30" s="595">
        <f t="shared" si="4"/>
      </c>
      <c r="P30" s="553">
        <f t="shared" si="6"/>
      </c>
      <c r="Q30" s="615">
        <f t="shared" si="7"/>
        <v>20</v>
      </c>
      <c r="R30" s="598" t="str">
        <f t="shared" si="8"/>
        <v>--</v>
      </c>
      <c r="S30" s="599" t="str">
        <f t="shared" si="9"/>
        <v>--</v>
      </c>
      <c r="T30" s="600" t="str">
        <f t="shared" si="10"/>
        <v>--</v>
      </c>
      <c r="U30" s="601" t="str">
        <f t="shared" si="11"/>
        <v>--</v>
      </c>
      <c r="V30" s="602" t="str">
        <f t="shared" si="12"/>
        <v>--</v>
      </c>
      <c r="W30" s="603" t="str">
        <f t="shared" si="13"/>
        <v>--</v>
      </c>
      <c r="X30" s="604" t="str">
        <f t="shared" si="14"/>
        <v>--</v>
      </c>
      <c r="Y30" s="605" t="str">
        <f t="shared" si="15"/>
        <v>--</v>
      </c>
      <c r="Z30" s="616">
        <f t="shared" si="16"/>
      </c>
      <c r="AA30" s="187">
        <f t="shared" si="5"/>
      </c>
      <c r="AB30" s="125"/>
    </row>
    <row r="31" spans="1:28" s="16" customFormat="1" ht="16.5" customHeight="1">
      <c r="A31" s="45"/>
      <c r="B31" s="158"/>
      <c r="C31" s="542"/>
      <c r="D31" s="583"/>
      <c r="E31" s="587"/>
      <c r="F31" s="585"/>
      <c r="G31" s="586"/>
      <c r="H31" s="514">
        <f t="shared" si="0"/>
        <v>0</v>
      </c>
      <c r="I31" s="592"/>
      <c r="J31" s="592"/>
      <c r="K31" s="41">
        <f t="shared" si="1"/>
      </c>
      <c r="L31" s="42">
        <f t="shared" si="2"/>
      </c>
      <c r="M31" s="594"/>
      <c r="N31" s="570">
        <f t="shared" si="3"/>
      </c>
      <c r="O31" s="595">
        <f t="shared" si="4"/>
      </c>
      <c r="P31" s="553">
        <f t="shared" si="6"/>
      </c>
      <c r="Q31" s="615">
        <f t="shared" si="7"/>
        <v>20</v>
      </c>
      <c r="R31" s="598" t="str">
        <f t="shared" si="8"/>
        <v>--</v>
      </c>
      <c r="S31" s="599" t="str">
        <f t="shared" si="9"/>
        <v>--</v>
      </c>
      <c r="T31" s="600" t="str">
        <f t="shared" si="10"/>
        <v>--</v>
      </c>
      <c r="U31" s="601" t="str">
        <f t="shared" si="11"/>
        <v>--</v>
      </c>
      <c r="V31" s="602" t="str">
        <f t="shared" si="12"/>
        <v>--</v>
      </c>
      <c r="W31" s="603" t="str">
        <f t="shared" si="13"/>
        <v>--</v>
      </c>
      <c r="X31" s="604" t="str">
        <f t="shared" si="14"/>
        <v>--</v>
      </c>
      <c r="Y31" s="605" t="str">
        <f t="shared" si="15"/>
        <v>--</v>
      </c>
      <c r="Z31" s="616">
        <f t="shared" si="16"/>
      </c>
      <c r="AA31" s="187">
        <f t="shared" si="5"/>
      </c>
      <c r="AB31" s="125"/>
    </row>
    <row r="32" spans="1:28" s="16" customFormat="1" ht="16.5" customHeight="1">
      <c r="A32" s="45"/>
      <c r="B32" s="158"/>
      <c r="C32" s="542"/>
      <c r="D32" s="583"/>
      <c r="E32" s="587"/>
      <c r="F32" s="585"/>
      <c r="G32" s="586"/>
      <c r="H32" s="514">
        <f t="shared" si="0"/>
        <v>0</v>
      </c>
      <c r="I32" s="592"/>
      <c r="J32" s="592"/>
      <c r="K32" s="41">
        <f t="shared" si="1"/>
      </c>
      <c r="L32" s="42">
        <f t="shared" si="2"/>
      </c>
      <c r="M32" s="594"/>
      <c r="N32" s="570">
        <f t="shared" si="3"/>
      </c>
      <c r="O32" s="595">
        <f t="shared" si="4"/>
      </c>
      <c r="P32" s="553">
        <f t="shared" si="6"/>
      </c>
      <c r="Q32" s="615">
        <f t="shared" si="7"/>
        <v>20</v>
      </c>
      <c r="R32" s="598" t="str">
        <f t="shared" si="8"/>
        <v>--</v>
      </c>
      <c r="S32" s="599" t="str">
        <f t="shared" si="9"/>
        <v>--</v>
      </c>
      <c r="T32" s="600" t="str">
        <f t="shared" si="10"/>
        <v>--</v>
      </c>
      <c r="U32" s="601" t="str">
        <f t="shared" si="11"/>
        <v>--</v>
      </c>
      <c r="V32" s="602" t="str">
        <f t="shared" si="12"/>
        <v>--</v>
      </c>
      <c r="W32" s="603" t="str">
        <f t="shared" si="13"/>
        <v>--</v>
      </c>
      <c r="X32" s="604" t="str">
        <f t="shared" si="14"/>
        <v>--</v>
      </c>
      <c r="Y32" s="605" t="str">
        <f t="shared" si="15"/>
        <v>--</v>
      </c>
      <c r="Z32" s="616">
        <f t="shared" si="16"/>
      </c>
      <c r="AA32" s="187">
        <f t="shared" si="5"/>
      </c>
      <c r="AB32" s="125"/>
    </row>
    <row r="33" spans="1:28" s="16" customFormat="1" ht="16.5" customHeight="1">
      <c r="A33" s="45"/>
      <c r="B33" s="158"/>
      <c r="C33" s="542"/>
      <c r="D33" s="583"/>
      <c r="E33" s="587"/>
      <c r="F33" s="585"/>
      <c r="G33" s="586"/>
      <c r="H33" s="514">
        <f t="shared" si="0"/>
        <v>0</v>
      </c>
      <c r="I33" s="592"/>
      <c r="J33" s="592"/>
      <c r="K33" s="41">
        <f t="shared" si="1"/>
      </c>
      <c r="L33" s="42">
        <f t="shared" si="2"/>
      </c>
      <c r="M33" s="594"/>
      <c r="N33" s="570">
        <f t="shared" si="3"/>
      </c>
      <c r="O33" s="595">
        <f t="shared" si="4"/>
      </c>
      <c r="P33" s="553">
        <f t="shared" si="6"/>
      </c>
      <c r="Q33" s="615">
        <f t="shared" si="7"/>
        <v>20</v>
      </c>
      <c r="R33" s="598" t="str">
        <f t="shared" si="8"/>
        <v>--</v>
      </c>
      <c r="S33" s="599" t="str">
        <f t="shared" si="9"/>
        <v>--</v>
      </c>
      <c r="T33" s="600" t="str">
        <f t="shared" si="10"/>
        <v>--</v>
      </c>
      <c r="U33" s="601" t="str">
        <f t="shared" si="11"/>
        <v>--</v>
      </c>
      <c r="V33" s="602" t="str">
        <f t="shared" si="12"/>
        <v>--</v>
      </c>
      <c r="W33" s="603" t="str">
        <f t="shared" si="13"/>
        <v>--</v>
      </c>
      <c r="X33" s="604" t="str">
        <f t="shared" si="14"/>
        <v>--</v>
      </c>
      <c r="Y33" s="605" t="str">
        <f t="shared" si="15"/>
        <v>--</v>
      </c>
      <c r="Z33" s="616">
        <f t="shared" si="16"/>
      </c>
      <c r="AA33" s="187">
        <f t="shared" si="5"/>
      </c>
      <c r="AB33" s="125"/>
    </row>
    <row r="34" spans="1:28" s="16" customFormat="1" ht="16.5" customHeight="1">
      <c r="A34" s="45"/>
      <c r="B34" s="158"/>
      <c r="C34" s="542"/>
      <c r="D34" s="583"/>
      <c r="E34" s="587"/>
      <c r="F34" s="585"/>
      <c r="G34" s="586"/>
      <c r="H34" s="514">
        <f t="shared" si="0"/>
        <v>0</v>
      </c>
      <c r="I34" s="592"/>
      <c r="J34" s="592"/>
      <c r="K34" s="41">
        <f t="shared" si="1"/>
      </c>
      <c r="L34" s="42">
        <f t="shared" si="2"/>
      </c>
      <c r="M34" s="594"/>
      <c r="N34" s="570">
        <f t="shared" si="3"/>
      </c>
      <c r="O34" s="595">
        <f t="shared" si="4"/>
      </c>
      <c r="P34" s="553">
        <f t="shared" si="6"/>
      </c>
      <c r="Q34" s="615">
        <f t="shared" si="7"/>
        <v>20</v>
      </c>
      <c r="R34" s="598" t="str">
        <f t="shared" si="8"/>
        <v>--</v>
      </c>
      <c r="S34" s="599" t="str">
        <f t="shared" si="9"/>
        <v>--</v>
      </c>
      <c r="T34" s="600" t="str">
        <f t="shared" si="10"/>
        <v>--</v>
      </c>
      <c r="U34" s="601" t="str">
        <f t="shared" si="11"/>
        <v>--</v>
      </c>
      <c r="V34" s="602" t="str">
        <f t="shared" si="12"/>
        <v>--</v>
      </c>
      <c r="W34" s="603" t="str">
        <f t="shared" si="13"/>
        <v>--</v>
      </c>
      <c r="X34" s="604" t="str">
        <f t="shared" si="14"/>
        <v>--</v>
      </c>
      <c r="Y34" s="605" t="str">
        <f t="shared" si="15"/>
        <v>--</v>
      </c>
      <c r="Z34" s="616">
        <f t="shared" si="16"/>
      </c>
      <c r="AA34" s="187">
        <f t="shared" si="5"/>
      </c>
      <c r="AB34" s="125"/>
    </row>
    <row r="35" spans="1:28" s="16" customFormat="1" ht="16.5" customHeight="1">
      <c r="A35" s="45"/>
      <c r="B35" s="158"/>
      <c r="C35" s="542"/>
      <c r="D35" s="583"/>
      <c r="E35" s="587"/>
      <c r="F35" s="585"/>
      <c r="G35" s="586"/>
      <c r="H35" s="514">
        <f t="shared" si="0"/>
        <v>0</v>
      </c>
      <c r="I35" s="592"/>
      <c r="J35" s="592"/>
      <c r="K35" s="41">
        <f t="shared" si="1"/>
      </c>
      <c r="L35" s="42">
        <f t="shared" si="2"/>
      </c>
      <c r="M35" s="594"/>
      <c r="N35" s="570">
        <f t="shared" si="3"/>
      </c>
      <c r="O35" s="595">
        <f t="shared" si="4"/>
      </c>
      <c r="P35" s="553">
        <f t="shared" si="6"/>
      </c>
      <c r="Q35" s="615">
        <f t="shared" si="7"/>
        <v>20</v>
      </c>
      <c r="R35" s="598" t="str">
        <f t="shared" si="8"/>
        <v>--</v>
      </c>
      <c r="S35" s="599" t="str">
        <f t="shared" si="9"/>
        <v>--</v>
      </c>
      <c r="T35" s="600" t="str">
        <f t="shared" si="10"/>
        <v>--</v>
      </c>
      <c r="U35" s="601" t="str">
        <f t="shared" si="11"/>
        <v>--</v>
      </c>
      <c r="V35" s="602" t="str">
        <f t="shared" si="12"/>
        <v>--</v>
      </c>
      <c r="W35" s="603" t="str">
        <f t="shared" si="13"/>
        <v>--</v>
      </c>
      <c r="X35" s="604" t="str">
        <f t="shared" si="14"/>
        <v>--</v>
      </c>
      <c r="Y35" s="605" t="str">
        <f t="shared" si="15"/>
        <v>--</v>
      </c>
      <c r="Z35" s="616">
        <f t="shared" si="16"/>
      </c>
      <c r="AA35" s="187">
        <f t="shared" si="5"/>
      </c>
      <c r="AB35" s="125"/>
    </row>
    <row r="36" spans="1:28" s="16" customFormat="1" ht="16.5" customHeight="1">
      <c r="A36" s="45"/>
      <c r="B36" s="158"/>
      <c r="C36" s="542"/>
      <c r="D36" s="583"/>
      <c r="E36" s="587"/>
      <c r="F36" s="585"/>
      <c r="G36" s="586"/>
      <c r="H36" s="514">
        <f t="shared" si="0"/>
        <v>0</v>
      </c>
      <c r="I36" s="592"/>
      <c r="J36" s="592"/>
      <c r="K36" s="41">
        <f t="shared" si="1"/>
      </c>
      <c r="L36" s="42">
        <f t="shared" si="2"/>
      </c>
      <c r="M36" s="594"/>
      <c r="N36" s="570">
        <f t="shared" si="3"/>
      </c>
      <c r="O36" s="595">
        <f t="shared" si="4"/>
      </c>
      <c r="P36" s="553">
        <f t="shared" si="6"/>
      </c>
      <c r="Q36" s="615">
        <f t="shared" si="7"/>
        <v>20</v>
      </c>
      <c r="R36" s="598" t="str">
        <f t="shared" si="8"/>
        <v>--</v>
      </c>
      <c r="S36" s="599" t="str">
        <f t="shared" si="9"/>
        <v>--</v>
      </c>
      <c r="T36" s="600" t="str">
        <f t="shared" si="10"/>
        <v>--</v>
      </c>
      <c r="U36" s="601" t="str">
        <f t="shared" si="11"/>
        <v>--</v>
      </c>
      <c r="V36" s="602" t="str">
        <f t="shared" si="12"/>
        <v>--</v>
      </c>
      <c r="W36" s="603" t="str">
        <f t="shared" si="13"/>
        <v>--</v>
      </c>
      <c r="X36" s="604" t="str">
        <f t="shared" si="14"/>
        <v>--</v>
      </c>
      <c r="Y36" s="605" t="str">
        <f t="shared" si="15"/>
        <v>--</v>
      </c>
      <c r="Z36" s="616">
        <f t="shared" si="16"/>
      </c>
      <c r="AA36" s="187">
        <f t="shared" si="5"/>
      </c>
      <c r="AB36" s="125"/>
    </row>
    <row r="37" spans="1:28" s="16" customFormat="1" ht="16.5" customHeight="1">
      <c r="A37" s="45"/>
      <c r="B37" s="158"/>
      <c r="C37" s="542"/>
      <c r="D37" s="583"/>
      <c r="E37" s="587"/>
      <c r="F37" s="585"/>
      <c r="G37" s="586"/>
      <c r="H37" s="514">
        <f t="shared" si="0"/>
        <v>0</v>
      </c>
      <c r="I37" s="592"/>
      <c r="J37" s="592"/>
      <c r="K37" s="41">
        <f t="shared" si="1"/>
      </c>
      <c r="L37" s="42">
        <f t="shared" si="2"/>
      </c>
      <c r="M37" s="594"/>
      <c r="N37" s="570">
        <f t="shared" si="3"/>
      </c>
      <c r="O37" s="595">
        <f t="shared" si="4"/>
      </c>
      <c r="P37" s="553">
        <f t="shared" si="6"/>
      </c>
      <c r="Q37" s="615">
        <f t="shared" si="7"/>
        <v>20</v>
      </c>
      <c r="R37" s="598" t="str">
        <f t="shared" si="8"/>
        <v>--</v>
      </c>
      <c r="S37" s="599" t="str">
        <f t="shared" si="9"/>
        <v>--</v>
      </c>
      <c r="T37" s="600" t="str">
        <f t="shared" si="10"/>
        <v>--</v>
      </c>
      <c r="U37" s="601" t="str">
        <f t="shared" si="11"/>
        <v>--</v>
      </c>
      <c r="V37" s="602" t="str">
        <f t="shared" si="12"/>
        <v>--</v>
      </c>
      <c r="W37" s="603" t="str">
        <f t="shared" si="13"/>
        <v>--</v>
      </c>
      <c r="X37" s="604" t="str">
        <f t="shared" si="14"/>
        <v>--</v>
      </c>
      <c r="Y37" s="605" t="str">
        <f t="shared" si="15"/>
        <v>--</v>
      </c>
      <c r="Z37" s="616">
        <f t="shared" si="16"/>
      </c>
      <c r="AA37" s="187">
        <f t="shared" si="5"/>
      </c>
      <c r="AB37" s="125"/>
    </row>
    <row r="38" spans="1:28" s="16" customFormat="1" ht="16.5" customHeight="1">
      <c r="A38" s="45"/>
      <c r="B38" s="158"/>
      <c r="C38" s="542"/>
      <c r="D38" s="583"/>
      <c r="E38" s="587"/>
      <c r="F38" s="585"/>
      <c r="G38" s="586"/>
      <c r="H38" s="514">
        <f t="shared" si="0"/>
        <v>0</v>
      </c>
      <c r="I38" s="592"/>
      <c r="J38" s="592"/>
      <c r="K38" s="41">
        <f t="shared" si="1"/>
      </c>
      <c r="L38" s="42">
        <f t="shared" si="2"/>
      </c>
      <c r="M38" s="594"/>
      <c r="N38" s="570">
        <f t="shared" si="3"/>
      </c>
      <c r="O38" s="595">
        <f t="shared" si="4"/>
      </c>
      <c r="P38" s="553">
        <f t="shared" si="6"/>
      </c>
      <c r="Q38" s="615">
        <f t="shared" si="7"/>
        <v>20</v>
      </c>
      <c r="R38" s="598" t="str">
        <f t="shared" si="8"/>
        <v>--</v>
      </c>
      <c r="S38" s="599" t="str">
        <f t="shared" si="9"/>
        <v>--</v>
      </c>
      <c r="T38" s="600" t="str">
        <f t="shared" si="10"/>
        <v>--</v>
      </c>
      <c r="U38" s="601" t="str">
        <f t="shared" si="11"/>
        <v>--</v>
      </c>
      <c r="V38" s="602" t="str">
        <f t="shared" si="12"/>
        <v>--</v>
      </c>
      <c r="W38" s="603" t="str">
        <f t="shared" si="13"/>
        <v>--</v>
      </c>
      <c r="X38" s="604" t="str">
        <f t="shared" si="14"/>
        <v>--</v>
      </c>
      <c r="Y38" s="605" t="str">
        <f t="shared" si="15"/>
        <v>--</v>
      </c>
      <c r="Z38" s="616">
        <f t="shared" si="16"/>
      </c>
      <c r="AA38" s="187">
        <f t="shared" si="5"/>
      </c>
      <c r="AB38" s="125"/>
    </row>
    <row r="39" spans="1:28" s="16" customFormat="1" ht="16.5" customHeight="1" thickBot="1">
      <c r="A39" s="45"/>
      <c r="B39" s="158"/>
      <c r="C39" s="588"/>
      <c r="D39" s="589"/>
      <c r="E39" s="590"/>
      <c r="F39" s="589"/>
      <c r="G39" s="591"/>
      <c r="H39" s="312"/>
      <c r="I39" s="588"/>
      <c r="J39" s="593"/>
      <c r="K39" s="43"/>
      <c r="L39" s="44"/>
      <c r="M39" s="596"/>
      <c r="N39" s="559"/>
      <c r="O39" s="597"/>
      <c r="P39" s="596"/>
      <c r="Q39" s="617"/>
      <c r="R39" s="606"/>
      <c r="S39" s="607"/>
      <c r="T39" s="608"/>
      <c r="U39" s="609"/>
      <c r="V39" s="610"/>
      <c r="W39" s="611"/>
      <c r="X39" s="612"/>
      <c r="Y39" s="613"/>
      <c r="Z39" s="614"/>
      <c r="AA39" s="188"/>
      <c r="AB39" s="125"/>
    </row>
    <row r="40" spans="1:28" s="16" customFormat="1" ht="16.5" customHeight="1" thickBot="1" thickTop="1">
      <c r="A40" s="45"/>
      <c r="B40" s="158"/>
      <c r="C40" s="246" t="s">
        <v>59</v>
      </c>
      <c r="D40" s="247"/>
      <c r="E40" s="46"/>
      <c r="F40" s="46"/>
      <c r="G40" s="46"/>
      <c r="H40" s="46"/>
      <c r="I40" s="46"/>
      <c r="J40" s="47"/>
      <c r="K40" s="46"/>
      <c r="L40" s="46"/>
      <c r="M40" s="46"/>
      <c r="N40" s="46"/>
      <c r="O40" s="46"/>
      <c r="P40" s="46"/>
      <c r="Q40" s="46"/>
      <c r="R40" s="388">
        <f aca="true" t="shared" si="17" ref="R40:Y40">SUM(R18:R39)</f>
        <v>0</v>
      </c>
      <c r="S40" s="392">
        <f t="shared" si="17"/>
        <v>0</v>
      </c>
      <c r="T40" s="397">
        <f t="shared" si="17"/>
        <v>354</v>
      </c>
      <c r="U40" s="398">
        <f t="shared" si="17"/>
        <v>17.7</v>
      </c>
      <c r="V40" s="405">
        <f t="shared" si="17"/>
        <v>0</v>
      </c>
      <c r="W40" s="406">
        <f t="shared" si="17"/>
        <v>0</v>
      </c>
      <c r="X40" s="457">
        <f t="shared" si="17"/>
        <v>0</v>
      </c>
      <c r="Y40" s="458">
        <f t="shared" si="17"/>
        <v>0</v>
      </c>
      <c r="Z40" s="45"/>
      <c r="AA40" s="318">
        <f>ROUND(SUM(AA18:AA39),2)</f>
        <v>371.7</v>
      </c>
      <c r="AB40" s="125"/>
    </row>
    <row r="41" spans="1:28" s="251" customFormat="1" ht="9.75" thickTop="1">
      <c r="A41" s="261"/>
      <c r="B41" s="262"/>
      <c r="C41" s="248"/>
      <c r="D41" s="250" t="s">
        <v>148</v>
      </c>
      <c r="E41" s="263"/>
      <c r="F41" s="263"/>
      <c r="G41" s="263"/>
      <c r="H41" s="263"/>
      <c r="I41" s="263"/>
      <c r="J41" s="264"/>
      <c r="K41" s="263"/>
      <c r="L41" s="263"/>
      <c r="M41" s="263"/>
      <c r="N41" s="263"/>
      <c r="O41" s="263"/>
      <c r="P41" s="263"/>
      <c r="Q41" s="263"/>
      <c r="R41" s="266"/>
      <c r="S41" s="266"/>
      <c r="T41" s="266"/>
      <c r="U41" s="266"/>
      <c r="V41" s="266"/>
      <c r="W41" s="266"/>
      <c r="X41" s="266"/>
      <c r="Y41" s="266"/>
      <c r="Z41" s="261"/>
      <c r="AA41" s="265"/>
      <c r="AB41" s="267"/>
    </row>
    <row r="42" spans="1:28" s="16" customFormat="1" ht="16.5" customHeight="1" thickBot="1">
      <c r="A42" s="45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</row>
    <row r="43" spans="1:29" ht="16.5" customHeight="1" thickTop="1">
      <c r="A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6.5" customHeight="1">
      <c r="A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6.5" customHeight="1">
      <c r="A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6.5" customHeight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4:29" ht="16.5" customHeight="1"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4:29" ht="16.5" customHeight="1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4:29" ht="16.5" customHeight="1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ht="16.5" customHeight="1">
      <c r="AC151" s="5"/>
    </row>
    <row r="152" ht="16.5" customHeight="1">
      <c r="AC152" s="5"/>
    </row>
    <row r="153" ht="16.5" customHeight="1">
      <c r="AC153" s="5"/>
    </row>
    <row r="154" ht="16.5" customHeight="1">
      <c r="AC154" s="5"/>
    </row>
    <row r="155" ht="16.5" customHeight="1"/>
    <row r="156" ht="16.5" customHeight="1"/>
    <row r="157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W159"/>
  <sheetViews>
    <sheetView zoomScale="75" zoomScaleNormal="75" workbookViewId="0" topLeftCell="A1">
      <selection activeCell="U42" sqref="U42"/>
    </sheetView>
  </sheetViews>
  <sheetFormatPr defaultColWidth="11.421875" defaultRowHeight="16.5" customHeight="1"/>
  <cols>
    <col min="1" max="1" width="20.7109375" style="0" customWidth="1"/>
    <col min="2" max="2" width="14.00390625" style="0" customWidth="1"/>
    <col min="3" max="3" width="7.7109375" style="0" customWidth="1"/>
    <col min="4" max="4" width="30.7109375" style="0" customWidth="1"/>
    <col min="5" max="5" width="40.574218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70" customFormat="1" ht="26.25">
      <c r="A1" s="120"/>
      <c r="U1" s="517"/>
    </row>
    <row r="2" spans="1:21" s="70" customFormat="1" ht="26.25">
      <c r="A2" s="120"/>
      <c r="B2" s="71" t="str">
        <f>+'tot-0312'!B2</f>
        <v>ANEXO I-2 a la Resolución ENRE N° 403/2008.-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="16" customFormat="1" ht="12.75">
      <c r="A3" s="45"/>
    </row>
    <row r="4" spans="1:2" s="77" customFormat="1" ht="11.25">
      <c r="A4" s="75" t="s">
        <v>24</v>
      </c>
      <c r="B4" s="154"/>
    </row>
    <row r="5" spans="1:2" s="77" customFormat="1" ht="11.25">
      <c r="A5" s="75" t="s">
        <v>25</v>
      </c>
      <c r="B5" s="154"/>
    </row>
    <row r="6" s="16" customFormat="1" ht="13.5" thickBot="1"/>
    <row r="7" spans="2:21" s="16" customFormat="1" ht="13.5" thickTop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91"/>
    </row>
    <row r="8" spans="2:21" s="10" customFormat="1" ht="20.25">
      <c r="B8" s="135"/>
      <c r="C8" s="11"/>
      <c r="D8" s="48" t="s">
        <v>38</v>
      </c>
      <c r="L8" s="167"/>
      <c r="M8" s="167"/>
      <c r="N8" s="36"/>
      <c r="O8" s="11"/>
      <c r="P8" s="11"/>
      <c r="Q8" s="11"/>
      <c r="R8" s="11"/>
      <c r="S8" s="11"/>
      <c r="T8" s="11"/>
      <c r="U8" s="200"/>
    </row>
    <row r="9" spans="2:21" s="16" customFormat="1" ht="12.75">
      <c r="B9" s="102"/>
      <c r="C9" s="1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4"/>
      <c r="P9" s="14"/>
      <c r="Q9" s="14"/>
      <c r="R9" s="14"/>
      <c r="S9" s="14"/>
      <c r="T9" s="14"/>
      <c r="U9" s="106"/>
    </row>
    <row r="10" spans="2:21" s="10" customFormat="1" ht="20.25">
      <c r="B10" s="135"/>
      <c r="C10" s="11"/>
      <c r="D10" s="171" t="s">
        <v>88</v>
      </c>
      <c r="E10" s="37"/>
      <c r="F10" s="167"/>
      <c r="G10" s="201"/>
      <c r="I10" s="201"/>
      <c r="J10" s="201"/>
      <c r="K10" s="201"/>
      <c r="L10" s="201"/>
      <c r="M10" s="201"/>
      <c r="N10" s="201"/>
      <c r="O10" s="11"/>
      <c r="P10" s="11"/>
      <c r="Q10" s="11"/>
      <c r="R10" s="11"/>
      <c r="S10" s="11"/>
      <c r="T10" s="11"/>
      <c r="U10" s="200"/>
    </row>
    <row r="11" spans="2:21" s="16" customFormat="1" ht="13.5">
      <c r="B11" s="102"/>
      <c r="C11" s="14"/>
      <c r="D11" s="199"/>
      <c r="E11" s="199"/>
      <c r="F11" s="45"/>
      <c r="G11" s="192"/>
      <c r="H11" s="104"/>
      <c r="I11" s="192"/>
      <c r="J11" s="192"/>
      <c r="K11" s="192"/>
      <c r="L11" s="192"/>
      <c r="M11" s="192"/>
      <c r="N11" s="192"/>
      <c r="O11" s="14"/>
      <c r="P11" s="14"/>
      <c r="Q11" s="14"/>
      <c r="R11" s="14"/>
      <c r="S11" s="14"/>
      <c r="T11" s="14"/>
      <c r="U11" s="106"/>
    </row>
    <row r="12" spans="2:21" s="16" customFormat="1" ht="19.5">
      <c r="B12" s="90" t="str">
        <f>+'tot-0312'!B14</f>
        <v>Desde el 01 al 31 de diciembre de 2003</v>
      </c>
      <c r="C12" s="93"/>
      <c r="D12" s="93"/>
      <c r="E12" s="93"/>
      <c r="F12" s="93"/>
      <c r="G12" s="202"/>
      <c r="H12" s="202"/>
      <c r="I12" s="202"/>
      <c r="J12" s="202"/>
      <c r="K12" s="202"/>
      <c r="L12" s="202"/>
      <c r="M12" s="202"/>
      <c r="N12" s="202"/>
      <c r="O12" s="93"/>
      <c r="P12" s="93"/>
      <c r="Q12" s="93"/>
      <c r="R12" s="93"/>
      <c r="S12" s="93"/>
      <c r="T12" s="93"/>
      <c r="U12" s="203"/>
    </row>
    <row r="13" spans="2:21" s="16" customFormat="1" ht="14.25" thickBot="1">
      <c r="B13" s="204"/>
      <c r="C13" s="205"/>
      <c r="D13" s="205"/>
      <c r="E13" s="205"/>
      <c r="F13" s="205"/>
      <c r="G13" s="206"/>
      <c r="H13" s="206"/>
      <c r="I13" s="206"/>
      <c r="J13" s="206"/>
      <c r="K13" s="206"/>
      <c r="L13" s="206"/>
      <c r="M13" s="206"/>
      <c r="N13" s="206"/>
      <c r="O13" s="205"/>
      <c r="P13" s="205"/>
      <c r="Q13" s="205"/>
      <c r="R13" s="205"/>
      <c r="S13" s="205"/>
      <c r="T13" s="205"/>
      <c r="U13" s="207"/>
    </row>
    <row r="14" spans="2:21" s="16" customFormat="1" ht="15" thickBot="1" thickTop="1">
      <c r="B14" s="102"/>
      <c r="C14" s="14"/>
      <c r="D14" s="208"/>
      <c r="E14" s="208"/>
      <c r="F14" s="209" t="s">
        <v>83</v>
      </c>
      <c r="G14" s="14"/>
      <c r="H14" s="10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6"/>
    </row>
    <row r="15" spans="2:21" s="16" customFormat="1" ht="16.5" customHeight="1" thickBot="1" thickTop="1">
      <c r="B15" s="102"/>
      <c r="C15" s="14"/>
      <c r="D15" s="521" t="s">
        <v>84</v>
      </c>
      <c r="E15" s="522">
        <v>11.787</v>
      </c>
      <c r="F15" s="523">
        <v>200</v>
      </c>
      <c r="T15" s="127"/>
      <c r="U15" s="106"/>
    </row>
    <row r="16" spans="2:21" s="16" customFormat="1" ht="16.5" customHeight="1" thickBot="1" thickTop="1">
      <c r="B16" s="102"/>
      <c r="C16" s="14"/>
      <c r="D16" s="524" t="s">
        <v>85</v>
      </c>
      <c r="E16" s="525">
        <v>10.609</v>
      </c>
      <c r="F16" s="523">
        <v>100</v>
      </c>
      <c r="M16" s="14"/>
      <c r="N16" s="14"/>
      <c r="O16" s="14"/>
      <c r="P16" s="14"/>
      <c r="Q16" s="14"/>
      <c r="R16" s="14"/>
      <c r="S16" s="14"/>
      <c r="T16" s="14"/>
      <c r="U16" s="106"/>
    </row>
    <row r="17" spans="2:21" s="16" customFormat="1" ht="16.5" customHeight="1" thickBot="1" thickTop="1">
      <c r="B17" s="102"/>
      <c r="C17" s="14"/>
      <c r="D17" s="526" t="s">
        <v>86</v>
      </c>
      <c r="E17" s="634">
        <v>9.43</v>
      </c>
      <c r="F17" s="523">
        <v>40</v>
      </c>
      <c r="M17" s="14"/>
      <c r="O17" s="14"/>
      <c r="P17" s="14"/>
      <c r="Q17" s="14"/>
      <c r="R17" s="14"/>
      <c r="S17" s="14"/>
      <c r="T17" s="14"/>
      <c r="U17" s="106"/>
    </row>
    <row r="18" spans="2:21" s="16" customFormat="1" ht="16.5" customHeight="1" thickBot="1" thickTop="1">
      <c r="B18" s="102"/>
      <c r="C18" s="21"/>
      <c r="D18" s="60"/>
      <c r="E18" s="60"/>
      <c r="F18" s="193"/>
      <c r="G18" s="194"/>
      <c r="H18" s="194"/>
      <c r="I18" s="194"/>
      <c r="J18" s="194"/>
      <c r="K18" s="194"/>
      <c r="L18" s="194"/>
      <c r="M18" s="194"/>
      <c r="N18" s="53"/>
      <c r="O18" s="195"/>
      <c r="P18" s="196"/>
      <c r="Q18" s="196"/>
      <c r="R18" s="196"/>
      <c r="S18" s="197"/>
      <c r="T18" s="198"/>
      <c r="U18" s="106"/>
    </row>
    <row r="19" spans="2:21" s="16" customFormat="1" ht="33.75" customHeight="1" thickBot="1" thickTop="1">
      <c r="B19" s="102"/>
      <c r="C19" s="142" t="s">
        <v>39</v>
      </c>
      <c r="D19" s="151" t="s">
        <v>76</v>
      </c>
      <c r="E19" s="147" t="s">
        <v>18</v>
      </c>
      <c r="F19" s="211" t="s">
        <v>40</v>
      </c>
      <c r="G19" s="308" t="s">
        <v>44</v>
      </c>
      <c r="H19" s="145" t="s">
        <v>45</v>
      </c>
      <c r="I19" s="147" t="s">
        <v>46</v>
      </c>
      <c r="J19" s="212" t="s">
        <v>47</v>
      </c>
      <c r="K19" s="212" t="s">
        <v>48</v>
      </c>
      <c r="L19" s="150" t="s">
        <v>49</v>
      </c>
      <c r="M19" s="146" t="s">
        <v>52</v>
      </c>
      <c r="N19" s="415" t="s">
        <v>43</v>
      </c>
      <c r="O19" s="407" t="s">
        <v>65</v>
      </c>
      <c r="P19" s="420" t="s">
        <v>87</v>
      </c>
      <c r="Q19" s="421"/>
      <c r="R19" s="430" t="s">
        <v>55</v>
      </c>
      <c r="S19" s="152" t="s">
        <v>57</v>
      </c>
      <c r="T19" s="185" t="s">
        <v>58</v>
      </c>
      <c r="U19" s="106"/>
    </row>
    <row r="20" spans="2:21" s="16" customFormat="1" ht="16.5" customHeight="1" thickTop="1">
      <c r="B20" s="102"/>
      <c r="C20" s="20"/>
      <c r="D20" s="50"/>
      <c r="E20" s="50"/>
      <c r="F20" s="50"/>
      <c r="G20" s="319"/>
      <c r="H20" s="50"/>
      <c r="I20" s="50"/>
      <c r="J20" s="50"/>
      <c r="K20" s="50"/>
      <c r="L20" s="50"/>
      <c r="M20" s="50"/>
      <c r="N20" s="416"/>
      <c r="O20" s="418"/>
      <c r="P20" s="422"/>
      <c r="Q20" s="423"/>
      <c r="R20" s="431"/>
      <c r="S20" s="50"/>
      <c r="T20" s="516"/>
      <c r="U20" s="106"/>
    </row>
    <row r="21" spans="2:21" s="16" customFormat="1" ht="16.5" customHeight="1">
      <c r="B21" s="102"/>
      <c r="C21" s="20"/>
      <c r="D21" s="51"/>
      <c r="E21" s="51"/>
      <c r="F21" s="51"/>
      <c r="G21" s="320"/>
      <c r="H21" s="51"/>
      <c r="I21" s="51"/>
      <c r="J21" s="51"/>
      <c r="K21" s="51"/>
      <c r="L21" s="51"/>
      <c r="M21" s="51"/>
      <c r="N21" s="414"/>
      <c r="O21" s="417"/>
      <c r="P21" s="424"/>
      <c r="Q21" s="425"/>
      <c r="R21" s="428"/>
      <c r="S21" s="51"/>
      <c r="T21" s="213"/>
      <c r="U21" s="106"/>
    </row>
    <row r="22" spans="2:21" s="16" customFormat="1" ht="16.5" customHeight="1">
      <c r="B22" s="102"/>
      <c r="C22" s="541" t="s">
        <v>119</v>
      </c>
      <c r="D22" s="650" t="s">
        <v>7</v>
      </c>
      <c r="E22" s="650" t="s">
        <v>13</v>
      </c>
      <c r="F22" s="650">
        <v>132</v>
      </c>
      <c r="G22" s="649">
        <f aca="true" t="shared" si="0" ref="G22:G42">IF(F22=500,$E$15,IF(F22=220,$E$16,$E$17))</f>
        <v>9.43</v>
      </c>
      <c r="H22" s="621">
        <v>37956.40138888889</v>
      </c>
      <c r="I22" s="622">
        <v>37956.67638888889</v>
      </c>
      <c r="J22" s="52">
        <f aca="true" t="shared" si="1" ref="J22:J42">IF(D22="","",(I22-H22)*24)</f>
        <v>6.600000000034925</v>
      </c>
      <c r="K22" s="26">
        <f aca="true" t="shared" si="2" ref="K22:K42">IF(D22="","",ROUND((I22-H22)*24*60,0))</f>
        <v>396</v>
      </c>
      <c r="L22" s="551" t="s">
        <v>107</v>
      </c>
      <c r="M22" s="553" t="str">
        <f aca="true" t="shared" si="3" ref="M22:M42">IF(D22="","",IF(L22="P","--","NO"))</f>
        <v>--</v>
      </c>
      <c r="N22" s="624">
        <f aca="true" t="shared" si="4" ref="N22:N42">IF(F22=500,$F$15,IF(F22=220,$F$16,$F$17))</f>
        <v>40</v>
      </c>
      <c r="O22" s="625">
        <f aca="true" t="shared" si="5" ref="O22:O42">IF(L22="P",G22*N22*ROUND(K22/60,2)*0.1,"--")</f>
        <v>248.952</v>
      </c>
      <c r="P22" s="626" t="str">
        <f aca="true" t="shared" si="6" ref="P22:P42">IF(AND(L22="F",M22="NO"),G22*N22,"--")</f>
        <v>--</v>
      </c>
      <c r="Q22" s="627" t="str">
        <f aca="true" t="shared" si="7" ref="Q22:Q42">IF(L22="F",G22*N22*ROUND(K22/60,2),"--")</f>
        <v>--</v>
      </c>
      <c r="R22" s="628" t="str">
        <f aca="true" t="shared" si="8" ref="R22:R42">IF(L22="RF",G22*N22*ROUND(K22/60,2),"--")</f>
        <v>--</v>
      </c>
      <c r="S22" s="553" t="str">
        <f aca="true" t="shared" si="9" ref="S22:S42">IF(D22="","","SI")</f>
        <v>SI</v>
      </c>
      <c r="T22" s="54">
        <f aca="true" t="shared" si="10" ref="T22:T42">IF(D22="","",SUM(O22:R22)*IF(S22="SI",1,2))</f>
        <v>248.952</v>
      </c>
      <c r="U22" s="106"/>
    </row>
    <row r="23" spans="2:21" s="16" customFormat="1" ht="16.5" customHeight="1">
      <c r="B23" s="102"/>
      <c r="C23" s="541" t="s">
        <v>120</v>
      </c>
      <c r="D23" s="650" t="s">
        <v>7</v>
      </c>
      <c r="E23" s="650" t="s">
        <v>13</v>
      </c>
      <c r="F23" s="650">
        <v>132</v>
      </c>
      <c r="G23" s="649">
        <f t="shared" si="0"/>
        <v>9.43</v>
      </c>
      <c r="H23" s="621">
        <v>37957.36111111111</v>
      </c>
      <c r="I23" s="622">
        <v>37957.70347222222</v>
      </c>
      <c r="J23" s="52">
        <f t="shared" si="1"/>
        <v>8.216666666732635</v>
      </c>
      <c r="K23" s="26">
        <f t="shared" si="2"/>
        <v>493</v>
      </c>
      <c r="L23" s="551" t="s">
        <v>107</v>
      </c>
      <c r="M23" s="553" t="str">
        <f t="shared" si="3"/>
        <v>--</v>
      </c>
      <c r="N23" s="624">
        <f t="shared" si="4"/>
        <v>40</v>
      </c>
      <c r="O23" s="625">
        <f t="shared" si="5"/>
        <v>310.05840000000006</v>
      </c>
      <c r="P23" s="626" t="str">
        <f t="shared" si="6"/>
        <v>--</v>
      </c>
      <c r="Q23" s="627" t="str">
        <f t="shared" si="7"/>
        <v>--</v>
      </c>
      <c r="R23" s="628" t="str">
        <f t="shared" si="8"/>
        <v>--</v>
      </c>
      <c r="S23" s="553" t="str">
        <f t="shared" si="9"/>
        <v>SI</v>
      </c>
      <c r="T23" s="54">
        <f t="shared" si="10"/>
        <v>310.05840000000006</v>
      </c>
      <c r="U23" s="106"/>
    </row>
    <row r="24" spans="2:21" s="16" customFormat="1" ht="16.5" customHeight="1">
      <c r="B24" s="102"/>
      <c r="C24" s="541" t="s">
        <v>121</v>
      </c>
      <c r="D24" s="650" t="s">
        <v>7</v>
      </c>
      <c r="E24" s="650" t="s">
        <v>11</v>
      </c>
      <c r="F24" s="650">
        <v>132</v>
      </c>
      <c r="G24" s="649">
        <f t="shared" si="0"/>
        <v>9.43</v>
      </c>
      <c r="H24" s="621">
        <v>37959.29722222222</v>
      </c>
      <c r="I24" s="622">
        <v>37959.47638888889</v>
      </c>
      <c r="J24" s="52">
        <f t="shared" si="1"/>
        <v>4.300000000046566</v>
      </c>
      <c r="K24" s="26">
        <f t="shared" si="2"/>
        <v>258</v>
      </c>
      <c r="L24" s="551" t="s">
        <v>107</v>
      </c>
      <c r="M24" s="553" t="str">
        <f t="shared" si="3"/>
        <v>--</v>
      </c>
      <c r="N24" s="624">
        <f t="shared" si="4"/>
        <v>40</v>
      </c>
      <c r="O24" s="625">
        <f t="shared" si="5"/>
        <v>162.196</v>
      </c>
      <c r="P24" s="626" t="str">
        <f t="shared" si="6"/>
        <v>--</v>
      </c>
      <c r="Q24" s="627" t="str">
        <f t="shared" si="7"/>
        <v>--</v>
      </c>
      <c r="R24" s="628" t="str">
        <f t="shared" si="8"/>
        <v>--</v>
      </c>
      <c r="S24" s="553" t="str">
        <f t="shared" si="9"/>
        <v>SI</v>
      </c>
      <c r="T24" s="54">
        <f t="shared" si="10"/>
        <v>162.196</v>
      </c>
      <c r="U24" s="106"/>
    </row>
    <row r="25" spans="2:21" s="16" customFormat="1" ht="16.5" customHeight="1">
      <c r="B25" s="102"/>
      <c r="C25" s="541" t="s">
        <v>122</v>
      </c>
      <c r="D25" s="650" t="s">
        <v>10</v>
      </c>
      <c r="E25" s="650" t="s">
        <v>17</v>
      </c>
      <c r="F25" s="650">
        <v>132</v>
      </c>
      <c r="G25" s="649">
        <f t="shared" si="0"/>
        <v>9.43</v>
      </c>
      <c r="H25" s="621">
        <v>37962.23402777778</v>
      </c>
      <c r="I25" s="622">
        <v>37963.697916666664</v>
      </c>
      <c r="J25" s="52">
        <f t="shared" si="1"/>
        <v>35.13333333330229</v>
      </c>
      <c r="K25" s="26">
        <f t="shared" si="2"/>
        <v>2108</v>
      </c>
      <c r="L25" s="551" t="s">
        <v>107</v>
      </c>
      <c r="M25" s="553" t="str">
        <f t="shared" si="3"/>
        <v>--</v>
      </c>
      <c r="N25" s="624">
        <f t="shared" si="4"/>
        <v>40</v>
      </c>
      <c r="O25" s="625">
        <f t="shared" si="5"/>
        <v>1325.1036000000001</v>
      </c>
      <c r="P25" s="626" t="str">
        <f t="shared" si="6"/>
        <v>--</v>
      </c>
      <c r="Q25" s="627" t="str">
        <f t="shared" si="7"/>
        <v>--</v>
      </c>
      <c r="R25" s="628" t="str">
        <f t="shared" si="8"/>
        <v>--</v>
      </c>
      <c r="S25" s="553" t="str">
        <f t="shared" si="9"/>
        <v>SI</v>
      </c>
      <c r="T25" s="54">
        <f t="shared" si="10"/>
        <v>1325.1036000000001</v>
      </c>
      <c r="U25" s="106"/>
    </row>
    <row r="26" spans="2:21" s="16" customFormat="1" ht="16.5" customHeight="1">
      <c r="B26" s="102"/>
      <c r="C26" s="541" t="s">
        <v>123</v>
      </c>
      <c r="D26" s="650" t="s">
        <v>9</v>
      </c>
      <c r="E26" s="650" t="s">
        <v>16</v>
      </c>
      <c r="F26" s="650">
        <v>132</v>
      </c>
      <c r="G26" s="649">
        <f t="shared" si="0"/>
        <v>9.43</v>
      </c>
      <c r="H26" s="621">
        <v>37964.364583333336</v>
      </c>
      <c r="I26" s="622">
        <v>37964.65625</v>
      </c>
      <c r="J26" s="52">
        <f t="shared" si="1"/>
        <v>6.999999999941792</v>
      </c>
      <c r="K26" s="26">
        <f t="shared" si="2"/>
        <v>420</v>
      </c>
      <c r="L26" s="551" t="s">
        <v>107</v>
      </c>
      <c r="M26" s="553" t="str">
        <f t="shared" si="3"/>
        <v>--</v>
      </c>
      <c r="N26" s="624">
        <f t="shared" si="4"/>
        <v>40</v>
      </c>
      <c r="O26" s="625">
        <f t="shared" si="5"/>
        <v>264.04</v>
      </c>
      <c r="P26" s="626" t="str">
        <f t="shared" si="6"/>
        <v>--</v>
      </c>
      <c r="Q26" s="627" t="str">
        <f t="shared" si="7"/>
        <v>--</v>
      </c>
      <c r="R26" s="628" t="str">
        <f t="shared" si="8"/>
        <v>--</v>
      </c>
      <c r="S26" s="553" t="str">
        <f t="shared" si="9"/>
        <v>SI</v>
      </c>
      <c r="T26" s="54">
        <f t="shared" si="10"/>
        <v>264.04</v>
      </c>
      <c r="U26" s="106"/>
    </row>
    <row r="27" spans="2:21" s="16" customFormat="1" ht="16.5" customHeight="1">
      <c r="B27" s="102"/>
      <c r="C27" s="541" t="s">
        <v>124</v>
      </c>
      <c r="D27" s="650" t="s">
        <v>9</v>
      </c>
      <c r="E27" s="650" t="s">
        <v>16</v>
      </c>
      <c r="F27" s="650">
        <v>132</v>
      </c>
      <c r="G27" s="649">
        <f t="shared" si="0"/>
        <v>9.43</v>
      </c>
      <c r="H27" s="621">
        <v>37965.49930555555</v>
      </c>
      <c r="I27" s="622">
        <v>37965.65138888889</v>
      </c>
      <c r="J27" s="52">
        <f t="shared" si="1"/>
        <v>3.650000000023283</v>
      </c>
      <c r="K27" s="26">
        <f t="shared" si="2"/>
        <v>219</v>
      </c>
      <c r="L27" s="551" t="s">
        <v>107</v>
      </c>
      <c r="M27" s="553" t="str">
        <f t="shared" si="3"/>
        <v>--</v>
      </c>
      <c r="N27" s="624">
        <f t="shared" si="4"/>
        <v>40</v>
      </c>
      <c r="O27" s="625">
        <f t="shared" si="5"/>
        <v>137.678</v>
      </c>
      <c r="P27" s="626" t="str">
        <f t="shared" si="6"/>
        <v>--</v>
      </c>
      <c r="Q27" s="627" t="str">
        <f t="shared" si="7"/>
        <v>--</v>
      </c>
      <c r="R27" s="628" t="str">
        <f t="shared" si="8"/>
        <v>--</v>
      </c>
      <c r="S27" s="553" t="str">
        <f t="shared" si="9"/>
        <v>SI</v>
      </c>
      <c r="T27" s="54">
        <f t="shared" si="10"/>
        <v>137.678</v>
      </c>
      <c r="U27" s="106"/>
    </row>
    <row r="28" spans="2:21" s="16" customFormat="1" ht="16.5" customHeight="1">
      <c r="B28" s="102"/>
      <c r="C28" s="541" t="s">
        <v>125</v>
      </c>
      <c r="D28" s="650" t="s">
        <v>9</v>
      </c>
      <c r="E28" s="650" t="s">
        <v>15</v>
      </c>
      <c r="F28" s="650">
        <v>132</v>
      </c>
      <c r="G28" s="649">
        <f t="shared" si="0"/>
        <v>9.43</v>
      </c>
      <c r="H28" s="621">
        <v>37966.22222222222</v>
      </c>
      <c r="I28" s="622">
        <v>37966.834027777775</v>
      </c>
      <c r="J28" s="52">
        <f t="shared" si="1"/>
        <v>14.683333333348855</v>
      </c>
      <c r="K28" s="26">
        <f t="shared" si="2"/>
        <v>881</v>
      </c>
      <c r="L28" s="551" t="s">
        <v>107</v>
      </c>
      <c r="M28" s="553" t="str">
        <f aca="true" t="shared" si="11" ref="M28:M37">IF(D28="","",IF(L28="P","--","NO"))</f>
        <v>--</v>
      </c>
      <c r="N28" s="624">
        <f aca="true" t="shared" si="12" ref="N28:N37">IF(F28=500,$F$15,IF(F28=220,$F$16,$F$17))</f>
        <v>40</v>
      </c>
      <c r="O28" s="625">
        <f aca="true" t="shared" si="13" ref="O28:O37">IF(L28="P",G28*N28*ROUND(K28/60,2)*0.1,"--")</f>
        <v>553.7296</v>
      </c>
      <c r="P28" s="626" t="str">
        <f aca="true" t="shared" si="14" ref="P28:P37">IF(AND(L28="F",M28="NO"),G28*N28,"--")</f>
        <v>--</v>
      </c>
      <c r="Q28" s="627" t="str">
        <f aca="true" t="shared" si="15" ref="Q28:Q37">IF(L28="F",G28*N28*ROUND(K28/60,2),"--")</f>
        <v>--</v>
      </c>
      <c r="R28" s="628" t="str">
        <f aca="true" t="shared" si="16" ref="R28:R37">IF(L28="RF",G28*N28*ROUND(K28/60,2),"--")</f>
        <v>--</v>
      </c>
      <c r="S28" s="553" t="str">
        <f aca="true" t="shared" si="17" ref="S28:S37">IF(D28="","","SI")</f>
        <v>SI</v>
      </c>
      <c r="T28" s="54">
        <f t="shared" si="10"/>
        <v>553.7296</v>
      </c>
      <c r="U28" s="106"/>
    </row>
    <row r="29" spans="2:21" s="16" customFormat="1" ht="16.5" customHeight="1">
      <c r="B29" s="102"/>
      <c r="C29" s="541" t="s">
        <v>126</v>
      </c>
      <c r="D29" s="650" t="s">
        <v>9</v>
      </c>
      <c r="E29" s="650" t="s">
        <v>15</v>
      </c>
      <c r="F29" s="650">
        <v>132</v>
      </c>
      <c r="G29" s="649">
        <f t="shared" si="0"/>
        <v>9.43</v>
      </c>
      <c r="H29" s="621">
        <v>37967.22777777778</v>
      </c>
      <c r="I29" s="622">
        <v>37967.83263888889</v>
      </c>
      <c r="J29" s="52">
        <f t="shared" si="1"/>
        <v>14.516666666662786</v>
      </c>
      <c r="K29" s="26">
        <f t="shared" si="2"/>
        <v>871</v>
      </c>
      <c r="L29" s="551" t="s">
        <v>107</v>
      </c>
      <c r="M29" s="553" t="str">
        <f t="shared" si="11"/>
        <v>--</v>
      </c>
      <c r="N29" s="624">
        <f t="shared" si="12"/>
        <v>40</v>
      </c>
      <c r="O29" s="625">
        <f t="shared" si="13"/>
        <v>547.6944</v>
      </c>
      <c r="P29" s="626" t="str">
        <f t="shared" si="14"/>
        <v>--</v>
      </c>
      <c r="Q29" s="627" t="str">
        <f t="shared" si="15"/>
        <v>--</v>
      </c>
      <c r="R29" s="628" t="str">
        <f t="shared" si="16"/>
        <v>--</v>
      </c>
      <c r="S29" s="553" t="str">
        <f t="shared" si="17"/>
        <v>SI</v>
      </c>
      <c r="T29" s="54">
        <f t="shared" si="10"/>
        <v>547.6944</v>
      </c>
      <c r="U29" s="106"/>
    </row>
    <row r="30" spans="2:21" s="16" customFormat="1" ht="16.5" customHeight="1">
      <c r="B30" s="102"/>
      <c r="C30" s="541" t="s">
        <v>127</v>
      </c>
      <c r="D30" s="650" t="s">
        <v>7</v>
      </c>
      <c r="E30" s="650" t="s">
        <v>99</v>
      </c>
      <c r="F30" s="650">
        <v>132</v>
      </c>
      <c r="G30" s="649">
        <f t="shared" si="0"/>
        <v>9.43</v>
      </c>
      <c r="H30" s="621">
        <v>37970.353472222225</v>
      </c>
      <c r="I30" s="622">
        <v>37970.65</v>
      </c>
      <c r="J30" s="52">
        <f t="shared" si="1"/>
        <v>7.116666666639503</v>
      </c>
      <c r="K30" s="26">
        <f t="shared" si="2"/>
        <v>427</v>
      </c>
      <c r="L30" s="551" t="s">
        <v>107</v>
      </c>
      <c r="M30" s="553" t="str">
        <f t="shared" si="11"/>
        <v>--</v>
      </c>
      <c r="N30" s="624">
        <f t="shared" si="12"/>
        <v>40</v>
      </c>
      <c r="O30" s="625">
        <f t="shared" si="13"/>
        <v>268.5664</v>
      </c>
      <c r="P30" s="626" t="str">
        <f t="shared" si="14"/>
        <v>--</v>
      </c>
      <c r="Q30" s="627" t="str">
        <f t="shared" si="15"/>
        <v>--</v>
      </c>
      <c r="R30" s="628" t="str">
        <f t="shared" si="16"/>
        <v>--</v>
      </c>
      <c r="S30" s="553" t="str">
        <f t="shared" si="17"/>
        <v>SI</v>
      </c>
      <c r="T30" s="54">
        <f t="shared" si="10"/>
        <v>268.5664</v>
      </c>
      <c r="U30" s="106"/>
    </row>
    <row r="31" spans="2:21" s="16" customFormat="1" ht="16.5" customHeight="1">
      <c r="B31" s="102"/>
      <c r="C31" s="541" t="s">
        <v>128</v>
      </c>
      <c r="D31" s="650" t="s">
        <v>7</v>
      </c>
      <c r="E31" s="650" t="s">
        <v>100</v>
      </c>
      <c r="F31" s="650">
        <v>132</v>
      </c>
      <c r="G31" s="649">
        <f t="shared" si="0"/>
        <v>9.43</v>
      </c>
      <c r="H31" s="621">
        <v>37971.34444444445</v>
      </c>
      <c r="I31" s="622">
        <v>37971.74652777778</v>
      </c>
      <c r="J31" s="52">
        <f t="shared" si="1"/>
        <v>9.650000000023283</v>
      </c>
      <c r="K31" s="26">
        <f t="shared" si="2"/>
        <v>579</v>
      </c>
      <c r="L31" s="551" t="s">
        <v>107</v>
      </c>
      <c r="M31" s="553" t="str">
        <f t="shared" si="11"/>
        <v>--</v>
      </c>
      <c r="N31" s="624">
        <f t="shared" si="12"/>
        <v>40</v>
      </c>
      <c r="O31" s="625">
        <f t="shared" si="13"/>
        <v>363.99800000000005</v>
      </c>
      <c r="P31" s="626" t="str">
        <f t="shared" si="14"/>
        <v>--</v>
      </c>
      <c r="Q31" s="627" t="str">
        <f t="shared" si="15"/>
        <v>--</v>
      </c>
      <c r="R31" s="628" t="str">
        <f t="shared" si="16"/>
        <v>--</v>
      </c>
      <c r="S31" s="553" t="str">
        <f t="shared" si="17"/>
        <v>SI</v>
      </c>
      <c r="T31" s="54">
        <f t="shared" si="10"/>
        <v>363.99800000000005</v>
      </c>
      <c r="U31" s="106"/>
    </row>
    <row r="32" spans="2:21" s="16" customFormat="1" ht="16.5" customHeight="1">
      <c r="B32" s="102"/>
      <c r="C32" s="541" t="s">
        <v>129</v>
      </c>
      <c r="D32" s="650" t="s">
        <v>7</v>
      </c>
      <c r="E32" s="650" t="s">
        <v>100</v>
      </c>
      <c r="F32" s="650">
        <v>132</v>
      </c>
      <c r="G32" s="649">
        <f t="shared" si="0"/>
        <v>9.43</v>
      </c>
      <c r="H32" s="621">
        <v>37972.35555555556</v>
      </c>
      <c r="I32" s="622">
        <v>37972.73819444444</v>
      </c>
      <c r="J32" s="52">
        <f t="shared" si="1"/>
        <v>9.18333333323244</v>
      </c>
      <c r="K32" s="26">
        <f t="shared" si="2"/>
        <v>551</v>
      </c>
      <c r="L32" s="551" t="s">
        <v>107</v>
      </c>
      <c r="M32" s="553" t="str">
        <f t="shared" si="11"/>
        <v>--</v>
      </c>
      <c r="N32" s="624">
        <f t="shared" si="12"/>
        <v>40</v>
      </c>
      <c r="O32" s="625">
        <f t="shared" si="13"/>
        <v>346.2696</v>
      </c>
      <c r="P32" s="626" t="str">
        <f t="shared" si="14"/>
        <v>--</v>
      </c>
      <c r="Q32" s="627" t="str">
        <f t="shared" si="15"/>
        <v>--</v>
      </c>
      <c r="R32" s="628" t="str">
        <f t="shared" si="16"/>
        <v>--</v>
      </c>
      <c r="S32" s="553" t="str">
        <f t="shared" si="17"/>
        <v>SI</v>
      </c>
      <c r="T32" s="54">
        <f t="shared" si="10"/>
        <v>346.2696</v>
      </c>
      <c r="U32" s="106"/>
    </row>
    <row r="33" spans="2:21" s="16" customFormat="1" ht="16.5" customHeight="1">
      <c r="B33" s="102"/>
      <c r="C33" s="541" t="s">
        <v>130</v>
      </c>
      <c r="D33" s="650" t="s">
        <v>7</v>
      </c>
      <c r="E33" s="650" t="s">
        <v>100</v>
      </c>
      <c r="F33" s="650">
        <v>132</v>
      </c>
      <c r="G33" s="649">
        <f t="shared" si="0"/>
        <v>9.43</v>
      </c>
      <c r="H33" s="621">
        <v>37973.345138888886</v>
      </c>
      <c r="I33" s="622">
        <v>37973.74444444444</v>
      </c>
      <c r="J33" s="52">
        <f t="shared" si="1"/>
        <v>9.58333333331393</v>
      </c>
      <c r="K33" s="26">
        <f t="shared" si="2"/>
        <v>575</v>
      </c>
      <c r="L33" s="551" t="s">
        <v>107</v>
      </c>
      <c r="M33" s="553" t="str">
        <f t="shared" si="11"/>
        <v>--</v>
      </c>
      <c r="N33" s="624">
        <f t="shared" si="12"/>
        <v>40</v>
      </c>
      <c r="O33" s="625">
        <f t="shared" si="13"/>
        <v>361.35760000000005</v>
      </c>
      <c r="P33" s="626" t="str">
        <f t="shared" si="14"/>
        <v>--</v>
      </c>
      <c r="Q33" s="627" t="str">
        <f t="shared" si="15"/>
        <v>--</v>
      </c>
      <c r="R33" s="628" t="str">
        <f t="shared" si="16"/>
        <v>--</v>
      </c>
      <c r="S33" s="553" t="str">
        <f t="shared" si="17"/>
        <v>SI</v>
      </c>
      <c r="T33" s="54">
        <f t="shared" si="10"/>
        <v>361.35760000000005</v>
      </c>
      <c r="U33" s="106"/>
    </row>
    <row r="34" spans="2:21" s="16" customFormat="1" ht="16.5" customHeight="1">
      <c r="B34" s="102"/>
      <c r="C34" s="541" t="s">
        <v>131</v>
      </c>
      <c r="D34" s="650" t="s">
        <v>7</v>
      </c>
      <c r="E34" s="650" t="s">
        <v>100</v>
      </c>
      <c r="F34" s="650">
        <v>132</v>
      </c>
      <c r="G34" s="649">
        <f t="shared" si="0"/>
        <v>9.43</v>
      </c>
      <c r="H34" s="621">
        <v>37974.375</v>
      </c>
      <c r="I34" s="622">
        <v>37974.73333333333</v>
      </c>
      <c r="J34" s="52">
        <f t="shared" si="1"/>
        <v>8.59999999991851</v>
      </c>
      <c r="K34" s="26">
        <f t="shared" si="2"/>
        <v>516</v>
      </c>
      <c r="L34" s="551" t="s">
        <v>107</v>
      </c>
      <c r="M34" s="553" t="str">
        <f t="shared" si="11"/>
        <v>--</v>
      </c>
      <c r="N34" s="624">
        <f t="shared" si="12"/>
        <v>40</v>
      </c>
      <c r="O34" s="625">
        <f t="shared" si="13"/>
        <v>324.392</v>
      </c>
      <c r="P34" s="626" t="str">
        <f t="shared" si="14"/>
        <v>--</v>
      </c>
      <c r="Q34" s="627" t="str">
        <f t="shared" si="15"/>
        <v>--</v>
      </c>
      <c r="R34" s="628" t="str">
        <f t="shared" si="16"/>
        <v>--</v>
      </c>
      <c r="S34" s="553" t="str">
        <f t="shared" si="17"/>
        <v>SI</v>
      </c>
      <c r="T34" s="54">
        <f t="shared" si="10"/>
        <v>324.392</v>
      </c>
      <c r="U34" s="654"/>
    </row>
    <row r="35" spans="2:21" s="16" customFormat="1" ht="16.5" customHeight="1">
      <c r="B35" s="102"/>
      <c r="C35" s="541" t="s">
        <v>132</v>
      </c>
      <c r="D35" s="650" t="s">
        <v>7</v>
      </c>
      <c r="E35" s="650" t="s">
        <v>12</v>
      </c>
      <c r="F35" s="650">
        <v>132</v>
      </c>
      <c r="G35" s="649">
        <f t="shared" si="0"/>
        <v>9.43</v>
      </c>
      <c r="H35" s="621">
        <v>37977.402083333334</v>
      </c>
      <c r="I35" s="622">
        <v>37977.62291666667</v>
      </c>
      <c r="J35" s="52">
        <f t="shared" si="1"/>
        <v>5.2999999999883585</v>
      </c>
      <c r="K35" s="26">
        <f t="shared" si="2"/>
        <v>318</v>
      </c>
      <c r="L35" s="551" t="s">
        <v>107</v>
      </c>
      <c r="M35" s="553" t="str">
        <f t="shared" si="11"/>
        <v>--</v>
      </c>
      <c r="N35" s="624">
        <f t="shared" si="12"/>
        <v>40</v>
      </c>
      <c r="O35" s="625">
        <f t="shared" si="13"/>
        <v>199.916</v>
      </c>
      <c r="P35" s="626" t="str">
        <f t="shared" si="14"/>
        <v>--</v>
      </c>
      <c r="Q35" s="627" t="str">
        <f t="shared" si="15"/>
        <v>--</v>
      </c>
      <c r="R35" s="628" t="str">
        <f t="shared" si="16"/>
        <v>--</v>
      </c>
      <c r="S35" s="553" t="str">
        <f t="shared" si="17"/>
        <v>SI</v>
      </c>
      <c r="T35" s="54">
        <f t="shared" si="10"/>
        <v>199.916</v>
      </c>
      <c r="U35" s="654"/>
    </row>
    <row r="36" spans="2:21" s="16" customFormat="1" ht="16.5" customHeight="1">
      <c r="B36" s="102"/>
      <c r="C36" s="541" t="s">
        <v>133</v>
      </c>
      <c r="D36" s="650" t="s">
        <v>7</v>
      </c>
      <c r="E36" s="650" t="s">
        <v>14</v>
      </c>
      <c r="F36" s="650">
        <v>132</v>
      </c>
      <c r="G36" s="649">
        <f t="shared" si="0"/>
        <v>9.43</v>
      </c>
      <c r="H36" s="621">
        <v>37984.39861111111</v>
      </c>
      <c r="I36" s="622">
        <v>37984.686111111114</v>
      </c>
      <c r="J36" s="52">
        <f t="shared" si="1"/>
        <v>6.900000000139698</v>
      </c>
      <c r="K36" s="26">
        <f t="shared" si="2"/>
        <v>414</v>
      </c>
      <c r="L36" s="551" t="s">
        <v>107</v>
      </c>
      <c r="M36" s="553" t="str">
        <f t="shared" si="11"/>
        <v>--</v>
      </c>
      <c r="N36" s="624">
        <f t="shared" si="12"/>
        <v>40</v>
      </c>
      <c r="O36" s="625">
        <f t="shared" si="13"/>
        <v>260.268</v>
      </c>
      <c r="P36" s="626" t="str">
        <f t="shared" si="14"/>
        <v>--</v>
      </c>
      <c r="Q36" s="627" t="str">
        <f t="shared" si="15"/>
        <v>--</v>
      </c>
      <c r="R36" s="628" t="str">
        <f t="shared" si="16"/>
        <v>--</v>
      </c>
      <c r="S36" s="553" t="str">
        <f t="shared" si="17"/>
        <v>SI</v>
      </c>
      <c r="T36" s="54">
        <f t="shared" si="10"/>
        <v>260.268</v>
      </c>
      <c r="U36" s="654"/>
    </row>
    <row r="37" spans="2:21" s="16" customFormat="1" ht="16.5" customHeight="1">
      <c r="B37" s="102"/>
      <c r="C37" s="541" t="s">
        <v>134</v>
      </c>
      <c r="D37" s="650" t="s">
        <v>7</v>
      </c>
      <c r="E37" s="650" t="s">
        <v>14</v>
      </c>
      <c r="F37" s="650">
        <v>132</v>
      </c>
      <c r="G37" s="649">
        <f t="shared" si="0"/>
        <v>9.43</v>
      </c>
      <c r="H37" s="621">
        <v>37985.388194444444</v>
      </c>
      <c r="I37" s="622">
        <v>37985.60208333333</v>
      </c>
      <c r="J37" s="52">
        <f t="shared" si="1"/>
        <v>5.133333333302289</v>
      </c>
      <c r="K37" s="26">
        <f t="shared" si="2"/>
        <v>308</v>
      </c>
      <c r="L37" s="551" t="s">
        <v>107</v>
      </c>
      <c r="M37" s="553" t="str">
        <f t="shared" si="11"/>
        <v>--</v>
      </c>
      <c r="N37" s="624">
        <f t="shared" si="12"/>
        <v>40</v>
      </c>
      <c r="O37" s="625">
        <f t="shared" si="13"/>
        <v>193.5036</v>
      </c>
      <c r="P37" s="626" t="str">
        <f t="shared" si="14"/>
        <v>--</v>
      </c>
      <c r="Q37" s="627" t="str">
        <f t="shared" si="15"/>
        <v>--</v>
      </c>
      <c r="R37" s="628" t="str">
        <f t="shared" si="16"/>
        <v>--</v>
      </c>
      <c r="S37" s="553" t="str">
        <f t="shared" si="17"/>
        <v>SI</v>
      </c>
      <c r="T37" s="54">
        <f t="shared" si="10"/>
        <v>193.5036</v>
      </c>
      <c r="U37" s="106"/>
    </row>
    <row r="38" spans="2:21" s="16" customFormat="1" ht="16.5" customHeight="1">
      <c r="B38" s="102"/>
      <c r="C38" s="541"/>
      <c r="D38" s="651"/>
      <c r="E38" s="651"/>
      <c r="F38" s="652"/>
      <c r="G38" s="649">
        <f t="shared" si="0"/>
        <v>9.43</v>
      </c>
      <c r="H38" s="621"/>
      <c r="I38" s="622"/>
      <c r="J38" s="52">
        <f t="shared" si="1"/>
      </c>
      <c r="K38" s="26">
        <f t="shared" si="2"/>
      </c>
      <c r="L38" s="551"/>
      <c r="M38" s="553">
        <f t="shared" si="3"/>
      </c>
      <c r="N38" s="624">
        <f t="shared" si="4"/>
        <v>40</v>
      </c>
      <c r="O38" s="625" t="str">
        <f t="shared" si="5"/>
        <v>--</v>
      </c>
      <c r="P38" s="626" t="str">
        <f t="shared" si="6"/>
        <v>--</v>
      </c>
      <c r="Q38" s="627" t="str">
        <f t="shared" si="7"/>
        <v>--</v>
      </c>
      <c r="R38" s="628" t="str">
        <f t="shared" si="8"/>
        <v>--</v>
      </c>
      <c r="S38" s="553">
        <f t="shared" si="9"/>
      </c>
      <c r="T38" s="54">
        <f t="shared" si="10"/>
      </c>
      <c r="U38" s="106"/>
    </row>
    <row r="39" spans="2:21" s="16" customFormat="1" ht="16.5" customHeight="1">
      <c r="B39" s="102"/>
      <c r="C39" s="541"/>
      <c r="D39" s="618"/>
      <c r="E39" s="618"/>
      <c r="F39" s="619"/>
      <c r="G39" s="649">
        <f t="shared" si="0"/>
        <v>9.43</v>
      </c>
      <c r="H39" s="621"/>
      <c r="I39" s="622"/>
      <c r="J39" s="52">
        <f t="shared" si="1"/>
      </c>
      <c r="K39" s="26">
        <f t="shared" si="2"/>
      </c>
      <c r="L39" s="551"/>
      <c r="M39" s="553">
        <f t="shared" si="3"/>
      </c>
      <c r="N39" s="624">
        <f t="shared" si="4"/>
        <v>40</v>
      </c>
      <c r="O39" s="625" t="str">
        <f t="shared" si="5"/>
        <v>--</v>
      </c>
      <c r="P39" s="626" t="str">
        <f t="shared" si="6"/>
        <v>--</v>
      </c>
      <c r="Q39" s="627" t="str">
        <f t="shared" si="7"/>
        <v>--</v>
      </c>
      <c r="R39" s="628" t="str">
        <f t="shared" si="8"/>
        <v>--</v>
      </c>
      <c r="S39" s="553">
        <f t="shared" si="9"/>
      </c>
      <c r="T39" s="54">
        <f t="shared" si="10"/>
      </c>
      <c r="U39" s="106"/>
    </row>
    <row r="40" spans="2:21" s="16" customFormat="1" ht="16.5" customHeight="1">
      <c r="B40" s="102"/>
      <c r="C40" s="541"/>
      <c r="D40" s="618"/>
      <c r="E40" s="618"/>
      <c r="F40" s="619"/>
      <c r="G40" s="310">
        <f t="shared" si="0"/>
        <v>9.43</v>
      </c>
      <c r="H40" s="621"/>
      <c r="I40" s="622"/>
      <c r="J40" s="52">
        <f t="shared" si="1"/>
      </c>
      <c r="K40" s="26">
        <f t="shared" si="2"/>
      </c>
      <c r="L40" s="551"/>
      <c r="M40" s="553">
        <f t="shared" si="3"/>
      </c>
      <c r="N40" s="624">
        <f t="shared" si="4"/>
        <v>40</v>
      </c>
      <c r="O40" s="625" t="str">
        <f t="shared" si="5"/>
        <v>--</v>
      </c>
      <c r="P40" s="626" t="str">
        <f t="shared" si="6"/>
        <v>--</v>
      </c>
      <c r="Q40" s="627" t="str">
        <f t="shared" si="7"/>
        <v>--</v>
      </c>
      <c r="R40" s="628" t="str">
        <f t="shared" si="8"/>
        <v>--</v>
      </c>
      <c r="S40" s="553">
        <f t="shared" si="9"/>
      </c>
      <c r="T40" s="54">
        <f t="shared" si="10"/>
      </c>
      <c r="U40" s="106"/>
    </row>
    <row r="41" spans="2:21" s="16" customFormat="1" ht="16.5" customHeight="1">
      <c r="B41" s="102"/>
      <c r="C41" s="541"/>
      <c r="D41" s="618"/>
      <c r="E41" s="618"/>
      <c r="F41" s="619"/>
      <c r="G41" s="310">
        <f t="shared" si="0"/>
        <v>9.43</v>
      </c>
      <c r="H41" s="621"/>
      <c r="I41" s="622"/>
      <c r="J41" s="52">
        <f t="shared" si="1"/>
      </c>
      <c r="K41" s="26">
        <f t="shared" si="2"/>
      </c>
      <c r="L41" s="551"/>
      <c r="M41" s="553">
        <f t="shared" si="3"/>
      </c>
      <c r="N41" s="624">
        <f t="shared" si="4"/>
        <v>40</v>
      </c>
      <c r="O41" s="625" t="str">
        <f t="shared" si="5"/>
        <v>--</v>
      </c>
      <c r="P41" s="626" t="str">
        <f t="shared" si="6"/>
        <v>--</v>
      </c>
      <c r="Q41" s="627" t="str">
        <f t="shared" si="7"/>
        <v>--</v>
      </c>
      <c r="R41" s="628" t="str">
        <f t="shared" si="8"/>
        <v>--</v>
      </c>
      <c r="S41" s="553">
        <f t="shared" si="9"/>
      </c>
      <c r="T41" s="54">
        <f t="shared" si="10"/>
      </c>
      <c r="U41" s="106"/>
    </row>
    <row r="42" spans="2:21" s="16" customFormat="1" ht="16.5" customHeight="1">
      <c r="B42" s="102"/>
      <c r="C42" s="541"/>
      <c r="D42" s="618"/>
      <c r="E42" s="618"/>
      <c r="F42" s="619"/>
      <c r="G42" s="310">
        <f t="shared" si="0"/>
        <v>9.43</v>
      </c>
      <c r="H42" s="621"/>
      <c r="I42" s="622"/>
      <c r="J42" s="52">
        <f t="shared" si="1"/>
      </c>
      <c r="K42" s="26">
        <f t="shared" si="2"/>
      </c>
      <c r="L42" s="551"/>
      <c r="M42" s="553">
        <f t="shared" si="3"/>
      </c>
      <c r="N42" s="624">
        <f t="shared" si="4"/>
        <v>40</v>
      </c>
      <c r="O42" s="625" t="str">
        <f t="shared" si="5"/>
        <v>--</v>
      </c>
      <c r="P42" s="626" t="str">
        <f t="shared" si="6"/>
        <v>--</v>
      </c>
      <c r="Q42" s="627" t="str">
        <f t="shared" si="7"/>
        <v>--</v>
      </c>
      <c r="R42" s="628" t="str">
        <f t="shared" si="8"/>
        <v>--</v>
      </c>
      <c r="S42" s="553">
        <f t="shared" si="9"/>
      </c>
      <c r="T42" s="54">
        <f t="shared" si="10"/>
      </c>
      <c r="U42" s="106"/>
    </row>
    <row r="43" spans="2:21" s="16" customFormat="1" ht="16.5" customHeight="1" thickBot="1">
      <c r="B43" s="102"/>
      <c r="C43" s="544"/>
      <c r="D43" s="620"/>
      <c r="E43" s="620"/>
      <c r="F43" s="545"/>
      <c r="G43" s="312"/>
      <c r="H43" s="623"/>
      <c r="I43" s="623"/>
      <c r="J43" s="55"/>
      <c r="K43" s="55"/>
      <c r="L43" s="623"/>
      <c r="M43" s="550"/>
      <c r="N43" s="629"/>
      <c r="O43" s="630"/>
      <c r="P43" s="631"/>
      <c r="Q43" s="632"/>
      <c r="R43" s="633"/>
      <c r="S43" s="550"/>
      <c r="T43" s="214"/>
      <c r="U43" s="106"/>
    </row>
    <row r="44" spans="2:21" s="16" customFormat="1" ht="16.5" customHeight="1" thickBot="1" thickTop="1">
      <c r="B44" s="102"/>
      <c r="C44" s="246" t="s">
        <v>59</v>
      </c>
      <c r="D44" s="247" t="s">
        <v>149</v>
      </c>
      <c r="E44"/>
      <c r="F44" s="14"/>
      <c r="G44" s="14"/>
      <c r="H44" s="14"/>
      <c r="I44" s="14"/>
      <c r="J44" s="14"/>
      <c r="K44" s="14"/>
      <c r="L44" s="14"/>
      <c r="M44" s="14"/>
      <c r="N44" s="14"/>
      <c r="O44" s="419">
        <f>SUM(O20:O43)</f>
        <v>5867.7232</v>
      </c>
      <c r="P44" s="426">
        <f>SUM(P20:P43)</f>
        <v>0</v>
      </c>
      <c r="Q44" s="427">
        <f>SUM(Q20:Q43)</f>
        <v>0</v>
      </c>
      <c r="R44" s="429">
        <f>SUM(R20:R43)</f>
        <v>0</v>
      </c>
      <c r="S44" s="56"/>
      <c r="T44" s="69">
        <f>ROUND(SUM(T20:T43),2)</f>
        <v>5867.72</v>
      </c>
      <c r="U44" s="106"/>
    </row>
    <row r="45" spans="2:21" s="251" customFormat="1" ht="13.5" thickTop="1">
      <c r="B45" s="252"/>
      <c r="C45" s="248"/>
      <c r="D45" s="250"/>
      <c r="E45"/>
      <c r="F45" s="268"/>
      <c r="G45" s="268"/>
      <c r="H45" s="268"/>
      <c r="I45" s="268"/>
      <c r="J45" s="268"/>
      <c r="K45" s="268"/>
      <c r="L45" s="268"/>
      <c r="M45" s="268"/>
      <c r="N45" s="268"/>
      <c r="O45" s="266"/>
      <c r="P45" s="266"/>
      <c r="Q45" s="266"/>
      <c r="R45" s="266"/>
      <c r="S45" s="266"/>
      <c r="T45" s="269"/>
      <c r="U45" s="270"/>
    </row>
    <row r="46" spans="2:21" s="16" customFormat="1" ht="16.5" customHeight="1" thickBot="1">
      <c r="B46" s="131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3"/>
    </row>
    <row r="47" spans="21:23" ht="16.5" customHeight="1" thickTop="1">
      <c r="U47" s="5"/>
      <c r="V47" s="5"/>
      <c r="W47" s="5"/>
    </row>
    <row r="48" spans="21:23" ht="16.5" customHeight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4:23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2" ht="12.75"/>
    <row r="163" ht="12.75"/>
    <row r="164" ht="12.75"/>
    <row r="165" ht="12.75"/>
    <row r="166" ht="12.75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Y160"/>
  <sheetViews>
    <sheetView tabSelected="1" zoomScale="75" zoomScaleNormal="75" workbookViewId="0" topLeftCell="A1">
      <selection activeCell="W51" sqref="W51"/>
    </sheetView>
  </sheetViews>
  <sheetFormatPr defaultColWidth="11.421875" defaultRowHeight="12.75"/>
  <cols>
    <col min="1" max="1" width="20.7109375" style="0" customWidth="1"/>
    <col min="2" max="2" width="13.8515625" style="0" customWidth="1"/>
    <col min="3" max="3" width="8.140625" style="0" customWidth="1"/>
    <col min="4" max="4" width="30.7109375" style="0" customWidth="1"/>
    <col min="5" max="5" width="25.7109375" style="0" customWidth="1"/>
    <col min="6" max="6" width="12.00390625" style="0" customWidth="1"/>
    <col min="7" max="7" width="12.00390625" style="0" hidden="1" customWidth="1"/>
    <col min="8" max="9" width="16.7109375" style="0" customWidth="1"/>
    <col min="10" max="13" width="9.7109375" style="0" customWidth="1"/>
    <col min="14" max="14" width="6.00390625" style="0" customWidth="1"/>
    <col min="15" max="15" width="12.7109375" style="0" hidden="1" customWidth="1"/>
    <col min="16" max="16" width="15.57421875" style="0" hidden="1" customWidth="1"/>
    <col min="17" max="17" width="16.421875" style="0" hidden="1" customWidth="1"/>
    <col min="18" max="19" width="15.421875" style="0" hidden="1" customWidth="1"/>
    <col min="20" max="20" width="9.7109375" style="0" customWidth="1"/>
    <col min="21" max="21" width="16.00390625" style="0" hidden="1" customWidth="1"/>
    <col min="22" max="23" width="15.7109375" style="0" customWidth="1"/>
  </cols>
  <sheetData>
    <row r="1" spans="1:23" s="70" customFormat="1" ht="26.25">
      <c r="A1" s="120"/>
      <c r="W1" s="517"/>
    </row>
    <row r="2" spans="1:23" s="70" customFormat="1" ht="26.25">
      <c r="A2" s="120"/>
      <c r="B2" s="233" t="str">
        <f>+'tot-0312'!B2</f>
        <v>ANEXO I-2 a la Resolución ENRE N° 403/2008.-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="16" customFormat="1" ht="12.75">
      <c r="A3" s="45"/>
    </row>
    <row r="4" spans="1:2" s="77" customFormat="1" ht="11.25">
      <c r="A4" s="75" t="s">
        <v>24</v>
      </c>
      <c r="B4" s="154"/>
    </row>
    <row r="5" spans="1:2" s="77" customFormat="1" ht="11.25">
      <c r="A5" s="75" t="s">
        <v>25</v>
      </c>
      <c r="B5" s="154"/>
    </row>
    <row r="6" s="16" customFormat="1" ht="13.5" thickBot="1"/>
    <row r="7" spans="2:23" s="16" customFormat="1" ht="13.5" thickTop="1"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91"/>
    </row>
    <row r="8" spans="2:23" s="10" customFormat="1" ht="20.25">
      <c r="B8" s="135"/>
      <c r="D8" s="7" t="s">
        <v>89</v>
      </c>
      <c r="E8" s="58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9"/>
      <c r="W8" s="228"/>
    </row>
    <row r="9" spans="2:23" s="16" customFormat="1" ht="12.75">
      <c r="B9" s="10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06"/>
    </row>
    <row r="10" spans="2:23" s="10" customFormat="1" ht="20.25">
      <c r="B10" s="135"/>
      <c r="D10" s="136" t="s">
        <v>90</v>
      </c>
      <c r="F10" s="229"/>
      <c r="G10" s="230"/>
      <c r="H10" s="230"/>
      <c r="I10" s="230"/>
      <c r="J10" s="230"/>
      <c r="K10" s="230"/>
      <c r="L10" s="230"/>
      <c r="M10" s="230"/>
      <c r="N10" s="230"/>
      <c r="O10" s="230"/>
      <c r="P10" s="11"/>
      <c r="Q10" s="11"/>
      <c r="R10" s="11"/>
      <c r="S10" s="11"/>
      <c r="T10" s="11"/>
      <c r="U10" s="11"/>
      <c r="V10"/>
      <c r="W10" s="200"/>
    </row>
    <row r="11" spans="2:23" s="16" customFormat="1" ht="16.5" customHeight="1">
      <c r="B11" s="102"/>
      <c r="C11" s="14"/>
      <c r="D11" s="217"/>
      <c r="F11" s="83"/>
      <c r="G11" s="126"/>
      <c r="H11" s="126"/>
      <c r="I11" s="126"/>
      <c r="J11" s="126"/>
      <c r="K11" s="126"/>
      <c r="L11" s="126"/>
      <c r="M11" s="126"/>
      <c r="N11" s="126"/>
      <c r="O11" s="126"/>
      <c r="P11" s="14"/>
      <c r="Q11" s="14"/>
      <c r="R11" s="14"/>
      <c r="S11" s="14"/>
      <c r="T11" s="14"/>
      <c r="U11" s="14"/>
      <c r="V11"/>
      <c r="W11" s="106"/>
    </row>
    <row r="12" spans="2:23" s="10" customFormat="1" ht="20.25">
      <c r="B12" s="135"/>
      <c r="D12" s="136" t="s">
        <v>139</v>
      </c>
      <c r="F12" s="229"/>
      <c r="G12" s="230"/>
      <c r="H12" s="230"/>
      <c r="I12" s="230"/>
      <c r="J12" s="230"/>
      <c r="K12" s="230"/>
      <c r="L12" s="230"/>
      <c r="M12" s="230"/>
      <c r="N12" s="230"/>
      <c r="O12" s="230"/>
      <c r="P12" s="11"/>
      <c r="Q12" s="11"/>
      <c r="R12" s="11"/>
      <c r="S12" s="11"/>
      <c r="T12" s="11"/>
      <c r="U12" s="11"/>
      <c r="V12" s="11"/>
      <c r="W12" s="200"/>
    </row>
    <row r="13" spans="2:23" s="16" customFormat="1" ht="16.5" customHeight="1">
      <c r="B13" s="102"/>
      <c r="C13" s="14"/>
      <c r="D13" s="217"/>
      <c r="F13" s="83"/>
      <c r="G13" s="126"/>
      <c r="H13" s="126"/>
      <c r="I13" s="126"/>
      <c r="J13" s="126"/>
      <c r="K13" s="126"/>
      <c r="L13" s="126"/>
      <c r="M13" s="126"/>
      <c r="N13" s="126"/>
      <c r="O13" s="126"/>
      <c r="P13" s="14"/>
      <c r="Q13" s="14"/>
      <c r="R13" s="14"/>
      <c r="S13" s="14"/>
      <c r="T13" s="14"/>
      <c r="U13" s="14"/>
      <c r="V13" s="14"/>
      <c r="W13" s="106"/>
    </row>
    <row r="14" spans="2:23" s="15" customFormat="1" ht="16.5" customHeight="1">
      <c r="B14" s="155" t="str">
        <f>+'tot-0312'!B14</f>
        <v>Desde el 01 al 31 de diciembre de 2003</v>
      </c>
      <c r="C14" s="138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138"/>
      <c r="Q14" s="138"/>
      <c r="R14" s="138"/>
      <c r="S14" s="138"/>
      <c r="T14" s="138"/>
      <c r="U14" s="138"/>
      <c r="V14" s="138"/>
      <c r="W14" s="232"/>
    </row>
    <row r="15" spans="2:23" s="16" customFormat="1" ht="16.5" customHeight="1" thickBot="1">
      <c r="B15" s="102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4"/>
      <c r="W15" s="106"/>
    </row>
    <row r="16" spans="2:23" s="16" customFormat="1" ht="16.5" customHeight="1" thickBot="1" thickTop="1">
      <c r="B16" s="102"/>
      <c r="C16" s="14"/>
      <c r="D16" s="14"/>
      <c r="E16" s="14"/>
      <c r="F16" s="14"/>
      <c r="G16" s="14"/>
      <c r="H16" s="14"/>
      <c r="I16" s="14"/>
      <c r="J16" s="655" t="s">
        <v>101</v>
      </c>
      <c r="K16" s="656"/>
      <c r="L16" s="656"/>
      <c r="M16" s="656"/>
      <c r="N16" s="657"/>
      <c r="O16" s="528" t="b">
        <f>AND(N17&lt;=0.82,N18&lt;=1.17)</f>
        <v>1</v>
      </c>
      <c r="P16" s="528" t="b">
        <f>AND(N17&gt;=1.17,N18&gt;=1.7)</f>
        <v>0</v>
      </c>
      <c r="Q16" s="529">
        <f>((N18/1.17)+(N17/0.82))*0.852446393-1.454892785</f>
        <v>-0.43113967470752534</v>
      </c>
      <c r="R16" s="14"/>
      <c r="S16" s="14"/>
      <c r="T16" s="14"/>
      <c r="U16" s="14"/>
      <c r="V16" s="14"/>
      <c r="W16" s="106"/>
    </row>
    <row r="17" spans="2:23" s="16" customFormat="1" ht="16.5" customHeight="1" thickBot="1" thickTop="1">
      <c r="B17" s="102"/>
      <c r="C17" s="14"/>
      <c r="D17" s="210" t="s">
        <v>74</v>
      </c>
      <c r="E17" s="234"/>
      <c r="F17" s="242">
        <v>0.059</v>
      </c>
      <c r="G17" s="208"/>
      <c r="H17"/>
      <c r="I17" s="14"/>
      <c r="J17" s="530" t="s">
        <v>102</v>
      </c>
      <c r="K17" s="531"/>
      <c r="L17" s="531"/>
      <c r="M17" s="531"/>
      <c r="N17" s="532">
        <v>0.34</v>
      </c>
      <c r="O17" s="533"/>
      <c r="P17" s="528"/>
      <c r="Q17" s="529"/>
      <c r="R17" s="14"/>
      <c r="S17" s="14"/>
      <c r="T17" s="14"/>
      <c r="U17" s="14"/>
      <c r="V17" s="14"/>
      <c r="W17" s="106"/>
    </row>
    <row r="18" spans="2:23" s="16" customFormat="1" ht="16.5" customHeight="1" thickBot="1" thickTop="1">
      <c r="B18" s="102"/>
      <c r="C18" s="14"/>
      <c r="D18" s="235" t="s">
        <v>75</v>
      </c>
      <c r="E18" s="236"/>
      <c r="F18" s="237">
        <v>20</v>
      </c>
      <c r="G18" s="208"/>
      <c r="H18" s="271" t="s">
        <v>70</v>
      </c>
      <c r="I18" s="326">
        <f>4*N19</f>
        <v>1</v>
      </c>
      <c r="J18" s="530" t="s">
        <v>103</v>
      </c>
      <c r="K18" s="531"/>
      <c r="L18" s="531"/>
      <c r="M18" s="531"/>
      <c r="N18" s="532">
        <v>0.92</v>
      </c>
      <c r="O18" s="533"/>
      <c r="P18" s="528"/>
      <c r="Q18" s="529"/>
      <c r="R18" s="127"/>
      <c r="S18" s="127"/>
      <c r="T18" s="127"/>
      <c r="U18" s="127"/>
      <c r="V18" s="127"/>
      <c r="W18" s="106"/>
    </row>
    <row r="19" spans="2:23" s="16" customFormat="1" ht="16.5" customHeight="1" thickBot="1" thickTop="1">
      <c r="B19" s="102"/>
      <c r="C19" s="14"/>
      <c r="D19" s="535"/>
      <c r="E19" s="519"/>
      <c r="F19" s="536"/>
      <c r="G19" s="208"/>
      <c r="H19" s="271"/>
      <c r="I19" s="326"/>
      <c r="J19" s="530" t="s">
        <v>104</v>
      </c>
      <c r="K19" s="531"/>
      <c r="L19" s="531"/>
      <c r="M19" s="531"/>
      <c r="N19" s="532">
        <f>IF(O16=TRUE,0.25,IF(P16=TRUE,1,Q16))</f>
        <v>0.25</v>
      </c>
      <c r="O19" s="534"/>
      <c r="P19" s="534"/>
      <c r="Q19" s="534"/>
      <c r="R19" s="127"/>
      <c r="S19" s="127"/>
      <c r="T19" s="127"/>
      <c r="U19" s="127"/>
      <c r="V19" s="127"/>
      <c r="W19" s="106"/>
    </row>
    <row r="20" spans="2:23" s="16" customFormat="1" ht="16.5" customHeight="1" thickBot="1" thickTop="1">
      <c r="B20" s="102"/>
      <c r="C20" s="2"/>
      <c r="D20" s="218"/>
      <c r="E20" s="219"/>
      <c r="F20" s="219"/>
      <c r="G20" s="33"/>
      <c r="H20" s="33"/>
      <c r="I20" s="33"/>
      <c r="J20" s="33"/>
      <c r="K20" s="33"/>
      <c r="L20" s="33"/>
      <c r="M20" s="33"/>
      <c r="N20" s="33"/>
      <c r="O20" s="220"/>
      <c r="P20" s="221"/>
      <c r="Q20" s="222"/>
      <c r="R20" s="222"/>
      <c r="S20" s="222"/>
      <c r="T20" s="223"/>
      <c r="U20" s="223"/>
      <c r="V20" s="224"/>
      <c r="W20" s="106"/>
    </row>
    <row r="21" spans="2:23" s="16" customFormat="1" ht="33.75" customHeight="1" thickBot="1" thickTop="1">
      <c r="B21" s="102"/>
      <c r="C21" s="142" t="s">
        <v>39</v>
      </c>
      <c r="D21" s="151" t="s">
        <v>76</v>
      </c>
      <c r="E21" s="145" t="s">
        <v>18</v>
      </c>
      <c r="F21" s="238" t="s">
        <v>77</v>
      </c>
      <c r="G21" s="308" t="s">
        <v>44</v>
      </c>
      <c r="H21" s="145" t="s">
        <v>45</v>
      </c>
      <c r="I21" s="145" t="s">
        <v>46</v>
      </c>
      <c r="J21" s="151" t="s">
        <v>47</v>
      </c>
      <c r="K21" s="151" t="s">
        <v>48</v>
      </c>
      <c r="L21" s="150" t="s">
        <v>49</v>
      </c>
      <c r="M21" s="150" t="s">
        <v>50</v>
      </c>
      <c r="N21" s="145" t="s">
        <v>52</v>
      </c>
      <c r="O21" s="308" t="s">
        <v>92</v>
      </c>
      <c r="P21" s="435" t="s">
        <v>65</v>
      </c>
      <c r="Q21" s="439" t="s">
        <v>91</v>
      </c>
      <c r="R21" s="440"/>
      <c r="S21" s="447" t="s">
        <v>55</v>
      </c>
      <c r="T21" s="152" t="s">
        <v>57</v>
      </c>
      <c r="U21" s="328" t="s">
        <v>58</v>
      </c>
      <c r="V21" s="239" t="s">
        <v>58</v>
      </c>
      <c r="W21" s="106"/>
    </row>
    <row r="22" spans="2:23" s="16" customFormat="1" ht="16.5" customHeight="1" thickTop="1">
      <c r="B22" s="102"/>
      <c r="C22" s="225"/>
      <c r="D22" s="225"/>
      <c r="E22" s="225"/>
      <c r="F22" s="225"/>
      <c r="G22" s="316"/>
      <c r="H22" s="227"/>
      <c r="I22" s="227"/>
      <c r="J22" s="225"/>
      <c r="K22" s="225"/>
      <c r="L22" s="226"/>
      <c r="M22" s="17"/>
      <c r="N22" s="225"/>
      <c r="O22" s="378"/>
      <c r="P22" s="436"/>
      <c r="Q22" s="441"/>
      <c r="R22" s="442"/>
      <c r="S22" s="448"/>
      <c r="T22" s="432"/>
      <c r="U22" s="501"/>
      <c r="V22" s="502"/>
      <c r="W22" s="106"/>
    </row>
    <row r="23" spans="2:23" s="16" customFormat="1" ht="16.5" customHeight="1">
      <c r="B23" s="102"/>
      <c r="C23" s="27"/>
      <c r="D23" s="62"/>
      <c r="E23" s="62"/>
      <c r="F23" s="62"/>
      <c r="G23" s="321"/>
      <c r="H23" s="64"/>
      <c r="I23" s="65"/>
      <c r="J23" s="66"/>
      <c r="K23" s="67"/>
      <c r="L23" s="68"/>
      <c r="M23" s="18"/>
      <c r="N23" s="63"/>
      <c r="O23" s="434"/>
      <c r="P23" s="437"/>
      <c r="Q23" s="443"/>
      <c r="R23" s="444"/>
      <c r="S23" s="449"/>
      <c r="T23" s="322"/>
      <c r="U23" s="451"/>
      <c r="V23" s="240"/>
      <c r="W23" s="106"/>
    </row>
    <row r="24" spans="2:23" s="16" customFormat="1" ht="16.5" customHeight="1">
      <c r="B24" s="102"/>
      <c r="C24" s="541" t="s">
        <v>135</v>
      </c>
      <c r="D24" s="635" t="s">
        <v>21</v>
      </c>
      <c r="E24" s="635" t="s">
        <v>23</v>
      </c>
      <c r="F24" s="635">
        <v>80</v>
      </c>
      <c r="G24" s="514">
        <f>F24*$F$17</f>
        <v>4.72</v>
      </c>
      <c r="H24" s="621">
        <v>37958.33819444444</v>
      </c>
      <c r="I24" s="621">
        <v>37958.74791666667</v>
      </c>
      <c r="J24" s="52">
        <f>IF(D24="","",(I24-H24)*24)</f>
        <v>9.833333333430346</v>
      </c>
      <c r="K24" s="26">
        <f>IF(D24="","",ROUND((I24-H24)*24*60,0))</f>
        <v>590</v>
      </c>
      <c r="L24" s="551" t="s">
        <v>107</v>
      </c>
      <c r="M24" s="570" t="str">
        <f>IF(D24="","","--")</f>
        <v>--</v>
      </c>
      <c r="N24" s="553" t="str">
        <f>IF(D24="","",IF(OR(L24="P",L24="RP"),"--","NO"))</f>
        <v>--</v>
      </c>
      <c r="O24" s="637">
        <f>IF(L24="P",$F$18*0.1,$F$18)</f>
        <v>2</v>
      </c>
      <c r="P24" s="638">
        <f>IF(L24="P",G24*O24*ROUND(K24/60,2),"--")</f>
        <v>92.7952</v>
      </c>
      <c r="Q24" s="639" t="str">
        <f>IF(AND(L24="F",N24="NO"),G24*O24,"--")</f>
        <v>--</v>
      </c>
      <c r="R24" s="640" t="str">
        <f>IF(L24="F",G24*O24*ROUND(K24/60,2),"--")</f>
        <v>--</v>
      </c>
      <c r="S24" s="641" t="str">
        <f>IF(L24="RF",G24*O24*ROUND(K24/60,2),"--")</f>
        <v>--</v>
      </c>
      <c r="T24" s="642" t="str">
        <f>IF(D24="","","SI")</f>
        <v>SI</v>
      </c>
      <c r="U24" s="452">
        <f>SUM(P24:S24)*IF(T24="SI",1,2)</f>
        <v>92.7952</v>
      </c>
      <c r="V24" s="54">
        <f>IF(D24="","",U24*$I$18)</f>
        <v>92.7952</v>
      </c>
      <c r="W24" s="106"/>
    </row>
    <row r="25" spans="2:23" s="16" customFormat="1" ht="16.5" customHeight="1">
      <c r="B25" s="102"/>
      <c r="C25" s="541" t="s">
        <v>136</v>
      </c>
      <c r="D25" s="635" t="s">
        <v>21</v>
      </c>
      <c r="E25" s="635" t="s">
        <v>22</v>
      </c>
      <c r="F25" s="635">
        <v>80</v>
      </c>
      <c r="G25" s="514">
        <f aca="true" t="shared" si="0" ref="G25:G40">F25*$F$17</f>
        <v>4.72</v>
      </c>
      <c r="H25" s="621">
        <v>37963.24722222222</v>
      </c>
      <c r="I25" s="621">
        <v>37966.15</v>
      </c>
      <c r="J25" s="52">
        <f aca="true" t="shared" si="1" ref="J25:J40">IF(D25="","",(I25-H25)*24)</f>
        <v>69.66666666674428</v>
      </c>
      <c r="K25" s="26">
        <f aca="true" t="shared" si="2" ref="K25:K40">IF(D25="","",ROUND((I25-H25)*24*60,0))</f>
        <v>4180</v>
      </c>
      <c r="L25" s="551" t="s">
        <v>107</v>
      </c>
      <c r="M25" s="570" t="str">
        <f aca="true" t="shared" si="3" ref="M25:M40">IF(D25="","","--")</f>
        <v>--</v>
      </c>
      <c r="N25" s="553" t="str">
        <f aca="true" t="shared" si="4" ref="N25:N40">IF(D25="","",IF(L25="P","--","NO"))</f>
        <v>--</v>
      </c>
      <c r="O25" s="637">
        <f aca="true" t="shared" si="5" ref="O25:O40">IF(L25="P",$F$18*0.1,$F$18)</f>
        <v>2</v>
      </c>
      <c r="P25" s="638">
        <f aca="true" t="shared" si="6" ref="P25:P40">IF(L25="P",G25*O25*ROUND(K25/60,2),"--")</f>
        <v>657.6848</v>
      </c>
      <c r="Q25" s="639" t="str">
        <f aca="true" t="shared" si="7" ref="Q25:Q40">IF(AND(L25="F",N25="NO"),G25*O25,"--")</f>
        <v>--</v>
      </c>
      <c r="R25" s="640" t="str">
        <f aca="true" t="shared" si="8" ref="R25:R40">IF(L25="F",G25*O25*ROUND(K25/60,2),"--")</f>
        <v>--</v>
      </c>
      <c r="S25" s="641" t="str">
        <f aca="true" t="shared" si="9" ref="S25:S40">IF(L25="RF",G25*O25*ROUND(K25/60,2),"--")</f>
        <v>--</v>
      </c>
      <c r="T25" s="642" t="str">
        <f aca="true" t="shared" si="10" ref="T25:T40">IF(D25="","","SI")</f>
        <v>SI</v>
      </c>
      <c r="U25" s="452">
        <f aca="true" t="shared" si="11" ref="U25:U40">SUM(P25:S25)*IF(T25="SI",1,2)</f>
        <v>657.6848</v>
      </c>
      <c r="V25" s="54">
        <f aca="true" t="shared" si="12" ref="V25:V40">IF(D25="","",U25*$I$18)</f>
        <v>657.6848</v>
      </c>
      <c r="W25" s="106"/>
    </row>
    <row r="26" spans="2:23" s="16" customFormat="1" ht="16.5" customHeight="1">
      <c r="B26" s="102"/>
      <c r="C26" s="541" t="s">
        <v>137</v>
      </c>
      <c r="D26" s="635" t="s">
        <v>6</v>
      </c>
      <c r="E26" s="635" t="s">
        <v>19</v>
      </c>
      <c r="F26" s="635">
        <v>80</v>
      </c>
      <c r="G26" s="514">
        <f t="shared" si="0"/>
        <v>4.72</v>
      </c>
      <c r="H26" s="621">
        <v>37966.12708333333</v>
      </c>
      <c r="I26" s="621">
        <v>37970.138194444444</v>
      </c>
      <c r="J26" s="52">
        <f t="shared" si="1"/>
        <v>96.26666666666279</v>
      </c>
      <c r="K26" s="26">
        <f t="shared" si="2"/>
        <v>5776</v>
      </c>
      <c r="L26" s="551" t="s">
        <v>107</v>
      </c>
      <c r="M26" s="570" t="str">
        <f t="shared" si="3"/>
        <v>--</v>
      </c>
      <c r="N26" s="553" t="str">
        <f t="shared" si="4"/>
        <v>--</v>
      </c>
      <c r="O26" s="637">
        <f t="shared" si="5"/>
        <v>2</v>
      </c>
      <c r="P26" s="638">
        <f t="shared" si="6"/>
        <v>908.7887999999999</v>
      </c>
      <c r="Q26" s="639" t="str">
        <f t="shared" si="7"/>
        <v>--</v>
      </c>
      <c r="R26" s="640" t="str">
        <f t="shared" si="8"/>
        <v>--</v>
      </c>
      <c r="S26" s="641" t="str">
        <f t="shared" si="9"/>
        <v>--</v>
      </c>
      <c r="T26" s="642" t="str">
        <f t="shared" si="10"/>
        <v>SI</v>
      </c>
      <c r="U26" s="452">
        <f t="shared" si="11"/>
        <v>908.7887999999999</v>
      </c>
      <c r="V26" s="54">
        <f t="shared" si="12"/>
        <v>908.7887999999999</v>
      </c>
      <c r="W26" s="106"/>
    </row>
    <row r="27" spans="2:23" s="16" customFormat="1" ht="16.5" customHeight="1">
      <c r="B27" s="102"/>
      <c r="C27" s="541" t="s">
        <v>138</v>
      </c>
      <c r="D27" s="635" t="s">
        <v>6</v>
      </c>
      <c r="E27" s="635" t="s">
        <v>20</v>
      </c>
      <c r="F27" s="635">
        <v>80</v>
      </c>
      <c r="G27" s="514">
        <f t="shared" si="0"/>
        <v>4.72</v>
      </c>
      <c r="H27" s="621">
        <v>37970.138194444444</v>
      </c>
      <c r="I27" s="621">
        <v>37972.736805555556</v>
      </c>
      <c r="J27" s="52">
        <f t="shared" si="1"/>
        <v>62.36666666669771</v>
      </c>
      <c r="K27" s="26">
        <f t="shared" si="2"/>
        <v>3742</v>
      </c>
      <c r="L27" s="551" t="s">
        <v>107</v>
      </c>
      <c r="M27" s="570" t="str">
        <f t="shared" si="3"/>
        <v>--</v>
      </c>
      <c r="N27" s="553" t="str">
        <f t="shared" si="4"/>
        <v>--</v>
      </c>
      <c r="O27" s="637">
        <f t="shared" si="5"/>
        <v>2</v>
      </c>
      <c r="P27" s="638">
        <f t="shared" si="6"/>
        <v>588.7728</v>
      </c>
      <c r="Q27" s="639" t="str">
        <f t="shared" si="7"/>
        <v>--</v>
      </c>
      <c r="R27" s="640" t="str">
        <f t="shared" si="8"/>
        <v>--</v>
      </c>
      <c r="S27" s="641" t="str">
        <f t="shared" si="9"/>
        <v>--</v>
      </c>
      <c r="T27" s="642" t="str">
        <f t="shared" si="10"/>
        <v>SI</v>
      </c>
      <c r="U27" s="452">
        <f t="shared" si="11"/>
        <v>588.7728</v>
      </c>
      <c r="V27" s="54">
        <f t="shared" si="12"/>
        <v>588.7728</v>
      </c>
      <c r="W27" s="215"/>
    </row>
    <row r="28" spans="2:23" s="16" customFormat="1" ht="16.5" customHeight="1">
      <c r="B28" s="102"/>
      <c r="C28" s="541"/>
      <c r="D28" s="635"/>
      <c r="E28" s="635"/>
      <c r="F28" s="635"/>
      <c r="G28" s="514">
        <f t="shared" si="0"/>
        <v>0</v>
      </c>
      <c r="H28" s="621"/>
      <c r="I28" s="549"/>
      <c r="J28" s="52">
        <f t="shared" si="1"/>
      </c>
      <c r="K28" s="26">
        <f t="shared" si="2"/>
      </c>
      <c r="L28" s="551"/>
      <c r="M28" s="570">
        <f t="shared" si="3"/>
      </c>
      <c r="N28" s="553">
        <f t="shared" si="4"/>
      </c>
      <c r="O28" s="637">
        <f t="shared" si="5"/>
        <v>20</v>
      </c>
      <c r="P28" s="638" t="str">
        <f t="shared" si="6"/>
        <v>--</v>
      </c>
      <c r="Q28" s="639" t="str">
        <f t="shared" si="7"/>
        <v>--</v>
      </c>
      <c r="R28" s="640" t="str">
        <f t="shared" si="8"/>
        <v>--</v>
      </c>
      <c r="S28" s="641" t="str">
        <f t="shared" si="9"/>
        <v>--</v>
      </c>
      <c r="T28" s="642">
        <f t="shared" si="10"/>
      </c>
      <c r="U28" s="452">
        <f t="shared" si="11"/>
        <v>0</v>
      </c>
      <c r="V28" s="54">
        <f t="shared" si="12"/>
      </c>
      <c r="W28" s="215"/>
    </row>
    <row r="29" spans="2:23" s="16" customFormat="1" ht="16.5" customHeight="1">
      <c r="B29" s="102"/>
      <c r="C29" s="541"/>
      <c r="D29" s="635"/>
      <c r="E29" s="635"/>
      <c r="F29" s="635"/>
      <c r="G29" s="514">
        <f t="shared" si="0"/>
        <v>0</v>
      </c>
      <c r="H29" s="621"/>
      <c r="I29" s="549"/>
      <c r="J29" s="52">
        <f t="shared" si="1"/>
      </c>
      <c r="K29" s="26">
        <f t="shared" si="2"/>
      </c>
      <c r="L29" s="551"/>
      <c r="M29" s="570">
        <f t="shared" si="3"/>
      </c>
      <c r="N29" s="553">
        <f t="shared" si="4"/>
      </c>
      <c r="O29" s="637">
        <f t="shared" si="5"/>
        <v>20</v>
      </c>
      <c r="P29" s="638" t="str">
        <f t="shared" si="6"/>
        <v>--</v>
      </c>
      <c r="Q29" s="639" t="str">
        <f t="shared" si="7"/>
        <v>--</v>
      </c>
      <c r="R29" s="640" t="str">
        <f t="shared" si="8"/>
        <v>--</v>
      </c>
      <c r="S29" s="641" t="str">
        <f t="shared" si="9"/>
        <v>--</v>
      </c>
      <c r="T29" s="642">
        <f t="shared" si="10"/>
      </c>
      <c r="U29" s="452">
        <f t="shared" si="11"/>
        <v>0</v>
      </c>
      <c r="V29" s="54">
        <f t="shared" si="12"/>
      </c>
      <c r="W29" s="215"/>
    </row>
    <row r="30" spans="2:23" s="16" customFormat="1" ht="16.5" customHeight="1">
      <c r="B30" s="102"/>
      <c r="C30" s="541"/>
      <c r="D30" s="635"/>
      <c r="E30" s="635"/>
      <c r="F30" s="635"/>
      <c r="G30" s="514">
        <f t="shared" si="0"/>
        <v>0</v>
      </c>
      <c r="H30" s="621"/>
      <c r="I30" s="549"/>
      <c r="J30" s="52">
        <f t="shared" si="1"/>
      </c>
      <c r="K30" s="26">
        <f t="shared" si="2"/>
      </c>
      <c r="L30" s="551"/>
      <c r="M30" s="570">
        <f t="shared" si="3"/>
      </c>
      <c r="N30" s="553">
        <f t="shared" si="4"/>
      </c>
      <c r="O30" s="637">
        <f t="shared" si="5"/>
        <v>20</v>
      </c>
      <c r="P30" s="638" t="str">
        <f t="shared" si="6"/>
        <v>--</v>
      </c>
      <c r="Q30" s="639" t="str">
        <f t="shared" si="7"/>
        <v>--</v>
      </c>
      <c r="R30" s="640" t="str">
        <f t="shared" si="8"/>
        <v>--</v>
      </c>
      <c r="S30" s="641" t="str">
        <f t="shared" si="9"/>
        <v>--</v>
      </c>
      <c r="T30" s="642">
        <f t="shared" si="10"/>
      </c>
      <c r="U30" s="452">
        <f t="shared" si="11"/>
        <v>0</v>
      </c>
      <c r="V30" s="54">
        <f t="shared" si="12"/>
      </c>
      <c r="W30" s="215"/>
    </row>
    <row r="31" spans="2:23" s="16" customFormat="1" ht="16.5" customHeight="1">
      <c r="B31" s="102"/>
      <c r="C31" s="541"/>
      <c r="D31" s="635"/>
      <c r="E31" s="635"/>
      <c r="F31" s="635"/>
      <c r="G31" s="514">
        <f t="shared" si="0"/>
        <v>0</v>
      </c>
      <c r="H31" s="621"/>
      <c r="I31" s="549"/>
      <c r="J31" s="52">
        <f t="shared" si="1"/>
      </c>
      <c r="K31" s="26">
        <f t="shared" si="2"/>
      </c>
      <c r="L31" s="551"/>
      <c r="M31" s="570">
        <f t="shared" si="3"/>
      </c>
      <c r="N31" s="553">
        <f t="shared" si="4"/>
      </c>
      <c r="O31" s="637">
        <f t="shared" si="5"/>
        <v>20</v>
      </c>
      <c r="P31" s="638" t="str">
        <f t="shared" si="6"/>
        <v>--</v>
      </c>
      <c r="Q31" s="639" t="str">
        <f t="shared" si="7"/>
        <v>--</v>
      </c>
      <c r="R31" s="640" t="str">
        <f t="shared" si="8"/>
        <v>--</v>
      </c>
      <c r="S31" s="641" t="str">
        <f t="shared" si="9"/>
        <v>--</v>
      </c>
      <c r="T31" s="642">
        <f t="shared" si="10"/>
      </c>
      <c r="U31" s="452">
        <f t="shared" si="11"/>
        <v>0</v>
      </c>
      <c r="V31" s="54">
        <f t="shared" si="12"/>
      </c>
      <c r="W31" s="215"/>
    </row>
    <row r="32" spans="2:23" s="16" customFormat="1" ht="16.5" customHeight="1">
      <c r="B32" s="102"/>
      <c r="C32" s="541"/>
      <c r="D32" s="635"/>
      <c r="E32" s="635"/>
      <c r="F32" s="635"/>
      <c r="G32" s="514">
        <f t="shared" si="0"/>
        <v>0</v>
      </c>
      <c r="H32" s="621"/>
      <c r="I32" s="549"/>
      <c r="J32" s="52">
        <f t="shared" si="1"/>
      </c>
      <c r="K32" s="26">
        <f t="shared" si="2"/>
      </c>
      <c r="L32" s="551"/>
      <c r="M32" s="570">
        <f t="shared" si="3"/>
      </c>
      <c r="N32" s="553">
        <f t="shared" si="4"/>
      </c>
      <c r="O32" s="637">
        <f t="shared" si="5"/>
        <v>20</v>
      </c>
      <c r="P32" s="638" t="str">
        <f t="shared" si="6"/>
        <v>--</v>
      </c>
      <c r="Q32" s="639" t="str">
        <f t="shared" si="7"/>
        <v>--</v>
      </c>
      <c r="R32" s="640" t="str">
        <f t="shared" si="8"/>
        <v>--</v>
      </c>
      <c r="S32" s="641" t="str">
        <f t="shared" si="9"/>
        <v>--</v>
      </c>
      <c r="T32" s="642">
        <f t="shared" si="10"/>
      </c>
      <c r="U32" s="452">
        <f t="shared" si="11"/>
        <v>0</v>
      </c>
      <c r="V32" s="54">
        <f t="shared" si="12"/>
      </c>
      <c r="W32" s="215"/>
    </row>
    <row r="33" spans="2:23" s="16" customFormat="1" ht="16.5" customHeight="1">
      <c r="B33" s="102"/>
      <c r="C33" s="541"/>
      <c r="D33" s="635"/>
      <c r="E33" s="635"/>
      <c r="F33" s="635"/>
      <c r="G33" s="514">
        <f t="shared" si="0"/>
        <v>0</v>
      </c>
      <c r="H33" s="621"/>
      <c r="I33" s="549"/>
      <c r="J33" s="52">
        <f t="shared" si="1"/>
      </c>
      <c r="K33" s="26">
        <f t="shared" si="2"/>
      </c>
      <c r="L33" s="551"/>
      <c r="M33" s="570">
        <f t="shared" si="3"/>
      </c>
      <c r="N33" s="553">
        <f t="shared" si="4"/>
      </c>
      <c r="O33" s="637">
        <f t="shared" si="5"/>
        <v>20</v>
      </c>
      <c r="P33" s="638" t="str">
        <f t="shared" si="6"/>
        <v>--</v>
      </c>
      <c r="Q33" s="639" t="str">
        <f t="shared" si="7"/>
        <v>--</v>
      </c>
      <c r="R33" s="640" t="str">
        <f t="shared" si="8"/>
        <v>--</v>
      </c>
      <c r="S33" s="641" t="str">
        <f t="shared" si="9"/>
        <v>--</v>
      </c>
      <c r="T33" s="642">
        <f t="shared" si="10"/>
      </c>
      <c r="U33" s="452">
        <f t="shared" si="11"/>
        <v>0</v>
      </c>
      <c r="V33" s="54">
        <f t="shared" si="12"/>
      </c>
      <c r="W33" s="106"/>
    </row>
    <row r="34" spans="2:23" s="16" customFormat="1" ht="16.5" customHeight="1">
      <c r="B34" s="102"/>
      <c r="C34" s="541"/>
      <c r="D34" s="635"/>
      <c r="E34" s="635"/>
      <c r="F34" s="635"/>
      <c r="G34" s="514">
        <f t="shared" si="0"/>
        <v>0</v>
      </c>
      <c r="H34" s="621"/>
      <c r="I34" s="549"/>
      <c r="J34" s="52">
        <f t="shared" si="1"/>
      </c>
      <c r="K34" s="26">
        <f t="shared" si="2"/>
      </c>
      <c r="L34" s="551"/>
      <c r="M34" s="570">
        <f t="shared" si="3"/>
      </c>
      <c r="N34" s="553">
        <f t="shared" si="4"/>
      </c>
      <c r="O34" s="637">
        <f t="shared" si="5"/>
        <v>20</v>
      </c>
      <c r="P34" s="638" t="str">
        <f t="shared" si="6"/>
        <v>--</v>
      </c>
      <c r="Q34" s="639" t="str">
        <f t="shared" si="7"/>
        <v>--</v>
      </c>
      <c r="R34" s="640" t="str">
        <f t="shared" si="8"/>
        <v>--</v>
      </c>
      <c r="S34" s="641" t="str">
        <f t="shared" si="9"/>
        <v>--</v>
      </c>
      <c r="T34" s="642">
        <f t="shared" si="10"/>
      </c>
      <c r="U34" s="452">
        <f t="shared" si="11"/>
        <v>0</v>
      </c>
      <c r="V34" s="54">
        <f t="shared" si="12"/>
      </c>
      <c r="W34" s="106"/>
    </row>
    <row r="35" spans="2:23" s="16" customFormat="1" ht="16.5" customHeight="1">
      <c r="B35" s="102"/>
      <c r="C35" s="541"/>
      <c r="D35" s="635"/>
      <c r="E35" s="635"/>
      <c r="F35" s="635"/>
      <c r="G35" s="514">
        <f t="shared" si="0"/>
        <v>0</v>
      </c>
      <c r="H35" s="621"/>
      <c r="I35" s="549"/>
      <c r="J35" s="52">
        <f t="shared" si="1"/>
      </c>
      <c r="K35" s="26">
        <f t="shared" si="2"/>
      </c>
      <c r="L35" s="551"/>
      <c r="M35" s="570">
        <f t="shared" si="3"/>
      </c>
      <c r="N35" s="553">
        <f t="shared" si="4"/>
      </c>
      <c r="O35" s="637">
        <f t="shared" si="5"/>
        <v>20</v>
      </c>
      <c r="P35" s="638" t="str">
        <f t="shared" si="6"/>
        <v>--</v>
      </c>
      <c r="Q35" s="639" t="str">
        <f t="shared" si="7"/>
        <v>--</v>
      </c>
      <c r="R35" s="640" t="str">
        <f t="shared" si="8"/>
        <v>--</v>
      </c>
      <c r="S35" s="641" t="str">
        <f t="shared" si="9"/>
        <v>--</v>
      </c>
      <c r="T35" s="642">
        <f t="shared" si="10"/>
      </c>
      <c r="U35" s="452">
        <f t="shared" si="11"/>
        <v>0</v>
      </c>
      <c r="V35" s="54">
        <f t="shared" si="12"/>
      </c>
      <c r="W35" s="106"/>
    </row>
    <row r="36" spans="2:23" s="16" customFormat="1" ht="16.5" customHeight="1">
      <c r="B36" s="102"/>
      <c r="C36" s="541"/>
      <c r="D36" s="635"/>
      <c r="E36" s="635"/>
      <c r="F36" s="635"/>
      <c r="G36" s="514">
        <f t="shared" si="0"/>
        <v>0</v>
      </c>
      <c r="H36" s="621"/>
      <c r="I36" s="549"/>
      <c r="J36" s="52">
        <f t="shared" si="1"/>
      </c>
      <c r="K36" s="26">
        <f t="shared" si="2"/>
      </c>
      <c r="L36" s="551"/>
      <c r="M36" s="570">
        <f t="shared" si="3"/>
      </c>
      <c r="N36" s="553">
        <f t="shared" si="4"/>
      </c>
      <c r="O36" s="637">
        <f t="shared" si="5"/>
        <v>20</v>
      </c>
      <c r="P36" s="638" t="str">
        <f t="shared" si="6"/>
        <v>--</v>
      </c>
      <c r="Q36" s="639" t="str">
        <f t="shared" si="7"/>
        <v>--</v>
      </c>
      <c r="R36" s="640" t="str">
        <f t="shared" si="8"/>
        <v>--</v>
      </c>
      <c r="S36" s="641" t="str">
        <f t="shared" si="9"/>
        <v>--</v>
      </c>
      <c r="T36" s="642">
        <f t="shared" si="10"/>
      </c>
      <c r="U36" s="452">
        <f t="shared" si="11"/>
        <v>0</v>
      </c>
      <c r="V36" s="54">
        <f t="shared" si="12"/>
      </c>
      <c r="W36" s="106"/>
    </row>
    <row r="37" spans="2:23" s="16" customFormat="1" ht="16.5" customHeight="1">
      <c r="B37" s="102"/>
      <c r="C37" s="541"/>
      <c r="D37" s="635"/>
      <c r="E37" s="635"/>
      <c r="F37" s="635"/>
      <c r="G37" s="514">
        <f t="shared" si="0"/>
        <v>0</v>
      </c>
      <c r="H37" s="621"/>
      <c r="I37" s="549"/>
      <c r="J37" s="52">
        <f t="shared" si="1"/>
      </c>
      <c r="K37" s="26">
        <f t="shared" si="2"/>
      </c>
      <c r="L37" s="551"/>
      <c r="M37" s="570">
        <f t="shared" si="3"/>
      </c>
      <c r="N37" s="553">
        <f t="shared" si="4"/>
      </c>
      <c r="O37" s="637">
        <f t="shared" si="5"/>
        <v>20</v>
      </c>
      <c r="P37" s="638" t="str">
        <f t="shared" si="6"/>
        <v>--</v>
      </c>
      <c r="Q37" s="639" t="str">
        <f t="shared" si="7"/>
        <v>--</v>
      </c>
      <c r="R37" s="640" t="str">
        <f t="shared" si="8"/>
        <v>--</v>
      </c>
      <c r="S37" s="641" t="str">
        <f t="shared" si="9"/>
        <v>--</v>
      </c>
      <c r="T37" s="642">
        <f t="shared" si="10"/>
      </c>
      <c r="U37" s="452">
        <f t="shared" si="11"/>
        <v>0</v>
      </c>
      <c r="V37" s="54">
        <f t="shared" si="12"/>
      </c>
      <c r="W37" s="106"/>
    </row>
    <row r="38" spans="2:23" s="16" customFormat="1" ht="16.5" customHeight="1">
      <c r="B38" s="102"/>
      <c r="C38" s="541"/>
      <c r="D38" s="635"/>
      <c r="E38" s="635"/>
      <c r="F38" s="635"/>
      <c r="G38" s="514">
        <f t="shared" si="0"/>
        <v>0</v>
      </c>
      <c r="H38" s="621"/>
      <c r="I38" s="549"/>
      <c r="J38" s="52">
        <f t="shared" si="1"/>
      </c>
      <c r="K38" s="26">
        <f t="shared" si="2"/>
      </c>
      <c r="L38" s="551"/>
      <c r="M38" s="570">
        <f t="shared" si="3"/>
      </c>
      <c r="N38" s="553">
        <f t="shared" si="4"/>
      </c>
      <c r="O38" s="637">
        <f t="shared" si="5"/>
        <v>20</v>
      </c>
      <c r="P38" s="638" t="str">
        <f t="shared" si="6"/>
        <v>--</v>
      </c>
      <c r="Q38" s="639" t="str">
        <f t="shared" si="7"/>
        <v>--</v>
      </c>
      <c r="R38" s="640" t="str">
        <f t="shared" si="8"/>
        <v>--</v>
      </c>
      <c r="S38" s="641" t="str">
        <f t="shared" si="9"/>
        <v>--</v>
      </c>
      <c r="T38" s="642">
        <f t="shared" si="10"/>
      </c>
      <c r="U38" s="452">
        <f t="shared" si="11"/>
        <v>0</v>
      </c>
      <c r="V38" s="54">
        <f t="shared" si="12"/>
      </c>
      <c r="W38" s="106"/>
    </row>
    <row r="39" spans="2:23" s="16" customFormat="1" ht="16.5" customHeight="1">
      <c r="B39" s="102"/>
      <c r="C39" s="541"/>
      <c r="D39" s="635"/>
      <c r="E39" s="635"/>
      <c r="F39" s="635"/>
      <c r="G39" s="514">
        <f t="shared" si="0"/>
        <v>0</v>
      </c>
      <c r="H39" s="621"/>
      <c r="I39" s="549"/>
      <c r="J39" s="52">
        <f t="shared" si="1"/>
      </c>
      <c r="K39" s="26">
        <f t="shared" si="2"/>
      </c>
      <c r="L39" s="551"/>
      <c r="M39" s="570">
        <f t="shared" si="3"/>
      </c>
      <c r="N39" s="553">
        <f t="shared" si="4"/>
      </c>
      <c r="O39" s="637">
        <f t="shared" si="5"/>
        <v>20</v>
      </c>
      <c r="P39" s="638" t="str">
        <f t="shared" si="6"/>
        <v>--</v>
      </c>
      <c r="Q39" s="639" t="str">
        <f t="shared" si="7"/>
        <v>--</v>
      </c>
      <c r="R39" s="640" t="str">
        <f t="shared" si="8"/>
        <v>--</v>
      </c>
      <c r="S39" s="641" t="str">
        <f t="shared" si="9"/>
        <v>--</v>
      </c>
      <c r="T39" s="642">
        <f t="shared" si="10"/>
      </c>
      <c r="U39" s="452">
        <f t="shared" si="11"/>
        <v>0</v>
      </c>
      <c r="V39" s="54">
        <f t="shared" si="12"/>
      </c>
      <c r="W39" s="106"/>
    </row>
    <row r="40" spans="2:23" s="16" customFormat="1" ht="16.5" customHeight="1">
      <c r="B40" s="102"/>
      <c r="C40" s="541"/>
      <c r="D40" s="635"/>
      <c r="E40" s="635"/>
      <c r="F40" s="635"/>
      <c r="G40" s="514">
        <f t="shared" si="0"/>
        <v>0</v>
      </c>
      <c r="H40" s="621"/>
      <c r="I40" s="549"/>
      <c r="J40" s="52">
        <f t="shared" si="1"/>
      </c>
      <c r="K40" s="26">
        <f t="shared" si="2"/>
      </c>
      <c r="L40" s="551"/>
      <c r="M40" s="570">
        <f t="shared" si="3"/>
      </c>
      <c r="N40" s="553">
        <f t="shared" si="4"/>
      </c>
      <c r="O40" s="637">
        <f t="shared" si="5"/>
        <v>20</v>
      </c>
      <c r="P40" s="638" t="str">
        <f t="shared" si="6"/>
        <v>--</v>
      </c>
      <c r="Q40" s="639" t="str">
        <f t="shared" si="7"/>
        <v>--</v>
      </c>
      <c r="R40" s="640" t="str">
        <f t="shared" si="8"/>
        <v>--</v>
      </c>
      <c r="S40" s="641" t="str">
        <f t="shared" si="9"/>
        <v>--</v>
      </c>
      <c r="T40" s="642">
        <f t="shared" si="10"/>
      </c>
      <c r="U40" s="452">
        <f t="shared" si="11"/>
        <v>0</v>
      </c>
      <c r="V40" s="54">
        <f t="shared" si="12"/>
      </c>
      <c r="W40" s="106"/>
    </row>
    <row r="41" spans="2:23" s="16" customFormat="1" ht="16.5" customHeight="1">
      <c r="B41" s="102"/>
      <c r="C41" s="541"/>
      <c r="D41" s="635"/>
      <c r="E41" s="635"/>
      <c r="F41" s="635"/>
      <c r="G41" s="514">
        <f>F41*$F$17</f>
        <v>0</v>
      </c>
      <c r="H41" s="621"/>
      <c r="I41" s="549"/>
      <c r="J41" s="52">
        <f>IF(D41="","",(I41-H41)*24)</f>
      </c>
      <c r="K41" s="26">
        <f>IF(D41="","",ROUND((I41-H41)*24*60,0))</f>
      </c>
      <c r="L41" s="551"/>
      <c r="M41" s="570">
        <f>IF(D41="","","--")</f>
      </c>
      <c r="N41" s="553">
        <f>IF(D41="","",IF(L41="P","--","NO"))</f>
      </c>
      <c r="O41" s="637">
        <f>IF(L41="P",$F$18*0.1,$F$18)</f>
        <v>20</v>
      </c>
      <c r="P41" s="638" t="str">
        <f>IF(L41="P",G41*O41*ROUND(K41/60,2),"--")</f>
        <v>--</v>
      </c>
      <c r="Q41" s="639" t="str">
        <f>IF(AND(L41="F",N41="NO"),G41*O41,"--")</f>
        <v>--</v>
      </c>
      <c r="R41" s="640" t="str">
        <f>IF(L41="F",G41*O41*ROUND(K41/60,2),"--")</f>
        <v>--</v>
      </c>
      <c r="S41" s="641" t="str">
        <f>IF(L41="RF",G41*O41*ROUND(K41/60,2),"--")</f>
        <v>--</v>
      </c>
      <c r="T41" s="642">
        <f>IF(D41="","","SI")</f>
      </c>
      <c r="U41" s="452">
        <f>SUM(P41:S41)*IF(T41="SI",1,2)</f>
        <v>0</v>
      </c>
      <c r="V41" s="54">
        <f>IF(D41="","",U41*$I$18)</f>
      </c>
      <c r="W41" s="106"/>
    </row>
    <row r="42" spans="2:23" s="16" customFormat="1" ht="16.5" customHeight="1">
      <c r="B42" s="102"/>
      <c r="C42" s="541"/>
      <c r="D42" s="635"/>
      <c r="E42" s="635"/>
      <c r="F42" s="635"/>
      <c r="G42" s="514">
        <f>F42*$F$17</f>
        <v>0</v>
      </c>
      <c r="H42" s="621"/>
      <c r="I42" s="549"/>
      <c r="J42" s="52">
        <f>IF(D42="","",(I42-H42)*24)</f>
      </c>
      <c r="K42" s="26">
        <f>IF(D42="","",ROUND((I42-H42)*24*60,0))</f>
      </c>
      <c r="L42" s="551"/>
      <c r="M42" s="570">
        <f>IF(D42="","","--")</f>
      </c>
      <c r="N42" s="553">
        <f>IF(D42="","",IF(L42="P","--","NO"))</f>
      </c>
      <c r="O42" s="637">
        <f>IF(L42="P",$F$18*0.1,$F$18)</f>
        <v>20</v>
      </c>
      <c r="P42" s="638" t="str">
        <f>IF(L42="P",G42*O42*ROUND(K42/60,2),"--")</f>
        <v>--</v>
      </c>
      <c r="Q42" s="639" t="str">
        <f>IF(AND(L42="F",N42="NO"),G42*O42,"--")</f>
        <v>--</v>
      </c>
      <c r="R42" s="640" t="str">
        <f>IF(L42="F",G42*O42*ROUND(K42/60,2),"--")</f>
        <v>--</v>
      </c>
      <c r="S42" s="641" t="str">
        <f>IF(L42="RF",G42*O42*ROUND(K42/60,2),"--")</f>
        <v>--</v>
      </c>
      <c r="T42" s="642">
        <f>IF(D42="","","SI")</f>
      </c>
      <c r="U42" s="452">
        <f>SUM(P42:S42)*IF(T42="SI",1,2)</f>
        <v>0</v>
      </c>
      <c r="V42" s="54">
        <f>IF(D42="","",U42*$I$18)</f>
      </c>
      <c r="W42" s="106"/>
    </row>
    <row r="43" spans="2:23" s="16" customFormat="1" ht="16.5" customHeight="1">
      <c r="B43" s="102"/>
      <c r="C43" s="541"/>
      <c r="D43" s="635"/>
      <c r="E43" s="635"/>
      <c r="F43" s="635"/>
      <c r="G43" s="514">
        <f>F43*$F$17</f>
        <v>0</v>
      </c>
      <c r="H43" s="621"/>
      <c r="I43" s="549"/>
      <c r="J43" s="52">
        <f>IF(D43="","",(I43-H43)*24)</f>
      </c>
      <c r="K43" s="26">
        <f>IF(D43="","",ROUND((I43-H43)*24*60,0))</f>
      </c>
      <c r="L43" s="551"/>
      <c r="M43" s="570">
        <f>IF(D43="","","--")</f>
      </c>
      <c r="N43" s="553">
        <f>IF(D43="","",IF(L43="P","--","NO"))</f>
      </c>
      <c r="O43" s="637">
        <f>IF(L43="P",$F$18*0.1,$F$18)</f>
        <v>20</v>
      </c>
      <c r="P43" s="638" t="str">
        <f>IF(L43="P",G43*O43*ROUND(K43/60,2),"--")</f>
        <v>--</v>
      </c>
      <c r="Q43" s="639" t="str">
        <f>IF(AND(L43="F",N43="NO"),G43*O43,"--")</f>
        <v>--</v>
      </c>
      <c r="R43" s="640" t="str">
        <f>IF(L43="F",G43*O43*ROUND(K43/60,2),"--")</f>
        <v>--</v>
      </c>
      <c r="S43" s="641" t="str">
        <f>IF(L43="RF",G43*O43*ROUND(K43/60,2),"--")</f>
        <v>--</v>
      </c>
      <c r="T43" s="642">
        <f>IF(D43="","","SI")</f>
      </c>
      <c r="U43" s="452">
        <f>SUM(P43:S43)*IF(T43="SI",1,2)</f>
        <v>0</v>
      </c>
      <c r="V43" s="54">
        <f>IF(D43="","",U43*$I$18)</f>
      </c>
      <c r="W43" s="106"/>
    </row>
    <row r="44" spans="2:23" s="16" customFormat="1" ht="16.5" customHeight="1" thickBot="1">
      <c r="B44" s="102"/>
      <c r="C44" s="544"/>
      <c r="D44" s="636"/>
      <c r="E44" s="636"/>
      <c r="F44" s="636"/>
      <c r="G44" s="312"/>
      <c r="H44" s="623"/>
      <c r="I44" s="623"/>
      <c r="J44" s="55"/>
      <c r="K44" s="55"/>
      <c r="L44" s="623"/>
      <c r="M44" s="559"/>
      <c r="N44" s="550"/>
      <c r="O44" s="643"/>
      <c r="P44" s="644"/>
      <c r="Q44" s="645"/>
      <c r="R44" s="646"/>
      <c r="S44" s="647"/>
      <c r="T44" s="648"/>
      <c r="U44" s="433"/>
      <c r="V44" s="241"/>
      <c r="W44" s="106"/>
    </row>
    <row r="45" spans="2:23" s="16" customFormat="1" ht="16.5" customHeight="1" thickBot="1" thickTop="1">
      <c r="B45" s="102"/>
      <c r="C45" s="246" t="s">
        <v>59</v>
      </c>
      <c r="D45" s="247" t="s">
        <v>145</v>
      </c>
      <c r="G45" s="14"/>
      <c r="H45" s="14"/>
      <c r="I45" s="14"/>
      <c r="J45" s="14"/>
      <c r="K45" s="14"/>
      <c r="L45" s="14"/>
      <c r="M45" s="14"/>
      <c r="N45" s="14"/>
      <c r="O45" s="14"/>
      <c r="P45" s="438">
        <f>SUM(P22:P44)</f>
        <v>2248.0415999999996</v>
      </c>
      <c r="Q45" s="445">
        <f>SUM(Q22:Q44)</f>
        <v>0</v>
      </c>
      <c r="R45" s="446">
        <f>SUM(R22:R44)</f>
        <v>0</v>
      </c>
      <c r="S45" s="450">
        <f>SUM(S22:S44)</f>
        <v>0</v>
      </c>
      <c r="U45" s="453">
        <f>ROUND(SUM(U22:U44),2)</f>
        <v>2248.04</v>
      </c>
      <c r="V45" s="69">
        <f>ROUND(SUM(V22:V44),2)</f>
        <v>2248.04</v>
      </c>
      <c r="W45" s="216"/>
    </row>
    <row r="46" spans="2:23" s="251" customFormat="1" ht="9.75" thickTop="1">
      <c r="B46" s="252"/>
      <c r="C46" s="248"/>
      <c r="D46" s="250"/>
      <c r="G46" s="268"/>
      <c r="H46" s="268"/>
      <c r="I46" s="268"/>
      <c r="J46" s="268"/>
      <c r="K46" s="268"/>
      <c r="L46" s="268"/>
      <c r="M46" s="268"/>
      <c r="N46" s="268"/>
      <c r="O46" s="268"/>
      <c r="P46" s="266"/>
      <c r="Q46" s="266"/>
      <c r="R46" s="266"/>
      <c r="S46" s="266"/>
      <c r="V46" s="269"/>
      <c r="W46" s="270"/>
    </row>
    <row r="47" spans="2:23" s="16" customFormat="1" ht="16.5" customHeight="1" thickBot="1">
      <c r="B47" s="131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</row>
    <row r="48" spans="4:25" ht="16.5" customHeight="1" thickTop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4:25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4:25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4:25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4:25" ht="16.5" customHeight="1">
      <c r="D52" s="6"/>
      <c r="E52" s="6"/>
      <c r="F52" s="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4:25" ht="16.5" customHeight="1">
      <c r="D53" s="6"/>
      <c r="E53" s="6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4:25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4:25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4:25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4:25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4:25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4:25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4:25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4:25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4:25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4:25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4:25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4:25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4:25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4:25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4:25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4:25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4:25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4:25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4:25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4:25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4:25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4:25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4:25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4:25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4:25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4:25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4:25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4:25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4:25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4:25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4:25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4:25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4:25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4:25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4:25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4:25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4:25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4:25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4:25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4:25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4:25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4:25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4:25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4:25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4:25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4:25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4:25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4:25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4:25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4:25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4:25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4:25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4:25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4:25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4:25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4:25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4:25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4:25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4:25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4:25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4:25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4:25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4:25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4:25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4:25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4:25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4:25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4:25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4:25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4:25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4:25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4:25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4:25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4:25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4:25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4:25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4:25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4:25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4:25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4:25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4:25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4:25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4:25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4:25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4:25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4:25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4:25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4:25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4:25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4:25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4:25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4:25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4:25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4:25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4:25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4:25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4:25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4:25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4:25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4:25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4:25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4:25" ht="16.5" customHeight="1">
      <c r="D155" s="5"/>
      <c r="E155" s="5"/>
      <c r="F155" s="5"/>
      <c r="X155" s="5"/>
      <c r="Y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spans="4:6" ht="16.5" customHeight="1">
      <c r="D159" s="5"/>
      <c r="E159" s="5"/>
      <c r="F159" s="5"/>
    </row>
    <row r="160" spans="4:6" ht="16.5" customHeight="1">
      <c r="D160" s="5"/>
      <c r="E160" s="5"/>
      <c r="F160" s="5"/>
    </row>
    <row r="161" ht="16.5" customHeight="1"/>
    <row r="162" ht="16.5" customHeight="1"/>
    <row r="163" ht="16.5" customHeight="1"/>
    <row r="164" ht="16.5" customHeight="1"/>
  </sheetData>
  <mergeCells count="1">
    <mergeCell ref="J16:N16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ccaravelli</cp:lastModifiedBy>
  <cp:lastPrinted>2008-05-29T15:14:27Z</cp:lastPrinted>
  <dcterms:created xsi:type="dcterms:W3CDTF">1998-04-21T14:28:46Z</dcterms:created>
  <dcterms:modified xsi:type="dcterms:W3CDTF">2008-08-26T17:34:04Z</dcterms:modified>
  <cp:category/>
  <cp:version/>
  <cp:contentType/>
  <cp:contentStatus/>
</cp:coreProperties>
</file>