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activeTab="0"/>
  </bookViews>
  <sheets>
    <sheet name="TOT-0410" sheetId="1" r:id="rId1"/>
    <sheet name="LI-04 (1)" sheetId="2" r:id="rId2"/>
    <sheet name="LI-EDERSA-04 (1)" sheetId="3" r:id="rId3"/>
    <sheet name="LI-SPSE-04 (1)" sheetId="4" r:id="rId4"/>
    <sheet name="TR-04 (1)" sheetId="5" r:id="rId5"/>
    <sheet name="TR-EDERSA-04 (1)" sheetId="6" r:id="rId6"/>
    <sheet name="SA-EDERSA-04 (1)" sheetId="7" r:id="rId7"/>
    <sheet name="RE-04 (1)" sheetId="8" r:id="rId8"/>
    <sheet name="SUP-EDERSA" sheetId="9" r:id="rId9"/>
    <sheet name="SUP-SPSE" sheetId="10" r:id="rId10"/>
    <sheet name="TASA FALLA" sheetId="11" r:id="rId11"/>
  </sheets>
  <externalReferences>
    <externalReference r:id="rId14"/>
  </externalReferences>
  <definedNames>
    <definedName name="_xlnm.Print_Area" localSheetId="10">'TASA FALLA'!$A$1:$T$60</definedName>
    <definedName name="DD" localSheetId="10">'TASA FALLA'!DD</definedName>
    <definedName name="DD">[0]!DD</definedName>
    <definedName name="DDD" localSheetId="10">'TASA FALLA'!DDD</definedName>
    <definedName name="DDD">[0]!DDD</definedName>
    <definedName name="DISTROCUYO" localSheetId="10">'TASA FALLA'!DISTROCUYO</definedName>
    <definedName name="DISTROCUYO">[0]!DISTROCUYO</definedName>
    <definedName name="INICIO" localSheetId="10">'TASA FALLA'!INICIO</definedName>
    <definedName name="INICIO">[0]!INICIO</definedName>
    <definedName name="INICIOTI" localSheetId="10">'TASA FALLA'!INICIOTI</definedName>
    <definedName name="INICIOTI">[0]!INICIOTI</definedName>
    <definedName name="LINEAS" localSheetId="10">'TASA FALLA'!LINEAS</definedName>
    <definedName name="LINEAS">[0]!LINEAS</definedName>
    <definedName name="NAME_L" localSheetId="10">'TASA FALLA'!NAME_L</definedName>
    <definedName name="NAME_L">[0]!NAME_L</definedName>
    <definedName name="NAME_L_TI" localSheetId="10">'TASA FALLA'!NAME_L_TI</definedName>
    <definedName name="NAME_L_TI">[0]!NAME_L_TI</definedName>
    <definedName name="TRAN" localSheetId="10">'TASA FALLA'!TRAN</definedName>
    <definedName name="TRAN">[0]!TRAN</definedName>
    <definedName name="TRANSNOA" localSheetId="10">'TASA FALLA'!TRANSNOA</definedName>
    <definedName name="TRANSNOA">[0]!TRANSNOA</definedName>
    <definedName name="x" localSheetId="10">'TASA FALLA'!x</definedName>
    <definedName name="x">[0]!x</definedName>
    <definedName name="XX" localSheetId="10">'TASA FALLA'!XX</definedName>
    <definedName name="XX">[0]!XX</definedName>
  </definedNames>
  <calcPr fullCalcOnLoad="1"/>
</workbook>
</file>

<file path=xl/comments9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<sst xmlns="http://schemas.openxmlformats.org/spreadsheetml/2006/main" count="475" uniqueCount="192">
  <si>
    <t>SISTEMA DE TRANSPORTE DE ENERGÍA ELÉCTRICA POR DISTRIBUCIÓN TRONCAL</t>
  </si>
  <si>
    <t>TRANSPA S.A.</t>
  </si>
  <si>
    <t>TOTAL</t>
  </si>
  <si>
    <t>SALIDAS</t>
  </si>
  <si>
    <t>PICO TRUNCADO I - PUERTO DESEADO</t>
  </si>
  <si>
    <t>PUNTA COLORADA - SIERRA GRANDE</t>
  </si>
  <si>
    <t>S.A. OESTE - SIERRA GRANDE</t>
  </si>
  <si>
    <t>S.A. OESTE - VIEDMA</t>
  </si>
  <si>
    <t>VIEDMA - CARMEN DE PATAGONES</t>
  </si>
  <si>
    <t>TRAFO 2</t>
  </si>
  <si>
    <t>TRAFO 1</t>
  </si>
  <si>
    <t>PUERTO DESEADO</t>
  </si>
  <si>
    <t>PUNTA COLORADA</t>
  </si>
  <si>
    <t>SAN ANTONIO ESTE</t>
  </si>
  <si>
    <t>SAN ANTONIO OESTE</t>
  </si>
  <si>
    <t>SIERRA GRANDE</t>
  </si>
  <si>
    <t>VIEDMA</t>
  </si>
  <si>
    <t>ALIMENTADOR 1</t>
  </si>
  <si>
    <t>ALIMENTADOR 2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</si>
  <si>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</si>
  <si>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</si>
  <si>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</si>
  <si>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</si>
  <si>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</si>
  <si>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</si>
  <si>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</si>
  <si>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</si>
  <si>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</si>
  <si>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</si>
  <si>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1.3.-</t>
  </si>
  <si>
    <t>Transportista Independiente S.P.S.E.</t>
  </si>
  <si>
    <t>2.-</t>
  </si>
  <si>
    <t>CONEXIÓN</t>
  </si>
  <si>
    <t>2.1.-</t>
  </si>
  <si>
    <t>Transformación</t>
  </si>
  <si>
    <t>2.1.1.-</t>
  </si>
  <si>
    <t>2.1.2.-</t>
  </si>
  <si>
    <t>2.2.-</t>
  </si>
  <si>
    <t>Salidas</t>
  </si>
  <si>
    <t>3.-</t>
  </si>
  <si>
    <t>POTENCIA REACTIVA</t>
  </si>
  <si>
    <t>4.-</t>
  </si>
  <si>
    <t>SUPERVISIÓN</t>
  </si>
  <si>
    <t>4.1.-</t>
  </si>
  <si>
    <t>4.2.-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</si>
  <si>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</si>
  <si>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</si>
  <si>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</si>
  <si>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</si>
  <si>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</si>
  <si>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</si>
  <si>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</si>
  <si>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</si>
  <si>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</si>
  <si>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</si>
  <si>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</si>
  <si>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</si>
  <si>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</si>
  <si>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</si>
  <si>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</si>
  <si>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</si>
  <si>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</si>
  <si>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</si>
  <si>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</si>
  <si>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</si>
  <si>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</si>
  <si>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</si>
  <si>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</si>
  <si>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</si>
  <si>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</si>
  <si>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</si>
  <si>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</si>
  <si>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</si>
  <si>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</si>
  <si>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</si>
  <si>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</si>
  <si>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</si>
  <si>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</si>
  <si>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</si>
  <si>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</si>
  <si>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</si>
  <si>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</si>
  <si>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</si>
  <si>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</si>
  <si>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</si>
  <si>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</si>
  <si>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</si>
  <si>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</si>
  <si>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</si>
  <si>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</si>
  <si>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</si>
  <si>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</si>
  <si>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</si>
  <si>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t>3.- POTENCIA REACTIVA</t>
  </si>
  <si>
    <t>Por Transformador por cada MVA    $ =</t>
  </si>
  <si>
    <t>POT.
[MVAr]</t>
  </si>
  <si>
    <t>AUT</t>
  </si>
  <si>
    <t>K (P)</t>
  </si>
  <si>
    <t>PENALIZAC. FORZADA
Por Salida  hs. Restantes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</si>
  <si>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</si>
  <si>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</si>
  <si>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</si>
  <si>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</si>
  <si>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</si>
  <si>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</si>
  <si>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</si>
  <si>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</si>
  <si>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</si>
  <si>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TRANSFORMACIÓN</t>
  </si>
  <si>
    <t>SEGÚN 2.1.2.</t>
  </si>
  <si>
    <t>SEGÚN 2.2.2.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</si>
  <si>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</si>
  <si>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</si>
  <si>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</si>
  <si>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</si>
  <si>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</si>
  <si>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</si>
  <si>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Pot [MVA]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</si>
  <si>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</si>
  <si>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</si>
  <si>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</si>
  <si>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</si>
  <si>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</si>
  <si>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</si>
  <si>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</si>
  <si>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</si>
  <si>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TOTAL A PENALIZAR A TRANSPA S.A. POR SUPERVISIÓN A  SPSE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</si>
  <si>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</si>
  <si>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</si>
  <si>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</si>
  <si>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</si>
  <si>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</si>
  <si>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</si>
  <si>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</si>
  <si>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</si>
  <si>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</si>
  <si>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</si>
  <si>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</si>
  <si>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</si>
  <si>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</si>
  <si>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</si>
  <si>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</si>
  <si>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</si>
  <si>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4.1.- SUPERVISIÓN - Transportista Independiente E.D.E.R.S.A.</t>
  </si>
  <si>
    <t>4.2.- SUPERVISIÓN - Transportista Independiente S.P.S.E.</t>
  </si>
  <si>
    <t>2.2.2.- Transportista Independiente E.D.E.R.S.A.</t>
  </si>
  <si>
    <t>1.3.- Transportista Independiente S.P.S.E.</t>
  </si>
  <si>
    <t>1.2.- Transportista Independiente E.D.E.R.S.A.</t>
  </si>
  <si>
    <t>ID EQUIPO</t>
  </si>
  <si>
    <t>INDISP</t>
  </si>
  <si>
    <t xml:space="preserve">        DE LA ELECTRICIDAD</t>
  </si>
  <si>
    <t xml:space="preserve">              DE LA ELECTRICIDAD</t>
  </si>
  <si>
    <t xml:space="preserve">           ENTE NACIONAL REGULADOR </t>
  </si>
  <si>
    <t>(DTE 0609)</t>
  </si>
  <si>
    <t>Desde el 01 al 30 de abril de 2010</t>
  </si>
  <si>
    <t>P</t>
  </si>
  <si>
    <t>SI</t>
  </si>
  <si>
    <t>PICO TRUNCADO I - CDORO. RIVADAVIA</t>
  </si>
  <si>
    <t>F</t>
  </si>
  <si>
    <t>COMODORO RIVADAVIA A1</t>
  </si>
  <si>
    <t>TRAFO 5</t>
  </si>
  <si>
    <t>132/33/13,2</t>
  </si>
  <si>
    <t>TRELEW</t>
  </si>
  <si>
    <t>TRAFO 4</t>
  </si>
  <si>
    <t>TRAFO 6</t>
  </si>
  <si>
    <t>PUERTO MADRYN</t>
  </si>
  <si>
    <t>LOS PERALES - LAS HERAS</t>
  </si>
  <si>
    <t>PTQ. C. RIVADAVIA - P. DESEADO</t>
  </si>
  <si>
    <t>S. ANTONIO ESTE</t>
  </si>
  <si>
    <t>NO</t>
  </si>
  <si>
    <t>SALIDA ALIM. IDEVI</t>
  </si>
  <si>
    <t>SALIDA 2 PUERTO</t>
  </si>
  <si>
    <t xml:space="preserve">SISTEMA DE TRANSPORTE DE ENERGÍA ELÉCTRICA POR DISTRIBUCIÓN TRONCAL </t>
  </si>
  <si>
    <t>INDISPONIBILIDADES FORZADAS DE LÍNEAS - TASA DE FALLA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</si>
  <si>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</si>
  <si>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</si>
  <si>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</si>
  <si>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</si>
  <si>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</si>
  <si>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VALOR PROVISORIO</t>
  </si>
  <si>
    <t>TASA DE FALLA</t>
  </si>
  <si>
    <t>SALIDAS x AÑO / 100 km</t>
  </si>
  <si>
    <t>Tasa de falla correspondiente al mes de abril de 2010 (provisoria).-</t>
  </si>
  <si>
    <t>P - PROGRAMADA</t>
  </si>
  <si>
    <t>P - PROGRAMADA  ;  F - FORZADA</t>
  </si>
  <si>
    <t xml:space="preserve"> -</t>
  </si>
  <si>
    <t>SEGÚN 1.3.</t>
  </si>
  <si>
    <t>2.2.2.-</t>
  </si>
  <si>
    <t>Reactor 1 (3RD03)</t>
  </si>
  <si>
    <t>Valores remuneratorios Decreto PEN N° 1779/07 -  Res. ENRE N° 331/08 -  Res. ENRE N° 645/08</t>
  </si>
  <si>
    <t>TOTAL DE PENALIZACIONES</t>
  </si>
  <si>
    <t xml:space="preserve">ANEXO IV al Memorandum  D.T.E.E.  N°   456 /2011 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</si>
</sst>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</numFmts>
  <fonts count="8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b/>
      <u val="single"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MS Sans Serif"/>
      <family val="0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Times New Roman"/>
      <family val="0"/>
    </font>
    <font>
      <b/>
      <sz val="10"/>
      <color indexed="48"/>
      <name val="MS Sans Serif"/>
      <family val="0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sz val="10"/>
      <color indexed="9"/>
      <name val="MS Sans Serif"/>
      <family val="2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b/>
      <sz val="8"/>
      <name val="MS Sans Serif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125">
        <fgColor indexed="8"/>
      </patternFill>
    </fill>
  </fills>
  <borders count="8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172" fontId="9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168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7" xfId="0" applyNumberFormat="1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3" fillId="0" borderId="5" xfId="0" applyFont="1" applyFill="1" applyBorder="1" applyAlignment="1" applyProtection="1">
      <alignment horizontal="center"/>
      <protection/>
    </xf>
    <xf numFmtId="22" fontId="7" fillId="0" borderId="9" xfId="0" applyNumberFormat="1" applyFont="1" applyFill="1" applyBorder="1" applyAlignment="1">
      <alignment horizontal="center"/>
    </xf>
    <xf numFmtId="22" fontId="7" fillId="0" borderId="10" xfId="0" applyNumberFormat="1" applyFont="1" applyFill="1" applyBorder="1" applyAlignment="1" applyProtection="1">
      <alignment horizontal="center"/>
      <protection/>
    </xf>
    <xf numFmtId="2" fontId="7" fillId="0" borderId="7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7" fontId="7" fillId="0" borderId="18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0" fillId="0" borderId="6" xfId="0" applyFont="1" applyFill="1" applyBorder="1" applyAlignment="1">
      <alignment/>
    </xf>
    <xf numFmtId="168" fontId="10" fillId="0" borderId="7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8" fontId="10" fillId="0" borderId="3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9" xfId="0" applyFont="1" applyBorder="1" applyAlignment="1">
      <alignment horizontal="center"/>
    </xf>
    <xf numFmtId="0" fontId="13" fillId="0" borderId="19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168" fontId="7" fillId="0" borderId="9" xfId="0" applyNumberFormat="1" applyFont="1" applyBorder="1" applyAlignment="1" applyProtection="1">
      <alignment horizontal="center"/>
      <protection/>
    </xf>
    <xf numFmtId="22" fontId="7" fillId="0" borderId="20" xfId="0" applyNumberFormat="1" applyFont="1" applyBorder="1" applyAlignment="1">
      <alignment horizontal="center"/>
    </xf>
    <xf numFmtId="22" fontId="7" fillId="0" borderId="19" xfId="0" applyNumberFormat="1" applyFont="1" applyBorder="1" applyAlignment="1" applyProtection="1">
      <alignment horizontal="center"/>
      <protection/>
    </xf>
    <xf numFmtId="2" fontId="7" fillId="0" borderId="9" xfId="0" applyNumberFormat="1" applyFont="1" applyFill="1" applyBorder="1" applyAlignment="1" applyProtection="1" quotePrefix="1">
      <alignment horizontal="center"/>
      <protection/>
    </xf>
    <xf numFmtId="164" fontId="7" fillId="0" borderId="9" xfId="0" applyNumberFormat="1" applyFont="1" applyFill="1" applyBorder="1" applyAlignment="1" applyProtection="1" quotePrefix="1">
      <alignment horizontal="center"/>
      <protection/>
    </xf>
    <xf numFmtId="168" fontId="7" fillId="0" borderId="21" xfId="0" applyNumberFormat="1" applyFont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 quotePrefix="1">
      <alignment horizontal="center"/>
      <protection/>
    </xf>
    <xf numFmtId="4" fontId="18" fillId="0" borderId="3" xfId="0" applyNumberFormat="1" applyFont="1" applyFill="1" applyBorder="1" applyAlignment="1">
      <alignment horizontal="right"/>
    </xf>
    <xf numFmtId="168" fontId="7" fillId="0" borderId="22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" xfId="0" applyFont="1" applyBorder="1" applyAlignment="1" applyProtection="1">
      <alignment horizontal="centerContinuous"/>
      <protection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6" fillId="0" borderId="2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2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7" fontId="8" fillId="0" borderId="26" xfId="0" applyNumberFormat="1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Continuous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centerContinuous"/>
    </xf>
    <xf numFmtId="0" fontId="0" fillId="0" borderId="25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 quotePrefix="1">
      <alignment horizontal="left"/>
      <protection/>
    </xf>
    <xf numFmtId="0" fontId="0" fillId="0" borderId="24" xfId="0" applyFont="1" applyFill="1" applyBorder="1" applyAlignment="1" applyProtection="1">
      <alignment horizontal="center"/>
      <protection/>
    </xf>
    <xf numFmtId="164" fontId="0" fillId="0" borderId="23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" xfId="0" applyFont="1" applyFill="1" applyBorder="1" applyAlignment="1">
      <alignment/>
    </xf>
    <xf numFmtId="0" fontId="26" fillId="0" borderId="2" xfId="0" applyFont="1" applyFill="1" applyBorder="1" applyAlignment="1">
      <alignment/>
    </xf>
    <xf numFmtId="0" fontId="26" fillId="0" borderId="25" xfId="0" applyFont="1" applyFill="1" applyBorder="1" applyAlignment="1">
      <alignment horizontal="center" vertical="center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 quotePrefix="1">
      <alignment horizontal="center" vertical="center" wrapText="1"/>
      <protection/>
    </xf>
    <xf numFmtId="0" fontId="26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 applyProtection="1" quotePrefix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2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25" xfId="0" applyFont="1" applyBorder="1" applyAlignment="1" applyProtection="1">
      <alignment horizontal="left"/>
      <protection/>
    </xf>
    <xf numFmtId="171" fontId="0" fillId="0" borderId="28" xfId="0" applyNumberFormat="1" applyFont="1" applyBorder="1" applyAlignment="1" applyProtection="1">
      <alignment horizontal="center"/>
      <protection/>
    </xf>
    <xf numFmtId="0" fontId="0" fillId="0" borderId="25" xfId="0" applyFont="1" applyBorder="1" applyAlignment="1">
      <alignment/>
    </xf>
    <xf numFmtId="171" fontId="25" fillId="0" borderId="28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1" fontId="0" fillId="0" borderId="4" xfId="0" applyNumberFormat="1" applyFont="1" applyBorder="1" applyAlignment="1">
      <alignment horizontal="center"/>
    </xf>
    <xf numFmtId="0" fontId="26" fillId="0" borderId="26" xfId="0" applyFont="1" applyFill="1" applyBorder="1" applyAlignment="1" applyProtection="1">
      <alignment horizontal="center" vertical="center"/>
      <protection/>
    </xf>
    <xf numFmtId="168" fontId="10" fillId="0" borderId="3" xfId="0" applyNumberFormat="1" applyFont="1" applyFill="1" applyBorder="1" applyAlignment="1">
      <alignment horizontal="center"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2" fontId="7" fillId="0" borderId="29" xfId="0" applyNumberFormat="1" applyFont="1" applyFill="1" applyBorder="1" applyAlignment="1" applyProtection="1" quotePrefix="1">
      <alignment horizontal="center"/>
      <protection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27" xfId="0" applyFont="1" applyBorder="1" applyAlignment="1" applyProtection="1">
      <alignment horizontal="center"/>
      <protection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 applyProtection="1" quotePrefix="1">
      <alignment horizontal="left"/>
      <protection/>
    </xf>
    <xf numFmtId="0" fontId="0" fillId="0" borderId="24" xfId="0" applyFont="1" applyBorder="1" applyAlignment="1" applyProtection="1">
      <alignment horizontal="center"/>
      <protection/>
    </xf>
    <xf numFmtId="164" fontId="0" fillId="0" borderId="26" xfId="0" applyNumberFormat="1" applyFont="1" applyBorder="1" applyAlignment="1" applyProtection="1">
      <alignment horizontal="center"/>
      <protection/>
    </xf>
    <xf numFmtId="0" fontId="26" fillId="0" borderId="23" xfId="0" applyFont="1" applyBorder="1" applyAlignment="1" applyProtection="1" quotePrefix="1">
      <alignment horizontal="center" vertical="center" wrapText="1"/>
      <protection/>
    </xf>
    <xf numFmtId="0" fontId="27" fillId="0" borderId="23" xfId="0" applyFont="1" applyFill="1" applyBorder="1" applyAlignment="1">
      <alignment horizontal="center" vertical="center" wrapText="1"/>
    </xf>
    <xf numFmtId="168" fontId="18" fillId="0" borderId="9" xfId="0" applyNumberFormat="1" applyFont="1" applyFill="1" applyBorder="1" applyAlignment="1">
      <alignment horizontal="center"/>
    </xf>
    <xf numFmtId="168" fontId="18" fillId="0" borderId="18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25" xfId="0" applyFont="1" applyFill="1" applyBorder="1" applyAlignment="1">
      <alignment horizontal="center"/>
    </xf>
    <xf numFmtId="0" fontId="15" fillId="0" borderId="1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26" xfId="0" applyFont="1" applyBorder="1" applyAlignment="1" applyProtection="1">
      <alignment horizontal="centerContinuous"/>
      <protection/>
    </xf>
    <xf numFmtId="167" fontId="0" fillId="0" borderId="26" xfId="0" applyNumberFormat="1" applyFont="1" applyBorder="1" applyAlignment="1">
      <alignment horizontal="centerContinuous"/>
    </xf>
    <xf numFmtId="0" fontId="39" fillId="0" borderId="27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 vertical="top"/>
      <protection/>
    </xf>
    <xf numFmtId="0" fontId="42" fillId="0" borderId="0" xfId="0" applyFont="1" applyBorder="1" applyAlignment="1">
      <alignment/>
    </xf>
    <xf numFmtId="0" fontId="42" fillId="0" borderId="1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 quotePrefix="1">
      <alignment horizontal="center"/>
      <protection/>
    </xf>
    <xf numFmtId="2" fontId="43" fillId="0" borderId="0" xfId="0" applyNumberFormat="1" applyFont="1" applyBorder="1" applyAlignment="1">
      <alignment horizontal="center"/>
    </xf>
    <xf numFmtId="168" fontId="44" fillId="0" borderId="0" xfId="0" applyNumberFormat="1" applyFont="1" applyBorder="1" applyAlignment="1" applyProtection="1" quotePrefix="1">
      <alignment horizontal="center"/>
      <protection/>
    </xf>
    <xf numFmtId="4" fontId="44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right"/>
    </xf>
    <xf numFmtId="2" fontId="42" fillId="0" borderId="2" xfId="0" applyNumberFormat="1" applyFont="1" applyBorder="1" applyAlignment="1">
      <alignment horizontal="center"/>
    </xf>
    <xf numFmtId="0" fontId="42" fillId="0" borderId="0" xfId="0" applyFont="1" applyAlignment="1">
      <alignment/>
    </xf>
    <xf numFmtId="7" fontId="11" fillId="0" borderId="23" xfId="0" applyNumberFormat="1" applyFont="1" applyFill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1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5" fillId="0" borderId="0" xfId="0" applyNumberFormat="1" applyFont="1" applyFill="1" applyBorder="1" applyAlignment="1">
      <alignment horizontal="right"/>
    </xf>
    <xf numFmtId="0" fontId="39" fillId="0" borderId="2" xfId="0" applyFont="1" applyFill="1" applyBorder="1" applyAlignment="1">
      <alignment/>
    </xf>
    <xf numFmtId="0" fontId="39" fillId="0" borderId="2" xfId="0" applyFont="1" applyBorder="1" applyAlignment="1">
      <alignment/>
    </xf>
    <xf numFmtId="0" fontId="47" fillId="2" borderId="23" xfId="0" applyFont="1" applyFill="1" applyBorder="1" applyAlignment="1" applyProtection="1">
      <alignment horizontal="center" vertical="center"/>
      <protection/>
    </xf>
    <xf numFmtId="0" fontId="48" fillId="2" borderId="6" xfId="0" applyFont="1" applyFill="1" applyBorder="1" applyAlignment="1">
      <alignment/>
    </xf>
    <xf numFmtId="0" fontId="48" fillId="2" borderId="3" xfId="0" applyFont="1" applyFill="1" applyBorder="1" applyAlignment="1">
      <alignment/>
    </xf>
    <xf numFmtId="168" fontId="49" fillId="2" borderId="3" xfId="0" applyNumberFormat="1" applyFont="1" applyFill="1" applyBorder="1" applyAlignment="1" applyProtection="1">
      <alignment horizontal="center"/>
      <protection/>
    </xf>
    <xf numFmtId="168" fontId="49" fillId="2" borderId="4" xfId="0" applyNumberFormat="1" applyFont="1" applyFill="1" applyBorder="1" applyAlignment="1" applyProtection="1">
      <alignment horizontal="center"/>
      <protection/>
    </xf>
    <xf numFmtId="0" fontId="49" fillId="2" borderId="6" xfId="0" applyFont="1" applyFill="1" applyBorder="1" applyAlignment="1">
      <alignment/>
    </xf>
    <xf numFmtId="0" fontId="49" fillId="2" borderId="3" xfId="0" applyFont="1" applyFill="1" applyBorder="1" applyAlignment="1">
      <alignment/>
    </xf>
    <xf numFmtId="0" fontId="49" fillId="2" borderId="4" xfId="0" applyFont="1" applyFill="1" applyBorder="1" applyAlignment="1">
      <alignment/>
    </xf>
    <xf numFmtId="171" fontId="49" fillId="2" borderId="3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/>
    </xf>
    <xf numFmtId="4" fontId="46" fillId="0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54" fillId="3" borderId="23" xfId="0" applyFont="1" applyFill="1" applyBorder="1" applyAlignment="1">
      <alignment horizontal="center" vertical="center" wrapText="1"/>
    </xf>
    <xf numFmtId="0" fontId="55" fillId="3" borderId="6" xfId="0" applyFont="1" applyFill="1" applyBorder="1" applyAlignment="1">
      <alignment/>
    </xf>
    <xf numFmtId="0" fontId="55" fillId="3" borderId="3" xfId="0" applyFont="1" applyFill="1" applyBorder="1" applyAlignment="1">
      <alignment/>
    </xf>
    <xf numFmtId="0" fontId="54" fillId="4" borderId="23" xfId="0" applyFont="1" applyFill="1" applyBorder="1" applyAlignment="1">
      <alignment horizontal="center" vertical="center" wrapText="1"/>
    </xf>
    <xf numFmtId="0" fontId="55" fillId="4" borderId="6" xfId="0" applyFont="1" applyFill="1" applyBorder="1" applyAlignment="1">
      <alignment/>
    </xf>
    <xf numFmtId="0" fontId="55" fillId="4" borderId="3" xfId="0" applyFont="1" applyFill="1" applyBorder="1" applyAlignment="1">
      <alignment/>
    </xf>
    <xf numFmtId="0" fontId="27" fillId="5" borderId="23" xfId="0" applyFont="1" applyFill="1" applyBorder="1" applyAlignment="1" applyProtection="1">
      <alignment horizontal="centerContinuous" vertical="center" wrapText="1"/>
      <protection/>
    </xf>
    <xf numFmtId="0" fontId="25" fillId="5" borderId="24" xfId="0" applyFont="1" applyFill="1" applyBorder="1" applyAlignment="1">
      <alignment horizontal="centerContinuous"/>
    </xf>
    <xf numFmtId="0" fontId="27" fillId="5" borderId="26" xfId="0" applyFont="1" applyFill="1" applyBorder="1" applyAlignment="1">
      <alignment horizontal="centerContinuous" vertical="center"/>
    </xf>
    <xf numFmtId="0" fontId="57" fillId="5" borderId="34" xfId="0" applyFont="1" applyFill="1" applyBorder="1" applyAlignment="1">
      <alignment horizontal="center"/>
    </xf>
    <xf numFmtId="0" fontId="57" fillId="5" borderId="35" xfId="0" applyFont="1" applyFill="1" applyBorder="1" applyAlignment="1">
      <alignment/>
    </xf>
    <xf numFmtId="0" fontId="57" fillId="5" borderId="36" xfId="0" applyFont="1" applyFill="1" applyBorder="1" applyAlignment="1">
      <alignment/>
    </xf>
    <xf numFmtId="0" fontId="57" fillId="5" borderId="37" xfId="0" applyFont="1" applyFill="1" applyBorder="1" applyAlignment="1">
      <alignment horizontal="center"/>
    </xf>
    <xf numFmtId="0" fontId="57" fillId="5" borderId="38" xfId="0" applyFont="1" applyFill="1" applyBorder="1" applyAlignment="1">
      <alignment/>
    </xf>
    <xf numFmtId="0" fontId="57" fillId="5" borderId="7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7" fillId="6" borderId="23" xfId="0" applyFont="1" applyFill="1" applyBorder="1" applyAlignment="1" applyProtection="1">
      <alignment horizontal="centerContinuous" vertical="center" wrapText="1"/>
      <protection/>
    </xf>
    <xf numFmtId="0" fontId="25" fillId="6" borderId="24" xfId="0" applyFont="1" applyFill="1" applyBorder="1" applyAlignment="1">
      <alignment horizontal="centerContinuous"/>
    </xf>
    <xf numFmtId="0" fontId="27" fillId="6" borderId="26" xfId="0" applyFont="1" applyFill="1" applyBorder="1" applyAlignment="1">
      <alignment horizontal="centerContinuous" vertical="center"/>
    </xf>
    <xf numFmtId="0" fontId="57" fillId="6" borderId="34" xfId="0" applyFont="1" applyFill="1" applyBorder="1" applyAlignment="1">
      <alignment horizontal="center"/>
    </xf>
    <xf numFmtId="0" fontId="57" fillId="6" borderId="35" xfId="0" applyFont="1" applyFill="1" applyBorder="1" applyAlignment="1">
      <alignment/>
    </xf>
    <xf numFmtId="0" fontId="57" fillId="6" borderId="36" xfId="0" applyFont="1" applyFill="1" applyBorder="1" applyAlignment="1">
      <alignment/>
    </xf>
    <xf numFmtId="0" fontId="57" fillId="6" borderId="37" xfId="0" applyFont="1" applyFill="1" applyBorder="1" applyAlignment="1">
      <alignment horizontal="center"/>
    </xf>
    <xf numFmtId="0" fontId="57" fillId="6" borderId="38" xfId="0" applyFont="1" applyFill="1" applyBorder="1" applyAlignment="1">
      <alignment/>
    </xf>
    <xf numFmtId="0" fontId="57" fillId="6" borderId="7" xfId="0" applyFont="1" applyFill="1" applyBorder="1" applyAlignment="1">
      <alignment/>
    </xf>
    <xf numFmtId="0" fontId="27" fillId="5" borderId="23" xfId="0" applyFont="1" applyFill="1" applyBorder="1" applyAlignment="1">
      <alignment horizontal="center" vertical="center" wrapText="1"/>
    </xf>
    <xf numFmtId="0" fontId="27" fillId="7" borderId="23" xfId="0" applyFont="1" applyFill="1" applyBorder="1" applyAlignment="1">
      <alignment horizontal="center" vertical="center" wrapText="1"/>
    </xf>
    <xf numFmtId="0" fontId="57" fillId="7" borderId="6" xfId="0" applyFont="1" applyFill="1" applyBorder="1" applyAlignment="1">
      <alignment/>
    </xf>
    <xf numFmtId="0" fontId="57" fillId="7" borderId="3" xfId="0" applyFont="1" applyFill="1" applyBorder="1" applyAlignment="1">
      <alignment/>
    </xf>
    <xf numFmtId="0" fontId="54" fillId="8" borderId="23" xfId="0" applyFont="1" applyFill="1" applyBorder="1" applyAlignment="1">
      <alignment horizontal="center" vertical="center" wrapText="1"/>
    </xf>
    <xf numFmtId="0" fontId="55" fillId="8" borderId="6" xfId="0" applyFont="1" applyFill="1" applyBorder="1" applyAlignment="1">
      <alignment/>
    </xf>
    <xf numFmtId="0" fontId="55" fillId="8" borderId="3" xfId="0" applyFont="1" applyFill="1" applyBorder="1" applyAlignment="1">
      <alignment/>
    </xf>
    <xf numFmtId="2" fontId="53" fillId="3" borderId="23" xfId="0" applyNumberFormat="1" applyFont="1" applyFill="1" applyBorder="1" applyAlignment="1">
      <alignment horizontal="center"/>
    </xf>
    <xf numFmtId="2" fontId="53" fillId="4" borderId="23" xfId="0" applyNumberFormat="1" applyFont="1" applyFill="1" applyBorder="1" applyAlignment="1">
      <alignment horizontal="center"/>
    </xf>
    <xf numFmtId="168" fontId="58" fillId="5" borderId="23" xfId="0" applyNumberFormat="1" applyFont="1" applyFill="1" applyBorder="1" applyAlignment="1" applyProtection="1" quotePrefix="1">
      <alignment horizontal="center"/>
      <protection/>
    </xf>
    <xf numFmtId="4" fontId="58" fillId="5" borderId="23" xfId="0" applyNumberFormat="1" applyFont="1" applyFill="1" applyBorder="1" applyAlignment="1">
      <alignment horizontal="center"/>
    </xf>
    <xf numFmtId="168" fontId="58" fillId="6" borderId="23" xfId="0" applyNumberFormat="1" applyFont="1" applyFill="1" applyBorder="1" applyAlignment="1" applyProtection="1" quotePrefix="1">
      <alignment horizontal="center"/>
      <protection/>
    </xf>
    <xf numFmtId="4" fontId="58" fillId="6" borderId="23" xfId="0" applyNumberFormat="1" applyFont="1" applyFill="1" applyBorder="1" applyAlignment="1">
      <alignment horizontal="center"/>
    </xf>
    <xf numFmtId="168" fontId="58" fillId="7" borderId="23" xfId="0" applyNumberFormat="1" applyFont="1" applyFill="1" applyBorder="1" applyAlignment="1" applyProtection="1" quotePrefix="1">
      <alignment horizontal="center"/>
      <protection/>
    </xf>
    <xf numFmtId="4" fontId="53" fillId="8" borderId="23" xfId="0" applyNumberFormat="1" applyFont="1" applyFill="1" applyBorder="1" applyAlignment="1">
      <alignment horizontal="center"/>
    </xf>
    <xf numFmtId="0" fontId="54" fillId="8" borderId="23" xfId="0" applyFont="1" applyFill="1" applyBorder="1" applyAlignment="1" applyProtection="1">
      <alignment horizontal="center" vertical="center"/>
      <protection/>
    </xf>
    <xf numFmtId="0" fontId="53" fillId="8" borderId="6" xfId="0" applyFont="1" applyFill="1" applyBorder="1" applyAlignment="1">
      <alignment/>
    </xf>
    <xf numFmtId="0" fontId="53" fillId="8" borderId="3" xfId="0" applyFont="1" applyFill="1" applyBorder="1" applyAlignment="1">
      <alignment/>
    </xf>
    <xf numFmtId="4" fontId="53" fillId="8" borderId="3" xfId="0" applyNumberFormat="1" applyFont="1" applyFill="1" applyBorder="1" applyAlignment="1" applyProtection="1">
      <alignment horizontal="center"/>
      <protection/>
    </xf>
    <xf numFmtId="0" fontId="53" fillId="8" borderId="4" xfId="0" applyFont="1" applyFill="1" applyBorder="1" applyAlignment="1">
      <alignment/>
    </xf>
    <xf numFmtId="0" fontId="58" fillId="7" borderId="6" xfId="0" applyFont="1" applyFill="1" applyBorder="1" applyAlignment="1">
      <alignment/>
    </xf>
    <xf numFmtId="0" fontId="58" fillId="7" borderId="3" xfId="0" applyFont="1" applyFill="1" applyBorder="1" applyAlignment="1">
      <alignment/>
    </xf>
    <xf numFmtId="2" fontId="58" fillId="7" borderId="3" xfId="0" applyNumberFormat="1" applyFont="1" applyFill="1" applyBorder="1" applyAlignment="1">
      <alignment horizontal="center"/>
    </xf>
    <xf numFmtId="0" fontId="58" fillId="7" borderId="4" xfId="0" applyFont="1" applyFill="1" applyBorder="1" applyAlignment="1">
      <alignment/>
    </xf>
    <xf numFmtId="7" fontId="58" fillId="7" borderId="23" xfId="0" applyNumberFormat="1" applyFont="1" applyFill="1" applyBorder="1" applyAlignment="1">
      <alignment horizontal="center"/>
    </xf>
    <xf numFmtId="0" fontId="27" fillId="9" borderId="23" xfId="0" applyFont="1" applyFill="1" applyBorder="1" applyAlignment="1">
      <alignment horizontal="center" vertical="center" wrapText="1"/>
    </xf>
    <xf numFmtId="0" fontId="58" fillId="9" borderId="6" xfId="0" applyFont="1" applyFill="1" applyBorder="1" applyAlignment="1">
      <alignment/>
    </xf>
    <xf numFmtId="0" fontId="58" fillId="9" borderId="3" xfId="0" applyFont="1" applyFill="1" applyBorder="1" applyAlignment="1">
      <alignment/>
    </xf>
    <xf numFmtId="2" fontId="58" fillId="9" borderId="3" xfId="0" applyNumberFormat="1" applyFont="1" applyFill="1" applyBorder="1" applyAlignment="1">
      <alignment horizontal="center"/>
    </xf>
    <xf numFmtId="0" fontId="58" fillId="9" borderId="4" xfId="0" applyFont="1" applyFill="1" applyBorder="1" applyAlignment="1">
      <alignment/>
    </xf>
    <xf numFmtId="7" fontId="58" fillId="9" borderId="23" xfId="0" applyNumberFormat="1" applyFont="1" applyFill="1" applyBorder="1" applyAlignment="1">
      <alignment horizontal="center"/>
    </xf>
    <xf numFmtId="0" fontId="54" fillId="10" borderId="25" xfId="0" applyFont="1" applyFill="1" applyBorder="1" applyAlignment="1" applyProtection="1">
      <alignment horizontal="centerContinuous" vertical="center" wrapText="1"/>
      <protection/>
    </xf>
    <xf numFmtId="0" fontId="54" fillId="10" borderId="26" xfId="0" applyFont="1" applyFill="1" applyBorder="1" applyAlignment="1">
      <alignment horizontal="centerContinuous" vertical="center"/>
    </xf>
    <xf numFmtId="0" fontId="53" fillId="10" borderId="34" xfId="0" applyFont="1" applyFill="1" applyBorder="1" applyAlignment="1">
      <alignment horizontal="center"/>
    </xf>
    <xf numFmtId="0" fontId="53" fillId="10" borderId="36" xfId="0" applyFont="1" applyFill="1" applyBorder="1" applyAlignment="1">
      <alignment/>
    </xf>
    <xf numFmtId="0" fontId="53" fillId="10" borderId="37" xfId="0" applyFont="1" applyFill="1" applyBorder="1" applyAlignment="1">
      <alignment horizontal="center"/>
    </xf>
    <xf numFmtId="0" fontId="53" fillId="10" borderId="7" xfId="0" applyFont="1" applyFill="1" applyBorder="1" applyAlignment="1">
      <alignment/>
    </xf>
    <xf numFmtId="168" fontId="53" fillId="10" borderId="37" xfId="0" applyNumberFormat="1" applyFont="1" applyFill="1" applyBorder="1" applyAlignment="1" applyProtection="1" quotePrefix="1">
      <alignment horizontal="center"/>
      <protection/>
    </xf>
    <xf numFmtId="168" fontId="53" fillId="10" borderId="10" xfId="0" applyNumberFormat="1" applyFont="1" applyFill="1" applyBorder="1" applyAlignment="1" applyProtection="1" quotePrefix="1">
      <alignment horizontal="center"/>
      <protection/>
    </xf>
    <xf numFmtId="7" fontId="53" fillId="10" borderId="23" xfId="0" applyNumberFormat="1" applyFont="1" applyFill="1" applyBorder="1" applyAlignment="1">
      <alignment horizontal="center"/>
    </xf>
    <xf numFmtId="0" fontId="54" fillId="3" borderId="25" xfId="0" applyFont="1" applyFill="1" applyBorder="1" applyAlignment="1" applyProtection="1">
      <alignment horizontal="centerContinuous" vertical="center" wrapText="1"/>
      <protection/>
    </xf>
    <xf numFmtId="0" fontId="54" fillId="3" borderId="26" xfId="0" applyFont="1" applyFill="1" applyBorder="1" applyAlignment="1">
      <alignment horizontal="centerContinuous" vertical="center"/>
    </xf>
    <xf numFmtId="0" fontId="53" fillId="3" borderId="34" xfId="0" applyFont="1" applyFill="1" applyBorder="1" applyAlignment="1">
      <alignment horizontal="center"/>
    </xf>
    <xf numFmtId="0" fontId="53" fillId="3" borderId="36" xfId="0" applyFont="1" applyFill="1" applyBorder="1" applyAlignment="1">
      <alignment/>
    </xf>
    <xf numFmtId="0" fontId="53" fillId="3" borderId="37" xfId="0" applyFont="1" applyFill="1" applyBorder="1" applyAlignment="1">
      <alignment horizontal="center"/>
    </xf>
    <xf numFmtId="0" fontId="53" fillId="3" borderId="7" xfId="0" applyFont="1" applyFill="1" applyBorder="1" applyAlignment="1">
      <alignment/>
    </xf>
    <xf numFmtId="168" fontId="53" fillId="3" borderId="37" xfId="0" applyNumberFormat="1" applyFont="1" applyFill="1" applyBorder="1" applyAlignment="1" applyProtection="1" quotePrefix="1">
      <alignment horizontal="center"/>
      <protection/>
    </xf>
    <xf numFmtId="168" fontId="53" fillId="3" borderId="10" xfId="0" applyNumberFormat="1" applyFont="1" applyFill="1" applyBorder="1" applyAlignment="1" applyProtection="1" quotePrefix="1">
      <alignment horizontal="center"/>
      <protection/>
    </xf>
    <xf numFmtId="7" fontId="53" fillId="3" borderId="23" xfId="0" applyNumberFormat="1" applyFont="1" applyFill="1" applyBorder="1" applyAlignment="1">
      <alignment horizontal="center"/>
    </xf>
    <xf numFmtId="0" fontId="50" fillId="5" borderId="23" xfId="0" applyFont="1" applyFill="1" applyBorder="1" applyAlignment="1">
      <alignment horizontal="center" vertical="center" wrapText="1"/>
    </xf>
    <xf numFmtId="0" fontId="51" fillId="5" borderId="6" xfId="0" applyFont="1" applyFill="1" applyBorder="1" applyAlignment="1">
      <alignment/>
    </xf>
    <xf numFmtId="0" fontId="51" fillId="5" borderId="3" xfId="0" applyFont="1" applyFill="1" applyBorder="1" applyAlignment="1">
      <alignment/>
    </xf>
    <xf numFmtId="168" fontId="51" fillId="5" borderId="3" xfId="0" applyNumberFormat="1" applyFont="1" applyFill="1" applyBorder="1" applyAlignment="1" applyProtection="1" quotePrefix="1">
      <alignment horizontal="center"/>
      <protection/>
    </xf>
    <xf numFmtId="0" fontId="51" fillId="5" borderId="4" xfId="0" applyFont="1" applyFill="1" applyBorder="1" applyAlignment="1">
      <alignment/>
    </xf>
    <xf numFmtId="7" fontId="51" fillId="5" borderId="23" xfId="0" applyNumberFormat="1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 vertical="center" wrapText="1"/>
    </xf>
    <xf numFmtId="0" fontId="58" fillId="6" borderId="6" xfId="0" applyFont="1" applyFill="1" applyBorder="1" applyAlignment="1">
      <alignment/>
    </xf>
    <xf numFmtId="0" fontId="58" fillId="6" borderId="3" xfId="0" applyFont="1" applyFill="1" applyBorder="1" applyAlignment="1">
      <alignment/>
    </xf>
    <xf numFmtId="168" fontId="58" fillId="6" borderId="3" xfId="0" applyNumberFormat="1" applyFont="1" applyFill="1" applyBorder="1" applyAlignment="1" applyProtection="1" quotePrefix="1">
      <alignment horizontal="center"/>
      <protection/>
    </xf>
    <xf numFmtId="0" fontId="58" fillId="6" borderId="4" xfId="0" applyFont="1" applyFill="1" applyBorder="1" applyAlignment="1">
      <alignment/>
    </xf>
    <xf numFmtId="7" fontId="58" fillId="6" borderId="23" xfId="0" applyNumberFormat="1" applyFont="1" applyFill="1" applyBorder="1" applyAlignment="1">
      <alignment horizontal="center"/>
    </xf>
    <xf numFmtId="0" fontId="53" fillId="10" borderId="39" xfId="0" applyFont="1" applyFill="1" applyBorder="1" applyAlignment="1">
      <alignment/>
    </xf>
    <xf numFmtId="0" fontId="53" fillId="10" borderId="40" xfId="0" applyFont="1" applyFill="1" applyBorder="1" applyAlignment="1">
      <alignment/>
    </xf>
    <xf numFmtId="0" fontId="53" fillId="3" borderId="39" xfId="0" applyFont="1" applyFill="1" applyBorder="1" applyAlignment="1">
      <alignment/>
    </xf>
    <xf numFmtId="0" fontId="53" fillId="3" borderId="40" xfId="0" applyFont="1" applyFill="1" applyBorder="1" applyAlignment="1">
      <alignment/>
    </xf>
    <xf numFmtId="0" fontId="59" fillId="0" borderId="11" xfId="0" applyFont="1" applyBorder="1" applyAlignment="1">
      <alignment/>
    </xf>
    <xf numFmtId="0" fontId="54" fillId="6" borderId="23" xfId="0" applyFont="1" applyFill="1" applyBorder="1" applyAlignment="1" applyProtection="1">
      <alignment horizontal="center" vertical="center"/>
      <protection/>
    </xf>
    <xf numFmtId="164" fontId="53" fillId="6" borderId="3" xfId="0" applyNumberFormat="1" applyFont="1" applyFill="1" applyBorder="1" applyAlignment="1" applyProtection="1">
      <alignment horizontal="center"/>
      <protection/>
    </xf>
    <xf numFmtId="168" fontId="7" fillId="0" borderId="36" xfId="0" applyNumberFormat="1" applyFont="1" applyFill="1" applyBorder="1" applyAlignment="1" applyProtection="1">
      <alignment horizontal="center"/>
      <protection/>
    </xf>
    <xf numFmtId="164" fontId="53" fillId="6" borderId="6" xfId="0" applyNumberFormat="1" applyFont="1" applyFill="1" applyBorder="1" applyAlignment="1" applyProtection="1">
      <alignment horizontal="center"/>
      <protection/>
    </xf>
    <xf numFmtId="168" fontId="10" fillId="0" borderId="6" xfId="0" applyNumberFormat="1" applyFont="1" applyFill="1" applyBorder="1" applyAlignment="1">
      <alignment horizontal="center"/>
    </xf>
    <xf numFmtId="2" fontId="58" fillId="5" borderId="6" xfId="0" applyNumberFormat="1" applyFont="1" applyFill="1" applyBorder="1" applyAlignment="1">
      <alignment horizontal="center"/>
    </xf>
    <xf numFmtId="2" fontId="58" fillId="5" borderId="3" xfId="0" applyNumberFormat="1" applyFont="1" applyFill="1" applyBorder="1" applyAlignment="1">
      <alignment horizontal="center"/>
    </xf>
    <xf numFmtId="168" fontId="53" fillId="3" borderId="34" xfId="0" applyNumberFormat="1" applyFont="1" applyFill="1" applyBorder="1" applyAlignment="1" applyProtection="1" quotePrefix="1">
      <alignment horizontal="center"/>
      <protection/>
    </xf>
    <xf numFmtId="168" fontId="53" fillId="3" borderId="41" xfId="0" applyNumberFormat="1" applyFont="1" applyFill="1" applyBorder="1" applyAlignment="1" applyProtection="1" quotePrefix="1">
      <alignment horizontal="center"/>
      <protection/>
    </xf>
    <xf numFmtId="168" fontId="7" fillId="0" borderId="6" xfId="0" applyNumberFormat="1" applyFont="1" applyFill="1" applyBorder="1" applyAlignment="1" applyProtection="1">
      <alignment horizontal="center"/>
      <protection/>
    </xf>
    <xf numFmtId="0" fontId="54" fillId="8" borderId="23" xfId="0" applyFont="1" applyFill="1" applyBorder="1" applyAlignment="1" applyProtection="1">
      <alignment horizontal="centerContinuous" vertical="center" wrapText="1"/>
      <protection/>
    </xf>
    <xf numFmtId="168" fontId="53" fillId="8" borderId="6" xfId="0" applyNumberFormat="1" applyFont="1" applyFill="1" applyBorder="1" applyAlignment="1" applyProtection="1" quotePrefix="1">
      <alignment horizontal="center"/>
      <protection/>
    </xf>
    <xf numFmtId="168" fontId="53" fillId="8" borderId="3" xfId="0" applyNumberFormat="1" applyFont="1" applyFill="1" applyBorder="1" applyAlignment="1" applyProtection="1" quotePrefix="1">
      <alignment horizontal="center"/>
      <protection/>
    </xf>
    <xf numFmtId="2" fontId="58" fillId="5" borderId="23" xfId="0" applyNumberFormat="1" applyFont="1" applyFill="1" applyBorder="1" applyAlignment="1">
      <alignment horizontal="center"/>
    </xf>
    <xf numFmtId="2" fontId="53" fillId="8" borderId="23" xfId="0" applyNumberFormat="1" applyFont="1" applyFill="1" applyBorder="1" applyAlignment="1">
      <alignment horizontal="center"/>
    </xf>
    <xf numFmtId="0" fontId="60" fillId="2" borderId="31" xfId="0" applyFont="1" applyFill="1" applyBorder="1" applyAlignment="1">
      <alignment horizontal="center"/>
    </xf>
    <xf numFmtId="168" fontId="60" fillId="2" borderId="9" xfId="0" applyNumberFormat="1" applyFont="1" applyFill="1" applyBorder="1" applyAlignment="1" applyProtection="1">
      <alignment horizontal="center"/>
      <protection/>
    </xf>
    <xf numFmtId="168" fontId="60" fillId="2" borderId="3" xfId="0" applyNumberFormat="1" applyFont="1" applyFill="1" applyBorder="1" applyAlignment="1" applyProtection="1">
      <alignment horizontal="center"/>
      <protection/>
    </xf>
    <xf numFmtId="168" fontId="60" fillId="2" borderId="4" xfId="0" applyNumberFormat="1" applyFont="1" applyFill="1" applyBorder="1" applyAlignment="1" applyProtection="1">
      <alignment horizontal="center"/>
      <protection/>
    </xf>
    <xf numFmtId="164" fontId="56" fillId="8" borderId="9" xfId="0" applyNumberFormat="1" applyFont="1" applyFill="1" applyBorder="1" applyAlignment="1" applyProtection="1">
      <alignment horizontal="center"/>
      <protection/>
    </xf>
    <xf numFmtId="2" fontId="58" fillId="9" borderId="9" xfId="0" applyNumberFormat="1" applyFont="1" applyFill="1" applyBorder="1" applyAlignment="1">
      <alignment horizontal="center"/>
    </xf>
    <xf numFmtId="4" fontId="58" fillId="9" borderId="23" xfId="0" applyNumberFormat="1" applyFont="1" applyFill="1" applyBorder="1" applyAlignment="1">
      <alignment horizontal="center"/>
    </xf>
    <xf numFmtId="0" fontId="56" fillId="8" borderId="6" xfId="0" applyFont="1" applyFill="1" applyBorder="1" applyAlignment="1">
      <alignment horizontal="center"/>
    </xf>
    <xf numFmtId="0" fontId="58" fillId="9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168" fontId="58" fillId="6" borderId="34" xfId="0" applyNumberFormat="1" applyFont="1" applyFill="1" applyBorder="1" applyAlignment="1" applyProtection="1" quotePrefix="1">
      <alignment horizontal="center"/>
      <protection/>
    </xf>
    <xf numFmtId="168" fontId="58" fillId="6" borderId="20" xfId="0" applyNumberFormat="1" applyFont="1" applyFill="1" applyBorder="1" applyAlignment="1" applyProtection="1" quotePrefix="1">
      <alignment horizontal="center"/>
      <protection/>
    </xf>
    <xf numFmtId="4" fontId="58" fillId="6" borderId="23" xfId="0" applyNumberFormat="1" applyFont="1" applyFill="1" applyBorder="1" applyAlignment="1">
      <alignment horizontal="center"/>
    </xf>
    <xf numFmtId="4" fontId="58" fillId="6" borderId="28" xfId="0" applyNumberFormat="1" applyFont="1" applyFill="1" applyBorder="1" applyAlignment="1">
      <alignment horizontal="center"/>
    </xf>
    <xf numFmtId="0" fontId="27" fillId="6" borderId="25" xfId="0" applyFont="1" applyFill="1" applyBorder="1" applyAlignment="1" applyProtection="1">
      <alignment horizontal="centerContinuous" vertical="center" wrapText="1"/>
      <protection/>
    </xf>
    <xf numFmtId="168" fontId="58" fillId="6" borderId="41" xfId="0" applyNumberFormat="1" applyFont="1" applyFill="1" applyBorder="1" applyAlignment="1" applyProtection="1" quotePrefix="1">
      <alignment horizontal="center"/>
      <protection/>
    </xf>
    <xf numFmtId="168" fontId="58" fillId="6" borderId="42" xfId="0" applyNumberFormat="1" applyFont="1" applyFill="1" applyBorder="1" applyAlignment="1" applyProtection="1" quotePrefix="1">
      <alignment horizontal="center"/>
      <protection/>
    </xf>
    <xf numFmtId="168" fontId="7" fillId="0" borderId="6" xfId="0" applyNumberFormat="1" applyFont="1" applyBorder="1" applyAlignment="1" applyProtection="1">
      <alignment horizontal="center"/>
      <protection/>
    </xf>
    <xf numFmtId="0" fontId="61" fillId="2" borderId="6" xfId="0" applyFont="1" applyFill="1" applyBorder="1" applyAlignment="1">
      <alignment/>
    </xf>
    <xf numFmtId="0" fontId="61" fillId="2" borderId="3" xfId="0" applyFont="1" applyFill="1" applyBorder="1" applyAlignment="1">
      <alignment/>
    </xf>
    <xf numFmtId="168" fontId="60" fillId="2" borderId="3" xfId="0" applyNumberFormat="1" applyFont="1" applyFill="1" applyBorder="1" applyAlignment="1" applyProtection="1">
      <alignment horizontal="center"/>
      <protection/>
    </xf>
    <xf numFmtId="168" fontId="60" fillId="2" borderId="4" xfId="0" applyNumberFormat="1" applyFont="1" applyFill="1" applyBorder="1" applyAlignment="1" applyProtection="1">
      <alignment horizontal="center"/>
      <protection/>
    </xf>
    <xf numFmtId="2" fontId="7" fillId="0" borderId="2" xfId="0" applyNumberFormat="1" applyFont="1" applyFill="1" applyBorder="1" applyAlignment="1">
      <alignment/>
    </xf>
    <xf numFmtId="168" fontId="58" fillId="5" borderId="6" xfId="0" applyNumberFormat="1" applyFont="1" applyFill="1" applyBorder="1" applyAlignment="1" applyProtection="1" quotePrefix="1">
      <alignment horizontal="center"/>
      <protection/>
    </xf>
    <xf numFmtId="168" fontId="58" fillId="5" borderId="9" xfId="0" applyNumberFormat="1" applyFont="1" applyFill="1" applyBorder="1" applyAlignment="1" applyProtection="1" quotePrefix="1">
      <alignment horizontal="center"/>
      <protection/>
    </xf>
    <xf numFmtId="4" fontId="58" fillId="5" borderId="28" xfId="0" applyNumberFormat="1" applyFont="1" applyFill="1" applyBorder="1" applyAlignment="1">
      <alignment horizontal="center"/>
    </xf>
    <xf numFmtId="173" fontId="0" fillId="0" borderId="26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0" fontId="59" fillId="0" borderId="12" xfId="0" applyFont="1" applyBorder="1" applyAlignment="1">
      <alignment/>
    </xf>
    <xf numFmtId="0" fontId="0" fillId="0" borderId="17" xfId="0" applyBorder="1" applyAlignment="1">
      <alignment horizontal="center"/>
    </xf>
    <xf numFmtId="7" fontId="0" fillId="0" borderId="6" xfId="0" applyNumberFormat="1" applyBorder="1" applyAlignment="1">
      <alignment/>
    </xf>
    <xf numFmtId="0" fontId="62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2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43" xfId="0" applyFont="1" applyBorder="1" applyAlignment="1" applyProtection="1">
      <alignment horizontal="left"/>
      <protection/>
    </xf>
    <xf numFmtId="171" fontId="0" fillId="0" borderId="44" xfId="0" applyNumberFormat="1" applyFont="1" applyBorder="1" applyAlignment="1" applyProtection="1">
      <alignment horizontal="centerContinuous"/>
      <protection/>
    </xf>
    <xf numFmtId="0" fontId="10" fillId="0" borderId="45" xfId="0" applyFont="1" applyBorder="1" applyAlignment="1">
      <alignment horizontal="centerContinuous"/>
    </xf>
    <xf numFmtId="0" fontId="10" fillId="0" borderId="46" xfId="0" applyFont="1" applyFill="1" applyBorder="1" applyAlignment="1">
      <alignment/>
    </xf>
    <xf numFmtId="0" fontId="10" fillId="0" borderId="47" xfId="0" applyFont="1" applyBorder="1" applyAlignment="1" applyProtection="1">
      <alignment horizontal="right"/>
      <protection/>
    </xf>
    <xf numFmtId="173" fontId="10" fillId="0" borderId="48" xfId="0" applyNumberFormat="1" applyFont="1" applyBorder="1" applyAlignment="1">
      <alignment horizontal="center"/>
    </xf>
    <xf numFmtId="0" fontId="0" fillId="0" borderId="49" xfId="0" applyFont="1" applyBorder="1" applyAlignment="1">
      <alignment/>
    </xf>
    <xf numFmtId="171" fontId="25" fillId="0" borderId="50" xfId="0" applyNumberFormat="1" applyFont="1" applyBorder="1" applyAlignment="1">
      <alignment horizontal="centerContinuous"/>
    </xf>
    <xf numFmtId="0" fontId="10" fillId="0" borderId="51" xfId="0" applyFont="1" applyBorder="1" applyAlignment="1">
      <alignment horizontal="centerContinuous"/>
    </xf>
    <xf numFmtId="0" fontId="10" fillId="0" borderId="52" xfId="0" applyFont="1" applyFill="1" applyBorder="1" applyAlignment="1">
      <alignment/>
    </xf>
    <xf numFmtId="168" fontId="10" fillId="0" borderId="53" xfId="0" applyNumberFormat="1" applyFont="1" applyBorder="1" applyAlignment="1" applyProtection="1">
      <alignment horizontal="right"/>
      <protection/>
    </xf>
    <xf numFmtId="171" fontId="10" fillId="0" borderId="54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55" xfId="0" applyFont="1" applyBorder="1" applyAlignment="1">
      <alignment horizontal="left"/>
    </xf>
    <xf numFmtId="171" fontId="25" fillId="0" borderId="53" xfId="0" applyNumberFormat="1" applyFont="1" applyBorder="1" applyAlignment="1">
      <alignment horizontal="centerContinuous"/>
    </xf>
    <xf numFmtId="0" fontId="10" fillId="0" borderId="56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57" xfId="0" applyNumberFormat="1" applyFont="1" applyBorder="1" applyAlignment="1">
      <alignment horizontal="center"/>
    </xf>
    <xf numFmtId="0" fontId="8" fillId="0" borderId="25" xfId="0" applyFont="1" applyBorder="1" applyAlignment="1" applyProtection="1">
      <alignment horizontal="center"/>
      <protection/>
    </xf>
    <xf numFmtId="0" fontId="10" fillId="0" borderId="58" xfId="0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 horizontal="center"/>
      <protection/>
    </xf>
    <xf numFmtId="2" fontId="10" fillId="0" borderId="50" xfId="0" applyNumberFormat="1" applyFont="1" applyBorder="1" applyAlignment="1" applyProtection="1">
      <alignment horizontal="center"/>
      <protection/>
    </xf>
    <xf numFmtId="168" fontId="10" fillId="0" borderId="50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 horizontal="centerContinuous"/>
    </xf>
    <xf numFmtId="0" fontId="0" fillId="0" borderId="50" xfId="0" applyBorder="1" applyAlignment="1">
      <alignment/>
    </xf>
    <xf numFmtId="7" fontId="19" fillId="0" borderId="59" xfId="0" applyNumberFormat="1" applyFont="1" applyBorder="1" applyAlignment="1">
      <alignment horizontal="center"/>
    </xf>
    <xf numFmtId="0" fontId="10" fillId="0" borderId="60" xfId="0" applyFont="1" applyBorder="1" applyAlignment="1" applyProtection="1">
      <alignment horizontal="center"/>
      <protection/>
    </xf>
    <xf numFmtId="0" fontId="10" fillId="0" borderId="61" xfId="0" applyFont="1" applyBorder="1" applyAlignment="1" applyProtection="1">
      <alignment horizontal="center"/>
      <protection/>
    </xf>
    <xf numFmtId="2" fontId="10" fillId="0" borderId="61" xfId="0" applyNumberFormat="1" applyFont="1" applyBorder="1" applyAlignment="1" applyProtection="1">
      <alignment horizontal="center"/>
      <protection/>
    </xf>
    <xf numFmtId="168" fontId="10" fillId="0" borderId="61" xfId="0" applyNumberFormat="1" applyFont="1" applyBorder="1" applyAlignment="1" applyProtection="1">
      <alignment horizontal="center"/>
      <protection/>
    </xf>
    <xf numFmtId="7" fontId="10" fillId="0" borderId="61" xfId="0" applyNumberFormat="1" applyFont="1" applyBorder="1" applyAlignment="1" applyProtection="1">
      <alignment horizontal="center"/>
      <protection/>
    </xf>
    <xf numFmtId="7" fontId="10" fillId="0" borderId="61" xfId="0" applyNumberFormat="1" applyFont="1" applyBorder="1" applyAlignment="1" applyProtection="1">
      <alignment horizontal="centerContinuous"/>
      <protection/>
    </xf>
    <xf numFmtId="0" fontId="10" fillId="0" borderId="61" xfId="0" applyFont="1" applyBorder="1" applyAlignment="1" applyProtection="1">
      <alignment horizontal="centerContinuous"/>
      <protection/>
    </xf>
    <xf numFmtId="0" fontId="10" fillId="0" borderId="61" xfId="0" applyFont="1" applyBorder="1" applyAlignment="1" applyProtection="1">
      <alignment horizontal="right"/>
      <protection/>
    </xf>
    <xf numFmtId="7" fontId="10" fillId="0" borderId="62" xfId="0" applyNumberFormat="1" applyFont="1" applyBorder="1" applyAlignment="1" applyProtection="1">
      <alignment horizontal="center"/>
      <protection/>
    </xf>
    <xf numFmtId="0" fontId="10" fillId="0" borderId="63" xfId="0" applyFont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horizontal="center"/>
      <protection/>
    </xf>
    <xf numFmtId="2" fontId="10" fillId="0" borderId="57" xfId="0" applyNumberFormat="1" applyFont="1" applyBorder="1" applyAlignment="1" applyProtection="1">
      <alignment horizontal="center"/>
      <protection/>
    </xf>
    <xf numFmtId="168" fontId="10" fillId="0" borderId="57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 applyProtection="1">
      <alignment horizontal="centerContinuous"/>
      <protection/>
    </xf>
    <xf numFmtId="0" fontId="10" fillId="0" borderId="57" xfId="0" applyFont="1" applyBorder="1" applyAlignment="1" applyProtection="1">
      <alignment horizontal="centerContinuous"/>
      <protection/>
    </xf>
    <xf numFmtId="0" fontId="10" fillId="0" borderId="57" xfId="0" applyFont="1" applyBorder="1" applyAlignment="1" applyProtection="1">
      <alignment horizontal="right"/>
      <protection/>
    </xf>
    <xf numFmtId="7" fontId="10" fillId="0" borderId="64" xfId="0" applyNumberFormat="1" applyFont="1" applyBorder="1" applyAlignment="1" applyProtection="1">
      <alignment horizontal="center"/>
      <protection/>
    </xf>
    <xf numFmtId="7" fontId="10" fillId="0" borderId="59" xfId="0" applyNumberFormat="1" applyFont="1" applyBorder="1" applyAlignment="1" applyProtection="1">
      <alignment horizontal="center"/>
      <protection/>
    </xf>
    <xf numFmtId="0" fontId="0" fillId="0" borderId="58" xfId="0" applyBorder="1" applyAlignment="1">
      <alignment horizontal="centerContinuous"/>
    </xf>
    <xf numFmtId="0" fontId="10" fillId="0" borderId="50" xfId="0" applyFont="1" applyBorder="1" applyAlignment="1" applyProtection="1">
      <alignment horizontal="centerContinuous"/>
      <protection/>
    </xf>
    <xf numFmtId="0" fontId="0" fillId="0" borderId="50" xfId="0" applyBorder="1" applyAlignment="1">
      <alignment horizontal="center"/>
    </xf>
    <xf numFmtId="168" fontId="10" fillId="0" borderId="58" xfId="0" applyNumberFormat="1" applyFont="1" applyBorder="1" applyAlignment="1" applyProtection="1">
      <alignment horizontal="centerContinuous"/>
      <protection/>
    </xf>
    <xf numFmtId="2" fontId="22" fillId="0" borderId="65" xfId="0" applyNumberFormat="1" applyFont="1" applyBorder="1" applyAlignment="1">
      <alignment horizontal="centerContinuous"/>
    </xf>
    <xf numFmtId="7" fontId="10" fillId="0" borderId="60" xfId="0" applyNumberFormat="1" applyFont="1" applyBorder="1" applyAlignment="1">
      <alignment horizontal="centerContinuous"/>
    </xf>
    <xf numFmtId="168" fontId="10" fillId="0" borderId="61" xfId="0" applyNumberFormat="1" applyFont="1" applyBorder="1" applyAlignment="1" applyProtection="1" quotePrefix="1">
      <alignment horizontal="center"/>
      <protection/>
    </xf>
    <xf numFmtId="7" fontId="10" fillId="0" borderId="60" xfId="0" applyNumberFormat="1" applyFont="1" applyBorder="1" applyAlignment="1" applyProtection="1">
      <alignment horizontal="centerContinuous"/>
      <protection/>
    </xf>
    <xf numFmtId="2" fontId="22" fillId="0" borderId="66" xfId="0" applyNumberFormat="1" applyFont="1" applyBorder="1" applyAlignment="1">
      <alignment horizontal="centerContinuous"/>
    </xf>
    <xf numFmtId="0" fontId="10" fillId="0" borderId="67" xfId="0" applyFont="1" applyBorder="1" applyAlignment="1" applyProtection="1">
      <alignment horizontal="center"/>
      <protection/>
    </xf>
    <xf numFmtId="7" fontId="10" fillId="0" borderId="68" xfId="0" applyNumberFormat="1" applyFont="1" applyBorder="1" applyAlignment="1" applyProtection="1">
      <alignment horizontal="center"/>
      <protection/>
    </xf>
    <xf numFmtId="7" fontId="10" fillId="0" borderId="67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67" xfId="0" applyNumberFormat="1" applyFont="1" applyBorder="1" applyAlignment="1" applyProtection="1">
      <alignment horizontal="centerContinuous"/>
      <protection/>
    </xf>
    <xf numFmtId="2" fontId="22" fillId="0" borderId="69" xfId="0" applyNumberFormat="1" applyFont="1" applyBorder="1" applyAlignment="1">
      <alignment horizontal="centerContinuous"/>
    </xf>
    <xf numFmtId="7" fontId="10" fillId="0" borderId="63" xfId="0" applyNumberFormat="1" applyFont="1" applyBorder="1" applyAlignment="1">
      <alignment horizontal="centerContinuous"/>
    </xf>
    <xf numFmtId="168" fontId="10" fillId="0" borderId="57" xfId="0" applyNumberFormat="1" applyFont="1" applyBorder="1" applyAlignment="1" applyProtection="1" quotePrefix="1">
      <alignment horizontal="center"/>
      <protection/>
    </xf>
    <xf numFmtId="7" fontId="10" fillId="0" borderId="63" xfId="0" applyNumberFormat="1" applyFont="1" applyBorder="1" applyAlignment="1" applyProtection="1">
      <alignment horizontal="centerContinuous"/>
      <protection/>
    </xf>
    <xf numFmtId="2" fontId="22" fillId="0" borderId="38" xfId="0" applyNumberFormat="1" applyFont="1" applyBorder="1" applyAlignment="1">
      <alignment horizontal="centerContinuous"/>
    </xf>
    <xf numFmtId="7" fontId="10" fillId="0" borderId="58" xfId="0" applyNumberFormat="1" applyFont="1" applyBorder="1" applyAlignment="1" applyProtection="1">
      <alignment horizontal="centerContinuous"/>
      <protection/>
    </xf>
    <xf numFmtId="5" fontId="8" fillId="0" borderId="25" xfId="0" applyNumberFormat="1" applyFont="1" applyBorder="1" applyAlignment="1" applyProtection="1">
      <alignment horizontal="center"/>
      <protection/>
    </xf>
    <xf numFmtId="7" fontId="8" fillId="0" borderId="26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6" fillId="0" borderId="26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26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50" xfId="0" applyNumberFormat="1" applyFont="1" applyBorder="1" applyAlignment="1" applyProtection="1">
      <alignment horizontal="centerContinuous"/>
      <protection/>
    </xf>
    <xf numFmtId="2" fontId="10" fillId="0" borderId="65" xfId="0" applyNumberFormat="1" applyFont="1" applyBorder="1" applyAlignment="1" applyProtection="1">
      <alignment horizontal="centerContinuous"/>
      <protection/>
    </xf>
    <xf numFmtId="2" fontId="10" fillId="0" borderId="61" xfId="0" applyNumberFormat="1" applyFont="1" applyBorder="1" applyAlignment="1" applyProtection="1">
      <alignment horizontal="centerContinuous"/>
      <protection/>
    </xf>
    <xf numFmtId="2" fontId="10" fillId="0" borderId="66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69" xfId="0" applyNumberFormat="1" applyFont="1" applyBorder="1" applyAlignment="1" applyProtection="1">
      <alignment horizontal="centerContinuous"/>
      <protection/>
    </xf>
    <xf numFmtId="2" fontId="10" fillId="0" borderId="57" xfId="0" applyNumberFormat="1" applyFont="1" applyBorder="1" applyAlignment="1" applyProtection="1">
      <alignment horizontal="centerContinuous"/>
      <protection/>
    </xf>
    <xf numFmtId="2" fontId="10" fillId="0" borderId="38" xfId="0" applyNumberFormat="1" applyFont="1" applyBorder="1" applyAlignment="1" applyProtection="1">
      <alignment horizontal="centerContinuous"/>
      <protection/>
    </xf>
    <xf numFmtId="0" fontId="62" fillId="0" borderId="0" xfId="0" applyFont="1" applyFill="1" applyAlignment="1">
      <alignment horizontal="right" vertical="top"/>
    </xf>
    <xf numFmtId="0" fontId="0" fillId="0" borderId="25" xfId="0" applyFont="1" applyBorder="1" applyAlignment="1" applyProtection="1">
      <alignment horizontal="center" vertical="center"/>
      <protection/>
    </xf>
    <xf numFmtId="173" fontId="0" fillId="0" borderId="25" xfId="0" applyNumberFormat="1" applyFont="1" applyBorder="1" applyAlignment="1">
      <alignment horizontal="centerContinuous" vertical="center"/>
    </xf>
    <xf numFmtId="0" fontId="1" fillId="0" borderId="26" xfId="0" applyFont="1" applyBorder="1" applyAlignment="1" applyProtection="1">
      <alignment horizontal="centerContinuous" vertical="center"/>
      <protection/>
    </xf>
    <xf numFmtId="167" fontId="0" fillId="0" borderId="26" xfId="0" applyNumberFormat="1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2" fontId="7" fillId="0" borderId="42" xfId="0" applyNumberFormat="1" applyFont="1" applyBorder="1" applyAlignment="1" applyProtection="1">
      <alignment horizontal="center"/>
      <protection locked="0"/>
    </xf>
    <xf numFmtId="0" fontId="7" fillId="0" borderId="70" xfId="0" applyFont="1" applyBorder="1" applyAlignment="1" applyProtection="1">
      <alignment/>
      <protection locked="0"/>
    </xf>
    <xf numFmtId="0" fontId="7" fillId="0" borderId="71" xfId="0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22" fontId="7" fillId="0" borderId="3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168" fontId="53" fillId="3" borderId="4" xfId="0" applyNumberFormat="1" applyFont="1" applyFill="1" applyBorder="1" applyAlignment="1" applyProtection="1" quotePrefix="1">
      <alignment horizontal="center"/>
      <protection locked="0"/>
    </xf>
    <xf numFmtId="168" fontId="53" fillId="4" borderId="4" xfId="0" applyNumberFormat="1" applyFont="1" applyFill="1" applyBorder="1" applyAlignment="1" applyProtection="1" quotePrefix="1">
      <alignment horizontal="center"/>
      <protection locked="0"/>
    </xf>
    <xf numFmtId="168" fontId="58" fillId="5" borderId="39" xfId="0" applyNumberFormat="1" applyFont="1" applyFill="1" applyBorder="1" applyAlignment="1" applyProtection="1" quotePrefix="1">
      <alignment horizontal="center"/>
      <protection locked="0"/>
    </xf>
    <xf numFmtId="4" fontId="58" fillId="5" borderId="72" xfId="0" applyNumberFormat="1" applyFont="1" applyFill="1" applyBorder="1" applyAlignment="1" applyProtection="1">
      <alignment horizontal="center"/>
      <protection locked="0"/>
    </xf>
    <xf numFmtId="4" fontId="58" fillId="5" borderId="22" xfId="0" applyNumberFormat="1" applyFont="1" applyFill="1" applyBorder="1" applyAlignment="1" applyProtection="1">
      <alignment horizontal="center"/>
      <protection locked="0"/>
    </xf>
    <xf numFmtId="168" fontId="58" fillId="6" borderId="39" xfId="0" applyNumberFormat="1" applyFont="1" applyFill="1" applyBorder="1" applyAlignment="1" applyProtection="1" quotePrefix="1">
      <alignment horizontal="center"/>
      <protection locked="0"/>
    </xf>
    <xf numFmtId="4" fontId="58" fillId="6" borderId="72" xfId="0" applyNumberFormat="1" applyFont="1" applyFill="1" applyBorder="1" applyAlignment="1" applyProtection="1">
      <alignment horizontal="center"/>
      <protection locked="0"/>
    </xf>
    <xf numFmtId="4" fontId="58" fillId="6" borderId="22" xfId="0" applyNumberFormat="1" applyFont="1" applyFill="1" applyBorder="1" applyAlignment="1" applyProtection="1">
      <alignment horizontal="center"/>
      <protection locked="0"/>
    </xf>
    <xf numFmtId="4" fontId="58" fillId="7" borderId="4" xfId="0" applyNumberFormat="1" applyFont="1" applyFill="1" applyBorder="1" applyAlignment="1" applyProtection="1">
      <alignment horizontal="center"/>
      <protection locked="0"/>
    </xf>
    <xf numFmtId="4" fontId="53" fillId="8" borderId="4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55" fillId="3" borderId="3" xfId="0" applyFont="1" applyFill="1" applyBorder="1" applyAlignment="1" applyProtection="1">
      <alignment/>
      <protection locked="0"/>
    </xf>
    <xf numFmtId="0" fontId="55" fillId="4" borderId="3" xfId="0" applyFont="1" applyFill="1" applyBorder="1" applyAlignment="1" applyProtection="1">
      <alignment/>
      <protection locked="0"/>
    </xf>
    <xf numFmtId="0" fontId="57" fillId="5" borderId="37" xfId="0" applyFont="1" applyFill="1" applyBorder="1" applyAlignment="1" applyProtection="1">
      <alignment horizontal="center"/>
      <protection locked="0"/>
    </xf>
    <xf numFmtId="0" fontId="57" fillId="5" borderId="38" xfId="0" applyFont="1" applyFill="1" applyBorder="1" applyAlignment="1" applyProtection="1">
      <alignment/>
      <protection locked="0"/>
    </xf>
    <xf numFmtId="0" fontId="57" fillId="5" borderId="7" xfId="0" applyFont="1" applyFill="1" applyBorder="1" applyAlignment="1" applyProtection="1">
      <alignment/>
      <protection locked="0"/>
    </xf>
    <xf numFmtId="0" fontId="57" fillId="6" borderId="37" xfId="0" applyFont="1" applyFill="1" applyBorder="1" applyAlignment="1" applyProtection="1">
      <alignment horizontal="center"/>
      <protection locked="0"/>
    </xf>
    <xf numFmtId="0" fontId="57" fillId="6" borderId="38" xfId="0" applyFont="1" applyFill="1" applyBorder="1" applyAlignment="1" applyProtection="1">
      <alignment/>
      <protection locked="0"/>
    </xf>
    <xf numFmtId="0" fontId="57" fillId="6" borderId="7" xfId="0" applyFont="1" applyFill="1" applyBorder="1" applyAlignment="1" applyProtection="1">
      <alignment/>
      <protection locked="0"/>
    </xf>
    <xf numFmtId="0" fontId="57" fillId="7" borderId="3" xfId="0" applyFont="1" applyFill="1" applyBorder="1" applyAlignment="1" applyProtection="1">
      <alignment/>
      <protection locked="0"/>
    </xf>
    <xf numFmtId="0" fontId="55" fillId="8" borderId="3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2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2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" xfId="0" applyFont="1" applyFill="1" applyBorder="1" applyAlignment="1" applyProtection="1">
      <alignment/>
      <protection/>
    </xf>
    <xf numFmtId="0" fontId="27" fillId="7" borderId="23" xfId="0" applyFont="1" applyFill="1" applyBorder="1" applyAlignment="1" applyProtection="1">
      <alignment horizontal="center" vertical="center" wrapText="1"/>
      <protection/>
    </xf>
    <xf numFmtId="0" fontId="27" fillId="9" borderId="23" xfId="0" applyFont="1" applyFill="1" applyBorder="1" applyAlignment="1" applyProtection="1">
      <alignment horizontal="center" vertical="center" wrapText="1"/>
      <protection/>
    </xf>
    <xf numFmtId="0" fontId="54" fillId="10" borderId="26" xfId="0" applyFont="1" applyFill="1" applyBorder="1" applyAlignment="1" applyProtection="1">
      <alignment horizontal="centerContinuous" vertical="center"/>
      <protection/>
    </xf>
    <xf numFmtId="0" fontId="54" fillId="3" borderId="26" xfId="0" applyFont="1" applyFill="1" applyBorder="1" applyAlignment="1" applyProtection="1">
      <alignment horizontal="centerContinuous" vertical="center"/>
      <protection/>
    </xf>
    <xf numFmtId="0" fontId="50" fillId="5" borderId="23" xfId="0" applyFont="1" applyFill="1" applyBorder="1" applyAlignment="1" applyProtection="1">
      <alignment horizontal="center" vertical="center" wrapText="1"/>
      <protection/>
    </xf>
    <xf numFmtId="0" fontId="27" fillId="6" borderId="23" xfId="0" applyFont="1" applyFill="1" applyBorder="1" applyAlignment="1" applyProtection="1">
      <alignment horizontal="center" vertical="center" wrapText="1"/>
      <protection/>
    </xf>
    <xf numFmtId="0" fontId="26" fillId="0" borderId="2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/>
      <protection/>
    </xf>
    <xf numFmtId="0" fontId="49" fillId="2" borderId="6" xfId="0" applyFont="1" applyFill="1" applyBorder="1" applyAlignment="1" applyProtection="1">
      <alignment/>
      <protection/>
    </xf>
    <xf numFmtId="0" fontId="53" fillId="8" borderId="6" xfId="0" applyFont="1" applyFill="1" applyBorder="1" applyAlignment="1" applyProtection="1">
      <alignment/>
      <protection/>
    </xf>
    <xf numFmtId="0" fontId="58" fillId="7" borderId="6" xfId="0" applyFont="1" applyFill="1" applyBorder="1" applyAlignment="1" applyProtection="1">
      <alignment/>
      <protection/>
    </xf>
    <xf numFmtId="0" fontId="58" fillId="9" borderId="6" xfId="0" applyFont="1" applyFill="1" applyBorder="1" applyAlignment="1" applyProtection="1">
      <alignment/>
      <protection/>
    </xf>
    <xf numFmtId="0" fontId="53" fillId="10" borderId="34" xfId="0" applyFont="1" applyFill="1" applyBorder="1" applyAlignment="1" applyProtection="1">
      <alignment horizontal="center"/>
      <protection/>
    </xf>
    <xf numFmtId="0" fontId="53" fillId="10" borderId="36" xfId="0" applyFont="1" applyFill="1" applyBorder="1" applyAlignment="1" applyProtection="1">
      <alignment/>
      <protection/>
    </xf>
    <xf numFmtId="0" fontId="53" fillId="3" borderId="34" xfId="0" applyFont="1" applyFill="1" applyBorder="1" applyAlignment="1" applyProtection="1">
      <alignment horizontal="center"/>
      <protection/>
    </xf>
    <xf numFmtId="0" fontId="53" fillId="3" borderId="36" xfId="0" applyFont="1" applyFill="1" applyBorder="1" applyAlignment="1" applyProtection="1">
      <alignment/>
      <protection/>
    </xf>
    <xf numFmtId="0" fontId="51" fillId="5" borderId="6" xfId="0" applyFont="1" applyFill="1" applyBorder="1" applyAlignment="1" applyProtection="1">
      <alignment/>
      <protection/>
    </xf>
    <xf numFmtId="0" fontId="58" fillId="6" borderId="6" xfId="0" applyFont="1" applyFill="1" applyBorder="1" applyAlignment="1" applyProtection="1">
      <alignment/>
      <protection/>
    </xf>
    <xf numFmtId="7" fontId="10" fillId="0" borderId="6" xfId="0" applyNumberFormat="1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49" fillId="2" borderId="3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53" fillId="8" borderId="3" xfId="0" applyFont="1" applyFill="1" applyBorder="1" applyAlignment="1" applyProtection="1">
      <alignment/>
      <protection/>
    </xf>
    <xf numFmtId="0" fontId="58" fillId="7" borderId="3" xfId="0" applyFont="1" applyFill="1" applyBorder="1" applyAlignment="1" applyProtection="1">
      <alignment/>
      <protection/>
    </xf>
    <xf numFmtId="0" fontId="58" fillId="9" borderId="3" xfId="0" applyFont="1" applyFill="1" applyBorder="1" applyAlignment="1" applyProtection="1">
      <alignment/>
      <protection/>
    </xf>
    <xf numFmtId="0" fontId="53" fillId="10" borderId="37" xfId="0" applyFont="1" applyFill="1" applyBorder="1" applyAlignment="1" applyProtection="1">
      <alignment horizontal="center"/>
      <protection/>
    </xf>
    <xf numFmtId="0" fontId="53" fillId="10" borderId="7" xfId="0" applyFont="1" applyFill="1" applyBorder="1" applyAlignment="1" applyProtection="1">
      <alignment/>
      <protection/>
    </xf>
    <xf numFmtId="0" fontId="53" fillId="3" borderId="37" xfId="0" applyFont="1" applyFill="1" applyBorder="1" applyAlignment="1" applyProtection="1">
      <alignment horizontal="center"/>
      <protection/>
    </xf>
    <xf numFmtId="0" fontId="53" fillId="3" borderId="7" xfId="0" applyFont="1" applyFill="1" applyBorder="1" applyAlignment="1" applyProtection="1">
      <alignment/>
      <protection/>
    </xf>
    <xf numFmtId="0" fontId="51" fillId="5" borderId="3" xfId="0" applyFont="1" applyFill="1" applyBorder="1" applyAlignment="1" applyProtection="1">
      <alignment/>
      <protection/>
    </xf>
    <xf numFmtId="0" fontId="58" fillId="6" borderId="3" xfId="0" applyFont="1" applyFill="1" applyBorder="1" applyAlignment="1" applyProtection="1">
      <alignment/>
      <protection/>
    </xf>
    <xf numFmtId="0" fontId="10" fillId="0" borderId="7" xfId="0" applyFont="1" applyFill="1" applyBorder="1" applyAlignment="1" applyProtection="1">
      <alignment/>
      <protection/>
    </xf>
    <xf numFmtId="168" fontId="10" fillId="0" borderId="7" xfId="0" applyNumberFormat="1" applyFont="1" applyFill="1" applyBorder="1" applyAlignment="1" applyProtection="1">
      <alignment horizontal="right"/>
      <protection/>
    </xf>
    <xf numFmtId="2" fontId="7" fillId="0" borderId="2" xfId="0" applyNumberFormat="1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49" fillId="2" borderId="4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39" fillId="0" borderId="27" xfId="0" applyFont="1" applyBorder="1" applyAlignment="1" applyProtection="1">
      <alignment horizontal="center"/>
      <protection/>
    </xf>
    <xf numFmtId="7" fontId="58" fillId="7" borderId="23" xfId="0" applyNumberFormat="1" applyFont="1" applyFill="1" applyBorder="1" applyAlignment="1" applyProtection="1">
      <alignment horizontal="center"/>
      <protection/>
    </xf>
    <xf numFmtId="7" fontId="58" fillId="9" borderId="23" xfId="0" applyNumberFormat="1" applyFont="1" applyFill="1" applyBorder="1" applyAlignment="1" applyProtection="1">
      <alignment horizontal="center"/>
      <protection/>
    </xf>
    <xf numFmtId="7" fontId="53" fillId="10" borderId="23" xfId="0" applyNumberFormat="1" applyFont="1" applyFill="1" applyBorder="1" applyAlignment="1" applyProtection="1">
      <alignment horizontal="center"/>
      <protection/>
    </xf>
    <xf numFmtId="7" fontId="53" fillId="3" borderId="23" xfId="0" applyNumberFormat="1" applyFont="1" applyFill="1" applyBorder="1" applyAlignment="1" applyProtection="1">
      <alignment horizontal="center"/>
      <protection/>
    </xf>
    <xf numFmtId="7" fontId="51" fillId="5" borderId="23" xfId="0" applyNumberFormat="1" applyFont="1" applyFill="1" applyBorder="1" applyAlignment="1" applyProtection="1">
      <alignment horizontal="center"/>
      <protection/>
    </xf>
    <xf numFmtId="7" fontId="58" fillId="6" borderId="23" xfId="0" applyNumberFormat="1" applyFont="1" applyFill="1" applyBorder="1" applyAlignment="1" applyProtection="1">
      <alignment horizontal="center"/>
      <protection/>
    </xf>
    <xf numFmtId="0" fontId="7" fillId="0" borderId="8" xfId="0" applyFont="1" applyFill="1" applyBorder="1" applyAlignment="1" applyProtection="1">
      <alignment/>
      <protection/>
    </xf>
    <xf numFmtId="7" fontId="11" fillId="0" borderId="23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0" fontId="39" fillId="0" borderId="1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7" fontId="39" fillId="0" borderId="0" xfId="0" applyNumberFormat="1" applyFont="1" applyFill="1" applyBorder="1" applyAlignment="1" applyProtection="1">
      <alignment horizontal="center"/>
      <protection/>
    </xf>
    <xf numFmtId="7" fontId="45" fillId="0" borderId="0" xfId="0" applyNumberFormat="1" applyFont="1" applyFill="1" applyBorder="1" applyAlignment="1" applyProtection="1">
      <alignment horizontal="right"/>
      <protection/>
    </xf>
    <xf numFmtId="0" fontId="39" fillId="0" borderId="2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 locked="0"/>
    </xf>
    <xf numFmtId="165" fontId="7" fillId="0" borderId="9" xfId="0" applyNumberFormat="1" applyFont="1" applyBorder="1" applyAlignment="1" applyProtection="1" quotePrefix="1">
      <alignment horizontal="center"/>
      <protection locked="0"/>
    </xf>
    <xf numFmtId="2" fontId="7" fillId="0" borderId="9" xfId="0" applyNumberFormat="1" applyFont="1" applyBorder="1" applyAlignment="1" applyProtection="1" quotePrefix="1">
      <alignment horizontal="center"/>
      <protection locked="0"/>
    </xf>
    <xf numFmtId="0" fontId="7" fillId="0" borderId="4" xfId="0" applyFont="1" applyFill="1" applyBorder="1" applyAlignment="1" applyProtection="1">
      <alignment/>
      <protection locked="0"/>
    </xf>
    <xf numFmtId="22" fontId="7" fillId="0" borderId="3" xfId="0" applyNumberFormat="1" applyFont="1" applyFill="1" applyBorder="1" applyAlignment="1" applyProtection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53" fillId="8" borderId="4" xfId="0" applyFont="1" applyFill="1" applyBorder="1" applyAlignment="1" applyProtection="1">
      <alignment/>
      <protection locked="0"/>
    </xf>
    <xf numFmtId="0" fontId="58" fillId="7" borderId="4" xfId="0" applyFont="1" applyFill="1" applyBorder="1" applyAlignment="1" applyProtection="1">
      <alignment/>
      <protection locked="0"/>
    </xf>
    <xf numFmtId="0" fontId="58" fillId="9" borderId="4" xfId="0" applyFont="1" applyFill="1" applyBorder="1" applyAlignment="1" applyProtection="1">
      <alignment/>
      <protection locked="0"/>
    </xf>
    <xf numFmtId="0" fontId="53" fillId="10" borderId="39" xfId="0" applyFont="1" applyFill="1" applyBorder="1" applyAlignment="1" applyProtection="1">
      <alignment/>
      <protection locked="0"/>
    </xf>
    <xf numFmtId="0" fontId="53" fillId="10" borderId="40" xfId="0" applyFont="1" applyFill="1" applyBorder="1" applyAlignment="1" applyProtection="1">
      <alignment/>
      <protection locked="0"/>
    </xf>
    <xf numFmtId="0" fontId="53" fillId="3" borderId="39" xfId="0" applyFont="1" applyFill="1" applyBorder="1" applyAlignment="1" applyProtection="1">
      <alignment/>
      <protection locked="0"/>
    </xf>
    <xf numFmtId="0" fontId="53" fillId="3" borderId="40" xfId="0" applyFont="1" applyFill="1" applyBorder="1" applyAlignment="1" applyProtection="1">
      <alignment/>
      <protection locked="0"/>
    </xf>
    <xf numFmtId="0" fontId="51" fillId="5" borderId="4" xfId="0" applyFont="1" applyFill="1" applyBorder="1" applyAlignment="1" applyProtection="1">
      <alignment/>
      <protection locked="0"/>
    </xf>
    <xf numFmtId="0" fontId="58" fillId="6" borderId="4" xfId="0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22" fontId="7" fillId="0" borderId="9" xfId="0" applyNumberFormat="1" applyFont="1" applyFill="1" applyBorder="1" applyAlignment="1" applyProtection="1">
      <alignment horizontal="center"/>
      <protection locked="0"/>
    </xf>
    <xf numFmtId="22" fontId="7" fillId="0" borderId="10" xfId="0" applyNumberFormat="1" applyFont="1" applyFill="1" applyBorder="1" applyAlignment="1" applyProtection="1">
      <alignment horizontal="center"/>
      <protection locked="0"/>
    </xf>
    <xf numFmtId="168" fontId="7" fillId="0" borderId="7" xfId="0" applyNumberFormat="1" applyFont="1" applyFill="1" applyBorder="1" applyAlignment="1" applyProtection="1">
      <alignment horizontal="center"/>
      <protection locked="0"/>
    </xf>
    <xf numFmtId="0" fontId="53" fillId="6" borderId="4" xfId="0" applyFont="1" applyFill="1" applyBorder="1" applyAlignment="1" applyProtection="1">
      <alignment/>
      <protection locked="0"/>
    </xf>
    <xf numFmtId="0" fontId="58" fillId="5" borderId="4" xfId="0" applyFont="1" applyFill="1" applyBorder="1" applyAlignment="1" applyProtection="1">
      <alignment/>
      <protection locked="0"/>
    </xf>
    <xf numFmtId="172" fontId="9" fillId="0" borderId="3" xfId="0" applyNumberFormat="1" applyFont="1" applyFill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3" fillId="0" borderId="70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22" fontId="7" fillId="0" borderId="37" xfId="0" applyNumberFormat="1" applyFont="1" applyBorder="1" applyAlignment="1" applyProtection="1">
      <alignment horizontal="center"/>
      <protection locked="0"/>
    </xf>
    <xf numFmtId="22" fontId="7" fillId="0" borderId="5" xfId="0" applyNumberFormat="1" applyFont="1" applyBorder="1" applyAlignment="1" applyProtection="1">
      <alignment horizontal="center"/>
      <protection locked="0"/>
    </xf>
    <xf numFmtId="168" fontId="7" fillId="0" borderId="22" xfId="0" applyNumberFormat="1" applyFont="1" applyBorder="1" applyAlignment="1" applyProtection="1">
      <alignment horizontal="center"/>
      <protection locked="0"/>
    </xf>
    <xf numFmtId="168" fontId="7" fillId="0" borderId="7" xfId="0" applyNumberFormat="1" applyFont="1" applyBorder="1" applyAlignment="1" applyProtection="1">
      <alignment horizontal="center"/>
      <protection locked="0"/>
    </xf>
    <xf numFmtId="164" fontId="56" fillId="8" borderId="4" xfId="0" applyNumberFormat="1" applyFont="1" applyFill="1" applyBorder="1" applyAlignment="1" applyProtection="1">
      <alignment horizontal="center"/>
      <protection locked="0"/>
    </xf>
    <xf numFmtId="2" fontId="58" fillId="9" borderId="4" xfId="0" applyNumberFormat="1" applyFont="1" applyFill="1" applyBorder="1" applyAlignment="1" applyProtection="1">
      <alignment horizontal="center"/>
      <protection locked="0"/>
    </xf>
    <xf numFmtId="168" fontId="58" fillId="6" borderId="40" xfId="0" applyNumberFormat="1" applyFont="1" applyFill="1" applyBorder="1" applyAlignment="1" applyProtection="1" quotePrefix="1">
      <alignment horizontal="center"/>
      <protection locked="0"/>
    </xf>
    <xf numFmtId="168" fontId="58" fillId="5" borderId="4" xfId="0" applyNumberFormat="1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7" fillId="0" borderId="0" xfId="0" applyNumberFormat="1" applyFont="1" applyBorder="1" applyAlignment="1">
      <alignment horizontal="left"/>
    </xf>
    <xf numFmtId="168" fontId="11" fillId="0" borderId="50" xfId="0" applyNumberFormat="1" applyFont="1" applyBorder="1" applyAlignment="1" applyProtection="1">
      <alignment horizontal="center"/>
      <protection/>
    </xf>
    <xf numFmtId="168" fontId="65" fillId="0" borderId="0" xfId="0" applyNumberFormat="1" applyFont="1" applyBorder="1" applyAlignment="1" applyProtection="1" quotePrefix="1">
      <alignment horizontal="left"/>
      <protection/>
    </xf>
    <xf numFmtId="168" fontId="65" fillId="0" borderId="61" xfId="0" applyNumberFormat="1" applyFont="1" applyBorder="1" applyAlignment="1" applyProtection="1" quotePrefix="1">
      <alignment horizontal="left"/>
      <protection/>
    </xf>
    <xf numFmtId="168" fontId="65" fillId="0" borderId="57" xfId="0" applyNumberFormat="1" applyFont="1" applyBorder="1" applyAlignment="1" applyProtection="1" quotePrefix="1">
      <alignment horizontal="left"/>
      <protection/>
    </xf>
    <xf numFmtId="168" fontId="11" fillId="0" borderId="50" xfId="0" applyNumberFormat="1" applyFont="1" applyBorder="1" applyAlignment="1" applyProtection="1">
      <alignment horizontal="left"/>
      <protection/>
    </xf>
    <xf numFmtId="177" fontId="11" fillId="0" borderId="50" xfId="0" applyNumberFormat="1" applyFont="1" applyBorder="1" applyAlignment="1" applyProtection="1">
      <alignment horizontal="right"/>
      <protection/>
    </xf>
    <xf numFmtId="177" fontId="11" fillId="0" borderId="59" xfId="0" applyNumberFormat="1" applyFont="1" applyBorder="1" applyAlignment="1" applyProtection="1">
      <alignment horizontal="right"/>
      <protection/>
    </xf>
    <xf numFmtId="0" fontId="72" fillId="0" borderId="61" xfId="0" applyFont="1" applyBorder="1" applyAlignment="1" applyProtection="1">
      <alignment horizontal="centerContinuous"/>
      <protection/>
    </xf>
    <xf numFmtId="168" fontId="72" fillId="0" borderId="61" xfId="0" applyNumberFormat="1" applyFont="1" applyBorder="1" applyAlignment="1" applyProtection="1">
      <alignment horizontal="center"/>
      <protection/>
    </xf>
    <xf numFmtId="0" fontId="72" fillId="0" borderId="0" xfId="0" applyFont="1" applyBorder="1" applyAlignment="1" applyProtection="1">
      <alignment horizontal="centerContinuous"/>
      <protection/>
    </xf>
    <xf numFmtId="168" fontId="72" fillId="0" borderId="0" xfId="0" applyNumberFormat="1" applyFont="1" applyBorder="1" applyAlignment="1" applyProtection="1">
      <alignment horizontal="center"/>
      <protection/>
    </xf>
    <xf numFmtId="7" fontId="72" fillId="0" borderId="60" xfId="0" applyNumberFormat="1" applyFont="1" applyBorder="1" applyAlignment="1">
      <alignment horizontal="left"/>
    </xf>
    <xf numFmtId="7" fontId="72" fillId="0" borderId="67" xfId="0" applyNumberFormat="1" applyFont="1" applyBorder="1" applyAlignment="1">
      <alignment horizontal="left"/>
    </xf>
    <xf numFmtId="168" fontId="10" fillId="0" borderId="65" xfId="0" applyNumberFormat="1" applyFont="1" applyBorder="1" applyAlignment="1" applyProtection="1">
      <alignment horizontal="center"/>
      <protection/>
    </xf>
    <xf numFmtId="168" fontId="10" fillId="0" borderId="60" xfId="0" applyNumberFormat="1" applyFont="1" applyBorder="1" applyAlignment="1" applyProtection="1">
      <alignment horizontal="center"/>
      <protection/>
    </xf>
    <xf numFmtId="7" fontId="10" fillId="0" borderId="66" xfId="0" applyNumberFormat="1" applyFont="1" applyBorder="1" applyAlignment="1" applyProtection="1">
      <alignment horizontal="center"/>
      <protection/>
    </xf>
    <xf numFmtId="168" fontId="10" fillId="0" borderId="63" xfId="0" applyNumberFormat="1" applyFont="1" applyBorder="1" applyAlignment="1" applyProtection="1">
      <alignment horizontal="center"/>
      <protection/>
    </xf>
    <xf numFmtId="7" fontId="10" fillId="0" borderId="69" xfId="0" applyNumberFormat="1" applyFont="1" applyBorder="1" applyAlignment="1" applyProtection="1">
      <alignment horizontal="center"/>
      <protection/>
    </xf>
    <xf numFmtId="7" fontId="0" fillId="0" borderId="65" xfId="0" applyNumberFormat="1" applyBorder="1" applyAlignment="1">
      <alignment horizontal="center"/>
    </xf>
    <xf numFmtId="177" fontId="11" fillId="0" borderId="5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171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9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73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23" xfId="19" applyNumberFormat="1" applyFont="1" applyBorder="1" applyAlignment="1">
      <alignment horizontal="right"/>
    </xf>
    <xf numFmtId="168" fontId="7" fillId="0" borderId="3" xfId="0" applyNumberFormat="1" applyFont="1" applyBorder="1" applyAlignment="1" applyProtection="1" quotePrefix="1">
      <alignment horizontal="center"/>
      <protection/>
    </xf>
    <xf numFmtId="2" fontId="53" fillId="3" borderId="3" xfId="0" applyNumberFormat="1" applyFont="1" applyFill="1" applyBorder="1" applyAlignment="1" applyProtection="1">
      <alignment horizontal="center"/>
      <protection/>
    </xf>
    <xf numFmtId="2" fontId="53" fillId="4" borderId="3" xfId="0" applyNumberFormat="1" applyFont="1" applyFill="1" applyBorder="1" applyAlignment="1" applyProtection="1">
      <alignment horizontal="center"/>
      <protection/>
    </xf>
    <xf numFmtId="168" fontId="58" fillId="5" borderId="37" xfId="0" applyNumberFormat="1" applyFont="1" applyFill="1" applyBorder="1" applyAlignment="1" applyProtection="1" quotePrefix="1">
      <alignment horizontal="center"/>
      <protection/>
    </xf>
    <xf numFmtId="168" fontId="58" fillId="5" borderId="38" xfId="0" applyNumberFormat="1" applyFont="1" applyFill="1" applyBorder="1" applyAlignment="1" applyProtection="1" quotePrefix="1">
      <alignment horizontal="center"/>
      <protection/>
    </xf>
    <xf numFmtId="4" fontId="58" fillId="5" borderId="7" xfId="0" applyNumberFormat="1" applyFont="1" applyFill="1" applyBorder="1" applyAlignment="1" applyProtection="1">
      <alignment horizontal="center"/>
      <protection/>
    </xf>
    <xf numFmtId="168" fontId="58" fillId="6" borderId="37" xfId="0" applyNumberFormat="1" applyFont="1" applyFill="1" applyBorder="1" applyAlignment="1" applyProtection="1" quotePrefix="1">
      <alignment horizontal="center"/>
      <protection/>
    </xf>
    <xf numFmtId="168" fontId="58" fillId="6" borderId="38" xfId="0" applyNumberFormat="1" applyFont="1" applyFill="1" applyBorder="1" applyAlignment="1" applyProtection="1" quotePrefix="1">
      <alignment horizontal="center"/>
      <protection/>
    </xf>
    <xf numFmtId="4" fontId="58" fillId="6" borderId="7" xfId="0" applyNumberFormat="1" applyFont="1" applyFill="1" applyBorder="1" applyAlignment="1" applyProtection="1">
      <alignment horizontal="center"/>
      <protection/>
    </xf>
    <xf numFmtId="4" fontId="58" fillId="7" borderId="3" xfId="0" applyNumberFormat="1" applyFont="1" applyFill="1" applyBorder="1" applyAlignment="1" applyProtection="1">
      <alignment horizontal="center"/>
      <protection/>
    </xf>
    <xf numFmtId="4" fontId="53" fillId="8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 quotePrefix="1">
      <alignment horizontal="center"/>
      <protection/>
    </xf>
    <xf numFmtId="2" fontId="58" fillId="7" borderId="3" xfId="0" applyNumberFormat="1" applyFont="1" applyFill="1" applyBorder="1" applyAlignment="1" applyProtection="1">
      <alignment horizontal="center"/>
      <protection/>
    </xf>
    <xf numFmtId="2" fontId="58" fillId="9" borderId="3" xfId="0" applyNumberFormat="1" applyFont="1" applyFill="1" applyBorder="1" applyAlignment="1" applyProtection="1">
      <alignment horizontal="center"/>
      <protection/>
    </xf>
    <xf numFmtId="2" fontId="58" fillId="5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164" fontId="56" fillId="8" borderId="3" xfId="0" applyNumberFormat="1" applyFont="1" applyFill="1" applyBorder="1" applyAlignment="1" applyProtection="1">
      <alignment horizontal="center"/>
      <protection/>
    </xf>
    <xf numFmtId="2" fontId="58" fillId="9" borderId="3" xfId="0" applyNumberFormat="1" applyFont="1" applyFill="1" applyBorder="1" applyAlignment="1" applyProtection="1">
      <alignment horizontal="center"/>
      <protection/>
    </xf>
    <xf numFmtId="168" fontId="58" fillId="6" borderId="10" xfId="0" applyNumberFormat="1" applyFont="1" applyFill="1" applyBorder="1" applyAlignment="1" applyProtection="1" quotePrefix="1">
      <alignment horizontal="center"/>
      <protection/>
    </xf>
    <xf numFmtId="168" fontId="58" fillId="5" borderId="3" xfId="0" applyNumberFormat="1" applyFont="1" applyFill="1" applyBorder="1" applyAlignment="1" applyProtection="1" quotePrefix="1">
      <alignment horizontal="center"/>
      <protection/>
    </xf>
    <xf numFmtId="0" fontId="39" fillId="0" borderId="0" xfId="0" applyFont="1" applyBorder="1" applyAlignment="1" applyProtection="1">
      <alignment horizontal="left"/>
      <protection/>
    </xf>
    <xf numFmtId="0" fontId="56" fillId="0" borderId="0" xfId="0" applyFont="1" applyBorder="1" applyAlignment="1">
      <alignment/>
    </xf>
    <xf numFmtId="0" fontId="56" fillId="0" borderId="1" xfId="0" applyFont="1" applyBorder="1" applyAlignment="1">
      <alignment/>
    </xf>
    <xf numFmtId="0" fontId="56" fillId="0" borderId="74" xfId="0" applyFont="1" applyBorder="1" applyAlignment="1">
      <alignment/>
    </xf>
    <xf numFmtId="0" fontId="56" fillId="0" borderId="2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 applyProtection="1">
      <alignment/>
      <protection/>
    </xf>
    <xf numFmtId="0" fontId="56" fillId="0" borderId="1" xfId="0" applyFont="1" applyFill="1" applyBorder="1" applyAlignment="1" applyProtection="1">
      <alignment/>
      <protection/>
    </xf>
    <xf numFmtId="0" fontId="56" fillId="0" borderId="74" xfId="0" applyFont="1" applyFill="1" applyBorder="1" applyAlignment="1" applyProtection="1">
      <alignment/>
      <protection/>
    </xf>
    <xf numFmtId="0" fontId="56" fillId="0" borderId="2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Fill="1" applyAlignment="1">
      <alignment/>
    </xf>
    <xf numFmtId="0" fontId="56" fillId="0" borderId="1" xfId="0" applyFont="1" applyFill="1" applyBorder="1" applyAlignment="1">
      <alignment/>
    </xf>
    <xf numFmtId="0" fontId="56" fillId="0" borderId="74" xfId="0" applyFont="1" applyFill="1" applyBorder="1" applyAlignment="1">
      <alignment/>
    </xf>
    <xf numFmtId="0" fontId="56" fillId="0" borderId="2" xfId="0" applyFont="1" applyFill="1" applyBorder="1" applyAlignment="1">
      <alignment/>
    </xf>
    <xf numFmtId="165" fontId="7" fillId="0" borderId="9" xfId="0" applyNumberFormat="1" applyFont="1" applyBorder="1" applyAlignment="1" applyProtection="1">
      <alignment horizontal="center"/>
      <protection locked="0"/>
    </xf>
    <xf numFmtId="0" fontId="7" fillId="0" borderId="75" xfId="0" applyFont="1" applyBorder="1" applyAlignment="1" applyProtection="1">
      <alignment horizontal="center"/>
      <protection/>
    </xf>
    <xf numFmtId="2" fontId="7" fillId="0" borderId="75" xfId="0" applyNumberFormat="1" applyFont="1" applyBorder="1" applyAlignment="1" applyProtection="1">
      <alignment horizontal="center"/>
      <protection/>
    </xf>
    <xf numFmtId="0" fontId="73" fillId="0" borderId="0" xfId="0" applyFont="1" applyAlignment="1" applyProtection="1">
      <alignment/>
      <protection/>
    </xf>
    <xf numFmtId="0" fontId="74" fillId="0" borderId="0" xfId="0" applyFont="1" applyAlignment="1">
      <alignment/>
    </xf>
    <xf numFmtId="0" fontId="74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5" fillId="0" borderId="0" xfId="0" applyFont="1" applyBorder="1" applyAlignment="1">
      <alignment horizontal="centerContinuous"/>
    </xf>
    <xf numFmtId="0" fontId="76" fillId="0" borderId="0" xfId="0" applyFont="1" applyBorder="1" applyAlignment="1" applyProtection="1">
      <alignment horizontal="left"/>
      <protection/>
    </xf>
    <xf numFmtId="0" fontId="77" fillId="0" borderId="0" xfId="0" applyFont="1" applyBorder="1" applyAlignment="1" applyProtection="1">
      <alignment horizontal="centerContinuous"/>
      <protection/>
    </xf>
    <xf numFmtId="0" fontId="77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8" fillId="0" borderId="12" xfId="0" applyFont="1" applyBorder="1" applyAlignment="1">
      <alignment/>
    </xf>
    <xf numFmtId="0" fontId="0" fillId="0" borderId="13" xfId="0" applyBorder="1" applyAlignment="1">
      <alignment/>
    </xf>
    <xf numFmtId="0" fontId="7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74" xfId="0" applyBorder="1" applyAlignment="1">
      <alignment/>
    </xf>
    <xf numFmtId="0" fontId="78" fillId="0" borderId="0" xfId="0" applyFont="1" applyBorder="1" applyAlignment="1" applyProtection="1">
      <alignment horizontal="center"/>
      <protection/>
    </xf>
    <xf numFmtId="0" fontId="78" fillId="0" borderId="0" xfId="0" applyFont="1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11" borderId="70" xfId="0" applyFont="1" applyFill="1" applyBorder="1" applyAlignment="1">
      <alignment horizontal="centerContinuous" vertical="center"/>
    </xf>
    <xf numFmtId="0" fontId="79" fillId="11" borderId="76" xfId="0" applyFont="1" applyFill="1" applyBorder="1" applyAlignment="1" applyProtection="1">
      <alignment horizontal="centerContinuous" vertical="center"/>
      <protection/>
    </xf>
    <xf numFmtId="0" fontId="79" fillId="11" borderId="76" xfId="0" applyFont="1" applyFill="1" applyBorder="1" applyAlignment="1" applyProtection="1">
      <alignment horizontal="centerContinuous" vertical="center" wrapText="1"/>
      <protection/>
    </xf>
    <xf numFmtId="168" fontId="79" fillId="11" borderId="23" xfId="0" applyNumberFormat="1" applyFont="1" applyFill="1" applyBorder="1" applyAlignment="1" applyProtection="1">
      <alignment horizontal="centerContinuous" vertical="center" wrapText="1"/>
      <protection/>
    </xf>
    <xf numFmtId="17" fontId="79" fillId="11" borderId="2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12" borderId="5" xfId="0" applyFont="1" applyFill="1" applyBorder="1" applyAlignment="1">
      <alignment/>
    </xf>
    <xf numFmtId="0" fontId="78" fillId="12" borderId="77" xfId="0" applyFont="1" applyFill="1" applyBorder="1" applyAlignment="1">
      <alignment/>
    </xf>
    <xf numFmtId="0" fontId="78" fillId="12" borderId="31" xfId="0" applyFont="1" applyFill="1" applyBorder="1" applyAlignment="1">
      <alignment/>
    </xf>
    <xf numFmtId="0" fontId="0" fillId="13" borderId="73" xfId="0" applyFont="1" applyFill="1" applyBorder="1" applyAlignment="1">
      <alignment/>
    </xf>
    <xf numFmtId="0" fontId="0" fillId="0" borderId="73" xfId="0" applyBorder="1" applyAlignment="1">
      <alignment/>
    </xf>
    <xf numFmtId="0" fontId="7" fillId="12" borderId="5" xfId="0" applyFont="1" applyFill="1" applyBorder="1" applyAlignment="1">
      <alignment horizontal="center"/>
    </xf>
    <xf numFmtId="0" fontId="7" fillId="12" borderId="20" xfId="0" applyFont="1" applyFill="1" applyBorder="1" applyAlignment="1" applyProtection="1">
      <alignment horizontal="center"/>
      <protection/>
    </xf>
    <xf numFmtId="2" fontId="7" fillId="12" borderId="9" xfId="0" applyNumberFormat="1" applyFont="1" applyFill="1" applyBorder="1" applyAlignment="1" applyProtection="1">
      <alignment horizontal="center"/>
      <protection/>
    </xf>
    <xf numFmtId="1" fontId="7" fillId="13" borderId="75" xfId="0" applyNumberFormat="1" applyFont="1" applyFill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7" fillId="14" borderId="5" xfId="0" applyFont="1" applyFill="1" applyBorder="1" applyAlignment="1">
      <alignment horizontal="center"/>
    </xf>
    <xf numFmtId="0" fontId="7" fillId="14" borderId="20" xfId="0" applyFont="1" applyFill="1" applyBorder="1" applyAlignment="1" applyProtection="1">
      <alignment horizontal="center"/>
      <protection/>
    </xf>
    <xf numFmtId="2" fontId="7" fillId="14" borderId="9" xfId="0" applyNumberFormat="1" applyFont="1" applyFill="1" applyBorder="1" applyAlignment="1" applyProtection="1">
      <alignment horizontal="center"/>
      <protection/>
    </xf>
    <xf numFmtId="0" fontId="7" fillId="12" borderId="70" xfId="0" applyFont="1" applyFill="1" applyBorder="1" applyAlignment="1">
      <alignment horizontal="center"/>
    </xf>
    <xf numFmtId="0" fontId="7" fillId="12" borderId="78" xfId="0" applyFont="1" applyFill="1" applyBorder="1" applyAlignment="1" applyProtection="1">
      <alignment horizontal="left"/>
      <protection/>
    </xf>
    <xf numFmtId="0" fontId="7" fillId="12" borderId="78" xfId="0" applyFont="1" applyFill="1" applyBorder="1" applyAlignment="1" applyProtection="1">
      <alignment horizontal="center"/>
      <protection/>
    </xf>
    <xf numFmtId="2" fontId="7" fillId="12" borderId="71" xfId="0" applyNumberFormat="1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right"/>
      <protection/>
    </xf>
    <xf numFmtId="168" fontId="5" fillId="0" borderId="71" xfId="0" applyNumberFormat="1" applyFon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>
      <alignment horizontal="center"/>
    </xf>
    <xf numFmtId="1" fontId="0" fillId="12" borderId="3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12" borderId="23" xfId="0" applyNumberFormat="1" applyFont="1" applyFill="1" applyBorder="1" applyAlignment="1" applyProtection="1">
      <alignment horizontal="center"/>
      <protection/>
    </xf>
    <xf numFmtId="17" fontId="5" fillId="0" borderId="0" xfId="0" applyNumberFormat="1" applyFont="1" applyFill="1" applyBorder="1" applyAlignment="1">
      <alignment horizontal="right"/>
    </xf>
    <xf numFmtId="2" fontId="11" fillId="13" borderId="23" xfId="0" applyNumberFormat="1" applyFont="1" applyFill="1" applyBorder="1" applyAlignment="1">
      <alignment horizontal="center"/>
    </xf>
    <xf numFmtId="0" fontId="7" fillId="12" borderId="79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80" fillId="0" borderId="1" xfId="0" applyFont="1" applyBorder="1" applyAlignment="1">
      <alignment/>
    </xf>
    <xf numFmtId="0" fontId="0" fillId="13" borderId="7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24" xfId="0" applyFont="1" applyBorder="1" applyAlignment="1">
      <alignment/>
    </xf>
    <xf numFmtId="2" fontId="81" fillId="0" borderId="24" xfId="0" applyNumberFormat="1" applyFont="1" applyBorder="1" applyAlignment="1">
      <alignment horizontal="center"/>
    </xf>
    <xf numFmtId="0" fontId="0" fillId="0" borderId="24" xfId="0" applyFont="1" applyFill="1" applyBorder="1" applyAlignment="1">
      <alignment/>
    </xf>
    <xf numFmtId="1" fontId="0" fillId="0" borderId="26" xfId="0" applyNumberFormat="1" applyFont="1" applyFill="1" applyBorder="1" applyAlignment="1">
      <alignment horizontal="center"/>
    </xf>
    <xf numFmtId="0" fontId="80" fillId="0" borderId="14" xfId="0" applyFont="1" applyBorder="1" applyAlignment="1">
      <alignment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0" fillId="0" borderId="4" xfId="0" applyBorder="1" applyAlignment="1">
      <alignment/>
    </xf>
    <xf numFmtId="0" fontId="72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2790825"/>
          <a:ext cx="28956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1</xdr:col>
      <xdr:colOff>723900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7625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051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1</xdr:col>
      <xdr:colOff>733425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7625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CU17" t="str">
            <v>XXXX</v>
          </cell>
          <cell r="CV17" t="str">
            <v>XXXX</v>
          </cell>
          <cell r="CW17" t="str">
            <v>XXXX</v>
          </cell>
          <cell r="CX17" t="str">
            <v>XXXX</v>
          </cell>
          <cell r="CY17" t="str">
            <v>XXXX</v>
          </cell>
          <cell r="CZ17" t="str">
            <v>XXXX</v>
          </cell>
          <cell r="DA17" t="str">
            <v>XXXX</v>
          </cell>
          <cell r="DB17" t="str">
            <v>XXXX</v>
          </cell>
          <cell r="DC17" t="str">
            <v>XXXX</v>
          </cell>
          <cell r="DD17" t="str">
            <v>XXXX</v>
          </cell>
          <cell r="DE17" t="str">
            <v>XXXX</v>
          </cell>
          <cell r="DF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GA18">
            <v>1</v>
          </cell>
          <cell r="GD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28.41</v>
          </cell>
          <cell r="FY20">
            <v>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9.43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GF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FZ25">
            <v>1</v>
          </cell>
          <cell r="GI25">
            <v>1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  <cell r="GE26">
            <v>1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  <cell r="GH29">
            <v>1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  <cell r="GI30">
            <v>1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GE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FY33">
            <v>1</v>
          </cell>
          <cell r="FZ33">
            <v>2</v>
          </cell>
          <cell r="GA33">
            <v>1</v>
          </cell>
          <cell r="GB33">
            <v>1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FX34" t="str">
            <v>XXXX</v>
          </cell>
          <cell r="FY34" t="str">
            <v>XXXX</v>
          </cell>
          <cell r="FZ34" t="str">
            <v>XXXX</v>
          </cell>
          <cell r="GA34" t="str">
            <v>XXXX</v>
          </cell>
          <cell r="GB34" t="str">
            <v>XXXX</v>
          </cell>
          <cell r="GC34" t="str">
            <v>XXXX</v>
          </cell>
          <cell r="GD34" t="str">
            <v>XXXX</v>
          </cell>
          <cell r="GE34" t="str">
            <v>XXXX</v>
          </cell>
          <cell r="GF34" t="str">
            <v>XXXX</v>
          </cell>
          <cell r="GG34" t="str">
            <v>XXXX</v>
          </cell>
          <cell r="GH34" t="str">
            <v>XXXX</v>
          </cell>
          <cell r="GI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9">
          <cell r="C39">
            <v>19</v>
          </cell>
          <cell r="D39" t="str">
            <v>PUNTA COLORADA - SIERRA GRANDE</v>
          </cell>
          <cell r="E39">
            <v>132</v>
          </cell>
          <cell r="F39">
            <v>31</v>
          </cell>
        </row>
        <row r="40">
          <cell r="C40">
            <v>20</v>
          </cell>
          <cell r="D40" t="str">
            <v>CARMEN DE PATAGONES - VIEDMA</v>
          </cell>
          <cell r="E40">
            <v>132</v>
          </cell>
          <cell r="F40">
            <v>7</v>
          </cell>
        </row>
        <row r="41">
          <cell r="C41">
            <v>21</v>
          </cell>
          <cell r="D41" t="str">
            <v>SAN ANTONIO OESTE - SIERRA GRANDE</v>
          </cell>
          <cell r="E41">
            <v>132</v>
          </cell>
          <cell r="F41">
            <v>110.3</v>
          </cell>
        </row>
        <row r="42">
          <cell r="C42">
            <v>22</v>
          </cell>
          <cell r="D42" t="str">
            <v>SAN ANTONIO OESTE - VIEDMA</v>
          </cell>
          <cell r="E42">
            <v>132</v>
          </cell>
          <cell r="F42">
            <v>185.6</v>
          </cell>
        </row>
        <row r="44">
          <cell r="C44">
            <v>23</v>
          </cell>
          <cell r="D44" t="str">
            <v>PICO TRUNCADO I - PUERTO DESEADO</v>
          </cell>
          <cell r="E44">
            <v>132</v>
          </cell>
          <cell r="F44">
            <v>209</v>
          </cell>
        </row>
        <row r="46">
          <cell r="C46">
            <v>24</v>
          </cell>
          <cell r="D46" t="str">
            <v>E.T. PATAGONIA - PAMPA DEL CASTILLO</v>
          </cell>
          <cell r="E46">
            <v>132</v>
          </cell>
          <cell r="F46">
            <v>42.6</v>
          </cell>
        </row>
        <row r="47">
          <cell r="C47">
            <v>25</v>
          </cell>
          <cell r="D47" t="str">
            <v>PAMPA DEL CASTILLO - VALLE HERMOSO</v>
          </cell>
          <cell r="E47">
            <v>132</v>
          </cell>
          <cell r="F47">
            <v>33.6</v>
          </cell>
        </row>
        <row r="48">
          <cell r="C48">
            <v>26</v>
          </cell>
          <cell r="D48" t="str">
            <v>VALLE HERMOSO - CERRO NEGRO</v>
          </cell>
          <cell r="E48">
            <v>132</v>
          </cell>
          <cell r="F48">
            <v>41</v>
          </cell>
        </row>
        <row r="49">
          <cell r="D49" t="str">
            <v>ESQUEL-EL COHIUE</v>
          </cell>
          <cell r="E49">
            <v>132</v>
          </cell>
          <cell r="F49">
            <v>127.98</v>
          </cell>
        </row>
        <row r="50">
          <cell r="C50">
            <v>27</v>
          </cell>
          <cell r="D50" t="str">
            <v>PAMPA DEL CASTILLO - EL TORDILLO</v>
          </cell>
          <cell r="E50">
            <v>132</v>
          </cell>
          <cell r="F50">
            <v>8.9</v>
          </cell>
          <cell r="GH50">
            <v>2</v>
          </cell>
        </row>
        <row r="51">
          <cell r="C51">
            <v>28</v>
          </cell>
          <cell r="D51" t="str">
            <v>PLANTA ALUMINIO APPA - PUERTO MADRYN 3</v>
          </cell>
          <cell r="E51">
            <v>330</v>
          </cell>
          <cell r="F51">
            <v>4.85</v>
          </cell>
        </row>
        <row r="52">
          <cell r="C52">
            <v>29</v>
          </cell>
          <cell r="D52" t="str">
            <v>TRELEW - RAWSON</v>
          </cell>
          <cell r="E52">
            <v>132</v>
          </cell>
          <cell r="F52">
            <v>21.8</v>
          </cell>
          <cell r="FX52" t="str">
            <v>XXXX</v>
          </cell>
          <cell r="FY52" t="str">
            <v>XXXX</v>
          </cell>
          <cell r="FZ52" t="str">
            <v>XXXX</v>
          </cell>
          <cell r="GA52" t="str">
            <v>XXXX</v>
          </cell>
          <cell r="GB52" t="str">
            <v>XXXX</v>
          </cell>
          <cell r="GC52" t="str">
            <v>XXXX</v>
          </cell>
          <cell r="GD52" t="str">
            <v>XXXX</v>
          </cell>
          <cell r="GE52" t="str">
            <v>XXXX</v>
          </cell>
          <cell r="GF52" t="str">
            <v>XXXX</v>
          </cell>
          <cell r="GH52">
            <v>1</v>
          </cell>
          <cell r="GI52">
            <v>2</v>
          </cell>
        </row>
        <row r="60">
          <cell r="FX60">
            <v>1.23</v>
          </cell>
          <cell r="FY60">
            <v>1.19</v>
          </cell>
          <cell r="FZ60">
            <v>0.88</v>
          </cell>
          <cell r="GA60">
            <v>0.95</v>
          </cell>
          <cell r="GB60">
            <v>0.88</v>
          </cell>
          <cell r="GC60">
            <v>0.91</v>
          </cell>
          <cell r="GD60">
            <v>0.81</v>
          </cell>
          <cell r="GE60">
            <v>0.84</v>
          </cell>
          <cell r="GF60">
            <v>0.81</v>
          </cell>
          <cell r="GG60">
            <v>0.63</v>
          </cell>
          <cell r="GH60">
            <v>0.56</v>
          </cell>
          <cell r="GI60">
            <v>0.66</v>
          </cell>
          <cell r="GJ60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58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1" width="25.7109375" style="12" customWidth="1"/>
    <col min="2" max="2" width="7.7109375" style="12" customWidth="1"/>
    <col min="3" max="3" width="9.8515625" style="12" customWidth="1"/>
    <col min="4" max="4" width="10.7109375" style="12" customWidth="1"/>
    <col min="5" max="5" width="10.57421875" style="12" customWidth="1"/>
    <col min="6" max="6" width="15.7109375" style="12" customWidth="1"/>
    <col min="7" max="7" width="24.28125" style="12" customWidth="1"/>
    <col min="8" max="8" width="11.00390625" style="12" customWidth="1"/>
    <col min="9" max="9" width="15.7109375" style="12" customWidth="1"/>
    <col min="10" max="10" width="15.00390625" style="12" customWidth="1"/>
    <col min="11" max="11" width="15.7109375" style="12" customWidth="1"/>
    <col min="12" max="13" width="11.421875" style="12" customWidth="1"/>
    <col min="14" max="14" width="14.140625" style="12" customWidth="1"/>
    <col min="15" max="15" width="11.421875" style="12" customWidth="1"/>
    <col min="16" max="16" width="14.7109375" style="12" customWidth="1"/>
    <col min="17" max="17" width="11.421875" style="12" customWidth="1"/>
    <col min="18" max="18" width="12.00390625" style="12" customWidth="1"/>
    <col min="19" max="16384" width="11.421875" style="12" customWidth="1"/>
  </cols>
  <sheetData>
    <row r="1" spans="2:11" s="125" customFormat="1" ht="26.25">
      <c r="B1" s="126"/>
      <c r="K1" s="471"/>
    </row>
    <row r="2" spans="2:10" s="125" customFormat="1" ht="26.25">
      <c r="B2" s="126" t="s">
        <v>191</v>
      </c>
      <c r="C2" s="143"/>
      <c r="D2" s="127"/>
      <c r="E2" s="127"/>
      <c r="F2" s="127"/>
      <c r="G2" s="127"/>
      <c r="H2" s="127"/>
      <c r="I2" s="127"/>
      <c r="J2" s="127"/>
    </row>
    <row r="3" spans="3:19" ht="12.75">
      <c r="C3"/>
      <c r="D3" s="41"/>
      <c r="E3" s="41"/>
      <c r="F3" s="41"/>
      <c r="G3" s="41"/>
      <c r="H3" s="41"/>
      <c r="I3" s="41"/>
      <c r="J3" s="41"/>
      <c r="P3" s="10"/>
      <c r="Q3" s="10"/>
      <c r="R3" s="10"/>
      <c r="S3" s="10"/>
    </row>
    <row r="4" spans="1:19" s="128" customFormat="1" ht="11.25">
      <c r="A4" s="144" t="s">
        <v>21</v>
      </c>
      <c r="B4" s="145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19" s="128" customFormat="1" ht="11.25">
      <c r="A5" s="144" t="s">
        <v>22</v>
      </c>
      <c r="B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2:19" s="125" customFormat="1" ht="26.25">
      <c r="B6" s="147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</row>
    <row r="7" spans="2:19" s="130" customFormat="1" ht="21">
      <c r="B7" s="186" t="s">
        <v>0</v>
      </c>
      <c r="C7" s="149"/>
      <c r="D7" s="150"/>
      <c r="E7" s="150"/>
      <c r="F7" s="151"/>
      <c r="G7" s="151"/>
      <c r="H7" s="151"/>
      <c r="I7" s="151"/>
      <c r="J7" s="151"/>
      <c r="K7" s="47"/>
      <c r="L7" s="47"/>
      <c r="M7" s="47"/>
      <c r="N7" s="47"/>
      <c r="O7" s="47"/>
      <c r="P7" s="47"/>
      <c r="Q7" s="47"/>
      <c r="R7" s="47"/>
      <c r="S7" s="47"/>
    </row>
    <row r="8" spans="9:19" ht="12.75"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19" s="130" customFormat="1" ht="21">
      <c r="B9" s="186" t="s">
        <v>1</v>
      </c>
      <c r="C9" s="149"/>
      <c r="D9" s="150"/>
      <c r="E9" s="150"/>
      <c r="F9" s="150"/>
      <c r="G9" s="150"/>
      <c r="H9" s="150"/>
      <c r="I9" s="151"/>
      <c r="J9" s="151"/>
      <c r="K9" s="47"/>
      <c r="L9" s="47"/>
      <c r="M9" s="47"/>
      <c r="N9" s="47"/>
      <c r="O9" s="47"/>
      <c r="P9" s="47"/>
      <c r="Q9" s="47"/>
      <c r="R9" s="47"/>
      <c r="S9" s="47"/>
    </row>
    <row r="10" spans="4:19" ht="12.75">
      <c r="D10" s="152"/>
      <c r="E10" s="15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s="130" customFormat="1" ht="20.25">
      <c r="B11" s="186" t="s">
        <v>190</v>
      </c>
      <c r="C11" s="89"/>
      <c r="D11" s="42"/>
      <c r="E11" s="42"/>
      <c r="F11" s="150"/>
      <c r="G11" s="150"/>
      <c r="H11" s="150"/>
      <c r="I11" s="151"/>
      <c r="J11" s="151"/>
      <c r="K11" s="47"/>
      <c r="L11" s="47"/>
      <c r="M11" s="47"/>
      <c r="N11" s="47"/>
      <c r="O11" s="47"/>
      <c r="P11" s="47"/>
      <c r="Q11" s="47"/>
      <c r="R11" s="47"/>
      <c r="S11" s="47"/>
    </row>
    <row r="12" spans="4:19" s="153" customFormat="1" ht="16.5" thickBot="1">
      <c r="D12" s="9"/>
      <c r="E12" s="9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</row>
    <row r="13" spans="2:19" s="153" customFormat="1" ht="16.5" thickTop="1">
      <c r="B13" s="424">
        <v>1</v>
      </c>
      <c r="C13" s="468"/>
      <c r="D13" s="155"/>
      <c r="E13" s="155"/>
      <c r="F13" s="155"/>
      <c r="G13" s="155"/>
      <c r="H13" s="155"/>
      <c r="I13" s="155"/>
      <c r="J13" s="156"/>
      <c r="K13" s="154"/>
      <c r="L13" s="154"/>
      <c r="M13" s="154"/>
      <c r="N13" s="154"/>
      <c r="O13" s="154"/>
      <c r="P13" s="154"/>
      <c r="Q13" s="154"/>
      <c r="R13" s="154"/>
      <c r="S13" s="154"/>
    </row>
    <row r="14" spans="2:19" s="137" customFormat="1" ht="19.5">
      <c r="B14" s="270" t="s">
        <v>154</v>
      </c>
      <c r="C14" s="157"/>
      <c r="D14" s="158"/>
      <c r="E14" s="159"/>
      <c r="F14" s="159"/>
      <c r="G14" s="159"/>
      <c r="H14" s="159"/>
      <c r="I14" s="133"/>
      <c r="J14" s="136"/>
      <c r="K14" s="49"/>
      <c r="L14" s="49"/>
      <c r="M14" s="49"/>
      <c r="N14" s="49"/>
      <c r="O14" s="49"/>
      <c r="P14" s="49"/>
      <c r="Q14" s="49"/>
      <c r="R14" s="49"/>
      <c r="S14" s="49"/>
    </row>
    <row r="15" spans="2:19" s="137" customFormat="1" ht="9" customHeight="1">
      <c r="B15" s="160"/>
      <c r="C15" s="161"/>
      <c r="D15" s="161"/>
      <c r="E15" s="49"/>
      <c r="F15" s="162"/>
      <c r="G15" s="162"/>
      <c r="H15" s="162"/>
      <c r="I15" s="49"/>
      <c r="J15" s="163"/>
      <c r="K15" s="49"/>
      <c r="L15" s="49"/>
      <c r="M15" s="49"/>
      <c r="N15" s="49"/>
      <c r="O15" s="49"/>
      <c r="P15" s="49"/>
      <c r="Q15" s="49"/>
      <c r="R15" s="49"/>
      <c r="S15" s="49"/>
    </row>
    <row r="16" spans="2:18" s="137" customFormat="1" ht="9" customHeight="1">
      <c r="B16" s="270">
        <f>IF(B13=2,"Sanciones duplicadas por tasa de falla &gt; 4 Sal. x año/100km.","")</f>
      </c>
      <c r="C16" s="273"/>
      <c r="D16" s="273"/>
      <c r="E16" s="133"/>
      <c r="F16" s="159"/>
      <c r="G16" s="159"/>
      <c r="H16" s="133"/>
      <c r="I16" s="89"/>
      <c r="J16" s="136"/>
      <c r="K16" s="49"/>
      <c r="L16" s="49"/>
      <c r="M16" s="49"/>
      <c r="N16" s="49"/>
      <c r="O16" s="49"/>
      <c r="P16" s="49"/>
      <c r="Q16" s="49"/>
      <c r="R16" s="49"/>
    </row>
    <row r="17" spans="2:18" s="137" customFormat="1" ht="9" customHeight="1">
      <c r="B17" s="160"/>
      <c r="C17" s="161"/>
      <c r="D17" s="161"/>
      <c r="E17" s="49"/>
      <c r="F17" s="162"/>
      <c r="G17" s="162"/>
      <c r="H17" s="49"/>
      <c r="I17"/>
      <c r="J17" s="163"/>
      <c r="K17" s="49"/>
      <c r="L17" s="49"/>
      <c r="M17" s="49"/>
      <c r="N17" s="49"/>
      <c r="O17" s="49"/>
      <c r="P17" s="49"/>
      <c r="Q17" s="49"/>
      <c r="R17" s="49"/>
    </row>
    <row r="18" spans="2:19" s="137" customFormat="1" ht="19.5">
      <c r="B18" s="160"/>
      <c r="C18" s="164" t="s">
        <v>23</v>
      </c>
      <c r="D18" s="165" t="s">
        <v>24</v>
      </c>
      <c r="E18" s="49"/>
      <c r="F18" s="162"/>
      <c r="G18" s="162"/>
      <c r="H18" s="162"/>
      <c r="I18" s="48"/>
      <c r="J18" s="163"/>
      <c r="K18" s="49"/>
      <c r="L18" s="49"/>
      <c r="M18" s="49"/>
      <c r="N18" s="49"/>
      <c r="O18" s="49"/>
      <c r="P18" s="49"/>
      <c r="Q18" s="49"/>
      <c r="R18" s="49"/>
      <c r="S18" s="49"/>
    </row>
    <row r="19" spans="2:19" s="137" customFormat="1" ht="19.5">
      <c r="B19" s="160"/>
      <c r="C19"/>
      <c r="D19" s="164" t="s">
        <v>25</v>
      </c>
      <c r="E19" s="165" t="s">
        <v>26</v>
      </c>
      <c r="F19" s="162"/>
      <c r="G19" s="162"/>
      <c r="H19" s="162"/>
      <c r="I19" s="48">
        <f>'LI-04 (1)'!AA43</f>
        <v>132.8</v>
      </c>
      <c r="J19" s="163"/>
      <c r="K19" s="49"/>
      <c r="L19" s="49"/>
      <c r="M19" s="49"/>
      <c r="N19" s="49"/>
      <c r="O19" s="49"/>
      <c r="P19" s="49"/>
      <c r="Q19" s="49"/>
      <c r="R19" s="49"/>
      <c r="S19" s="49"/>
    </row>
    <row r="20" spans="2:19" s="137" customFormat="1" ht="19.5">
      <c r="B20" s="160"/>
      <c r="C20" s="164"/>
      <c r="D20" s="164" t="s">
        <v>27</v>
      </c>
      <c r="E20" s="165" t="s">
        <v>28</v>
      </c>
      <c r="F20" s="162"/>
      <c r="G20" s="162"/>
      <c r="H20" s="162"/>
      <c r="I20" s="48">
        <f>'LI-EDERSA-04 (1)'!AA43</f>
        <v>1271.83</v>
      </c>
      <c r="J20" s="163"/>
      <c r="K20" s="49"/>
      <c r="L20" s="49"/>
      <c r="M20" s="49"/>
      <c r="N20" s="49"/>
      <c r="O20" s="49"/>
      <c r="P20" s="49"/>
      <c r="Q20" s="49"/>
      <c r="R20" s="49"/>
      <c r="S20" s="49"/>
    </row>
    <row r="21" spans="2:19" s="137" customFormat="1" ht="19.5">
      <c r="B21" s="160"/>
      <c r="C21" s="164"/>
      <c r="D21" s="164" t="s">
        <v>29</v>
      </c>
      <c r="E21" s="165" t="s">
        <v>30</v>
      </c>
      <c r="F21" s="162"/>
      <c r="G21" s="162"/>
      <c r="H21" s="162"/>
      <c r="I21" s="48">
        <f>'LI-SPSE-04 (1)'!AA43</f>
        <v>178.82</v>
      </c>
      <c r="J21" s="163"/>
      <c r="K21" s="49"/>
      <c r="L21" s="49"/>
      <c r="M21" s="49"/>
      <c r="N21" s="49"/>
      <c r="O21" s="49"/>
      <c r="P21" s="49"/>
      <c r="Q21" s="49"/>
      <c r="R21" s="49"/>
      <c r="S21" s="49"/>
    </row>
    <row r="22" spans="2:19" s="137" customFormat="1" ht="19.5">
      <c r="B22" s="160"/>
      <c r="C22" s="164"/>
      <c r="D22" s="164"/>
      <c r="E22" s="165"/>
      <c r="F22" s="162"/>
      <c r="G22" s="162"/>
      <c r="H22" s="162"/>
      <c r="I22" s="48"/>
      <c r="J22" s="163"/>
      <c r="K22" s="49"/>
      <c r="L22" s="49"/>
      <c r="M22" s="49"/>
      <c r="N22" s="49"/>
      <c r="O22" s="49"/>
      <c r="P22" s="49"/>
      <c r="Q22" s="49"/>
      <c r="R22" s="49"/>
      <c r="S22" s="49"/>
    </row>
    <row r="23" spans="2:19" ht="13.5">
      <c r="B23" s="46"/>
      <c r="C23" s="166"/>
      <c r="D23" s="167"/>
      <c r="E23" s="10"/>
      <c r="F23" s="168"/>
      <c r="G23" s="168"/>
      <c r="H23" s="168"/>
      <c r="I23" s="169"/>
      <c r="J23" s="13"/>
      <c r="K23" s="10"/>
      <c r="L23" s="10"/>
      <c r="M23" s="10"/>
      <c r="N23" s="10"/>
      <c r="O23" s="10"/>
      <c r="P23" s="10"/>
      <c r="Q23" s="10"/>
      <c r="R23" s="10"/>
      <c r="S23" s="10"/>
    </row>
    <row r="24" spans="2:19" s="137" customFormat="1" ht="19.5">
      <c r="B24" s="160"/>
      <c r="C24" s="164" t="s">
        <v>31</v>
      </c>
      <c r="D24" s="165" t="s">
        <v>32</v>
      </c>
      <c r="E24" s="49"/>
      <c r="F24" s="162"/>
      <c r="G24" s="162"/>
      <c r="H24" s="162"/>
      <c r="I24" s="48"/>
      <c r="J24" s="163"/>
      <c r="K24" s="49"/>
      <c r="L24" s="49"/>
      <c r="M24" s="49"/>
      <c r="N24" s="49"/>
      <c r="O24" s="49"/>
      <c r="P24" s="49"/>
      <c r="Q24" s="49"/>
      <c r="R24" s="49"/>
      <c r="S24" s="49"/>
    </row>
    <row r="25" spans="2:19" ht="8.25" customHeight="1">
      <c r="B25" s="46"/>
      <c r="C25" s="166"/>
      <c r="D25" s="166"/>
      <c r="E25" s="10"/>
      <c r="F25" s="168"/>
      <c r="G25" s="168"/>
      <c r="H25" s="168"/>
      <c r="I25" s="170"/>
      <c r="J25" s="13"/>
      <c r="K25" s="10"/>
      <c r="L25" s="10"/>
      <c r="M25" s="10"/>
      <c r="N25" s="10"/>
      <c r="O25" s="10"/>
      <c r="P25" s="10"/>
      <c r="Q25" s="10"/>
      <c r="R25" s="10"/>
      <c r="S25" s="10"/>
    </row>
    <row r="26" spans="2:19" s="137" customFormat="1" ht="19.5">
      <c r="B26" s="160"/>
      <c r="C26" s="164"/>
      <c r="D26" s="164" t="s">
        <v>33</v>
      </c>
      <c r="E26" s="11" t="s">
        <v>34</v>
      </c>
      <c r="F26" s="162"/>
      <c r="G26" s="162"/>
      <c r="H26" s="162"/>
      <c r="I26" s="48"/>
      <c r="J26" s="163"/>
      <c r="K26" s="49"/>
      <c r="L26" s="49"/>
      <c r="M26" s="49"/>
      <c r="N26" s="49"/>
      <c r="O26" s="49"/>
      <c r="P26" s="49"/>
      <c r="Q26" s="49"/>
      <c r="R26" s="49"/>
      <c r="S26" s="49"/>
    </row>
    <row r="27" spans="2:19" s="137" customFormat="1" ht="19.5">
      <c r="B27" s="160"/>
      <c r="C27" s="164"/>
      <c r="D27" s="164"/>
      <c r="E27" s="164" t="s">
        <v>35</v>
      </c>
      <c r="F27" s="165" t="s">
        <v>26</v>
      </c>
      <c r="G27" s="162"/>
      <c r="H27" s="162"/>
      <c r="I27" s="48">
        <f>'TR-04 (1)'!AC45</f>
        <v>273.71</v>
      </c>
      <c r="J27" s="163"/>
      <c r="K27" s="49"/>
      <c r="L27" s="49"/>
      <c r="M27" s="49"/>
      <c r="N27" s="49"/>
      <c r="O27" s="49"/>
      <c r="P27" s="49"/>
      <c r="Q27" s="49"/>
      <c r="R27" s="49"/>
      <c r="S27" s="49"/>
    </row>
    <row r="28" spans="2:19" s="137" customFormat="1" ht="19.5">
      <c r="B28" s="160"/>
      <c r="C28" s="164"/>
      <c r="D28" s="164"/>
      <c r="E28" s="164" t="s">
        <v>36</v>
      </c>
      <c r="F28" s="165" t="s">
        <v>28</v>
      </c>
      <c r="G28" s="162"/>
      <c r="H28" s="162"/>
      <c r="I28" s="48">
        <f>'TR-EDERSA-04 (1)'!AC45</f>
        <v>125.13</v>
      </c>
      <c r="J28" s="163"/>
      <c r="K28" s="49"/>
      <c r="L28" s="49"/>
      <c r="M28" s="49"/>
      <c r="N28" s="49"/>
      <c r="O28" s="49"/>
      <c r="P28" s="49"/>
      <c r="Q28" s="49"/>
      <c r="R28" s="49"/>
      <c r="S28" s="49"/>
    </row>
    <row r="29" spans="2:19" s="137" customFormat="1" ht="19.5">
      <c r="B29" s="160"/>
      <c r="C29" s="164"/>
      <c r="D29" s="164"/>
      <c r="E29" s="164"/>
      <c r="F29" s="165"/>
      <c r="G29" s="162"/>
      <c r="H29" s="162"/>
      <c r="I29" s="48"/>
      <c r="J29" s="163"/>
      <c r="K29" s="49"/>
      <c r="L29" s="49"/>
      <c r="M29" s="49"/>
      <c r="N29" s="49"/>
      <c r="O29" s="49"/>
      <c r="P29" s="49"/>
      <c r="Q29" s="49"/>
      <c r="R29" s="49"/>
      <c r="S29" s="49"/>
    </row>
    <row r="30" spans="2:19" ht="13.5">
      <c r="B30" s="46"/>
      <c r="C30" s="166"/>
      <c r="D30" s="166"/>
      <c r="E30" s="10"/>
      <c r="F30" s="168"/>
      <c r="G30" s="168"/>
      <c r="H30" s="168"/>
      <c r="I30" s="170"/>
      <c r="J30" s="13"/>
      <c r="K30" s="10"/>
      <c r="L30" s="10"/>
      <c r="M30" s="10"/>
      <c r="N30" s="10"/>
      <c r="O30" s="10"/>
      <c r="P30" s="10"/>
      <c r="Q30" s="10"/>
      <c r="R30" s="10"/>
      <c r="S30" s="10"/>
    </row>
    <row r="31" spans="2:19" s="137" customFormat="1" ht="19.5">
      <c r="B31" s="160"/>
      <c r="C31" s="164"/>
      <c r="D31" s="164" t="s">
        <v>37</v>
      </c>
      <c r="E31" s="11" t="s">
        <v>38</v>
      </c>
      <c r="F31" s="162"/>
      <c r="G31" s="162"/>
      <c r="H31" s="162"/>
      <c r="I31" s="48"/>
      <c r="J31" s="163"/>
      <c r="K31" s="49"/>
      <c r="L31" s="49"/>
      <c r="M31" s="49"/>
      <c r="N31" s="49"/>
      <c r="O31" s="49"/>
      <c r="P31" s="49"/>
      <c r="Q31" s="49"/>
      <c r="R31" s="49"/>
      <c r="S31" s="49"/>
    </row>
    <row r="32" spans="2:19" s="137" customFormat="1" ht="19.5">
      <c r="B32" s="160"/>
      <c r="C32" s="164"/>
      <c r="D32" s="164"/>
      <c r="E32" s="164"/>
      <c r="F32" s="165"/>
      <c r="G32" s="162"/>
      <c r="H32" s="162"/>
      <c r="I32" s="48"/>
      <c r="J32" s="163"/>
      <c r="K32" s="49"/>
      <c r="L32" s="49"/>
      <c r="M32" s="49"/>
      <c r="N32" s="49"/>
      <c r="O32" s="49"/>
      <c r="P32" s="49"/>
      <c r="Q32" s="49"/>
      <c r="R32" s="49"/>
      <c r="S32" s="49"/>
    </row>
    <row r="33" spans="2:19" s="137" customFormat="1" ht="19.5">
      <c r="B33" s="160"/>
      <c r="C33" s="164"/>
      <c r="D33" s="164"/>
      <c r="E33" s="164" t="s">
        <v>187</v>
      </c>
      <c r="F33" s="165" t="s">
        <v>28</v>
      </c>
      <c r="G33" s="162"/>
      <c r="H33" s="162"/>
      <c r="I33" s="48">
        <f>'SA-EDERSA-04 (1)'!V45</f>
        <v>26.799494999999997</v>
      </c>
      <c r="J33" s="163"/>
      <c r="K33" s="49"/>
      <c r="L33" s="49"/>
      <c r="M33" s="49"/>
      <c r="N33" s="49"/>
      <c r="O33" s="49"/>
      <c r="P33" s="49"/>
      <c r="Q33" s="49"/>
      <c r="R33" s="49"/>
      <c r="S33" s="49"/>
    </row>
    <row r="34" spans="2:19" s="137" customFormat="1" ht="19.5">
      <c r="B34" s="160"/>
      <c r="C34" s="164"/>
      <c r="D34" s="164"/>
      <c r="E34" s="164"/>
      <c r="F34" s="165"/>
      <c r="G34" s="162"/>
      <c r="H34" s="162"/>
      <c r="I34" s="48"/>
      <c r="J34" s="163"/>
      <c r="K34" s="49"/>
      <c r="L34" s="49"/>
      <c r="M34" s="49"/>
      <c r="N34" s="49"/>
      <c r="O34" s="49"/>
      <c r="P34" s="49"/>
      <c r="Q34" s="49"/>
      <c r="R34" s="49"/>
      <c r="S34" s="49"/>
    </row>
    <row r="35" spans="2:19" s="137" customFormat="1" ht="19.5">
      <c r="B35" s="160"/>
      <c r="C35" s="164" t="s">
        <v>39</v>
      </c>
      <c r="D35" s="165" t="s">
        <v>40</v>
      </c>
      <c r="E35" s="49"/>
      <c r="F35" s="162"/>
      <c r="G35" s="162"/>
      <c r="H35" s="162"/>
      <c r="I35" s="48">
        <f>'RE-04 (1)'!V43</f>
        <v>102.72</v>
      </c>
      <c r="J35" s="163"/>
      <c r="K35" s="49"/>
      <c r="L35" s="49"/>
      <c r="M35" s="49"/>
      <c r="N35" s="49"/>
      <c r="O35" s="49"/>
      <c r="P35" s="49"/>
      <c r="Q35" s="49"/>
      <c r="R35" s="49"/>
      <c r="S35" s="49"/>
    </row>
    <row r="36" spans="2:19" ht="19.5">
      <c r="B36" s="46"/>
      <c r="C36" s="164"/>
      <c r="D36" s="165"/>
      <c r="E36" s="49"/>
      <c r="F36" s="162"/>
      <c r="G36" s="162"/>
      <c r="H36" s="162"/>
      <c r="I36" s="48"/>
      <c r="J36" s="13"/>
      <c r="K36" s="10"/>
      <c r="L36" s="10"/>
      <c r="M36" s="10"/>
      <c r="N36" s="10"/>
      <c r="O36" s="10"/>
      <c r="P36" s="10"/>
      <c r="Q36" s="10"/>
      <c r="R36" s="10"/>
      <c r="S36" s="10"/>
    </row>
    <row r="37" spans="2:19" s="137" customFormat="1" ht="19.5">
      <c r="B37" s="160"/>
      <c r="C37" s="164" t="s">
        <v>41</v>
      </c>
      <c r="D37" s="11" t="s">
        <v>42</v>
      </c>
      <c r="E37" s="162"/>
      <c r="F37"/>
      <c r="G37" s="162"/>
      <c r="H37" s="162"/>
      <c r="I37" s="48"/>
      <c r="J37" s="163"/>
      <c r="K37" s="49"/>
      <c r="L37" s="49"/>
      <c r="M37" s="49"/>
      <c r="N37" s="49"/>
      <c r="O37" s="49"/>
      <c r="P37" s="49"/>
      <c r="Q37" s="49"/>
      <c r="R37" s="49"/>
      <c r="S37" s="49"/>
    </row>
    <row r="38" spans="2:19" s="137" customFormat="1" ht="19.5">
      <c r="B38" s="160"/>
      <c r="C38" s="164"/>
      <c r="D38" s="164" t="s">
        <v>43</v>
      </c>
      <c r="E38" s="165" t="s">
        <v>28</v>
      </c>
      <c r="F38"/>
      <c r="G38" s="162"/>
      <c r="H38" s="162"/>
      <c r="I38" s="48">
        <f>'SUP-EDERSA'!I57</f>
        <v>355.93987375</v>
      </c>
      <c r="J38" s="163"/>
      <c r="K38" s="49"/>
      <c r="L38" s="49"/>
      <c r="M38" s="49"/>
      <c r="N38" s="49"/>
      <c r="O38" s="49"/>
      <c r="P38" s="49"/>
      <c r="Q38" s="49"/>
      <c r="R38" s="49"/>
      <c r="S38" s="49"/>
    </row>
    <row r="39" spans="2:19" s="137" customFormat="1" ht="19.5">
      <c r="B39" s="160"/>
      <c r="C39" s="164"/>
      <c r="D39" s="164" t="s">
        <v>44</v>
      </c>
      <c r="E39" s="165" t="s">
        <v>30</v>
      </c>
      <c r="F39"/>
      <c r="G39" s="162"/>
      <c r="H39" s="162"/>
      <c r="I39" s="48">
        <f>'SUP-SPSE'!I52</f>
        <v>44.705000000000005</v>
      </c>
      <c r="J39" s="163"/>
      <c r="K39" s="49"/>
      <c r="L39" s="49"/>
      <c r="M39" s="49"/>
      <c r="N39" s="49"/>
      <c r="O39" s="49"/>
      <c r="P39" s="49"/>
      <c r="Q39" s="49"/>
      <c r="R39" s="49"/>
      <c r="S39" s="49"/>
    </row>
    <row r="40" spans="2:19" s="137" customFormat="1" ht="19.5">
      <c r="B40" s="160"/>
      <c r="C40" s="164"/>
      <c r="D40" s="164"/>
      <c r="E40" s="165"/>
      <c r="F40"/>
      <c r="G40" s="162"/>
      <c r="H40" s="162"/>
      <c r="I40" s="48"/>
      <c r="J40" s="163"/>
      <c r="K40" s="49"/>
      <c r="L40" s="49"/>
      <c r="M40" s="49"/>
      <c r="N40" s="49"/>
      <c r="O40" s="49"/>
      <c r="P40" s="49"/>
      <c r="Q40" s="49"/>
      <c r="R40" s="49"/>
      <c r="S40" s="49"/>
    </row>
    <row r="41" spans="2:19" s="137" customFormat="1" ht="20.25" thickBot="1">
      <c r="B41" s="160"/>
      <c r="C41" s="161"/>
      <c r="D41" s="161"/>
      <c r="E41" s="49"/>
      <c r="F41" s="162"/>
      <c r="G41" s="162"/>
      <c r="H41" s="162"/>
      <c r="I41" s="49"/>
      <c r="J41" s="163"/>
      <c r="K41" s="49"/>
      <c r="L41" s="49"/>
      <c r="M41" s="49"/>
      <c r="N41" s="49"/>
      <c r="O41" s="49"/>
      <c r="P41" s="49"/>
      <c r="Q41" s="49"/>
      <c r="R41" s="49"/>
      <c r="S41" s="49"/>
    </row>
    <row r="42" spans="2:19" s="137" customFormat="1" ht="20.25" thickBot="1" thickTop="1">
      <c r="B42" s="160"/>
      <c r="C42" s="164"/>
      <c r="D42" s="164"/>
      <c r="F42" s="171" t="s">
        <v>45</v>
      </c>
      <c r="G42" s="172">
        <f>SUM(I18:I40)</f>
        <v>2512.45436875</v>
      </c>
      <c r="H42" s="272"/>
      <c r="J42" s="163"/>
      <c r="K42" s="49"/>
      <c r="L42" s="49"/>
      <c r="M42" s="49"/>
      <c r="N42" s="49"/>
      <c r="O42" s="49"/>
      <c r="P42" s="49"/>
      <c r="Q42" s="49"/>
      <c r="R42" s="49"/>
      <c r="S42" s="49"/>
    </row>
    <row r="43" spans="2:19" s="137" customFormat="1" ht="19.5" thickTop="1">
      <c r="B43" s="160"/>
      <c r="C43" s="164"/>
      <c r="D43" s="164"/>
      <c r="F43" s="741"/>
      <c r="G43" s="272"/>
      <c r="H43" s="272"/>
      <c r="J43" s="163"/>
      <c r="K43" s="49"/>
      <c r="L43" s="49"/>
      <c r="M43" s="49"/>
      <c r="N43" s="49"/>
      <c r="O43" s="49"/>
      <c r="P43" s="49"/>
      <c r="Q43" s="49"/>
      <c r="R43" s="49"/>
      <c r="S43" s="49"/>
    </row>
    <row r="44" spans="2:19" s="137" customFormat="1" ht="18.75">
      <c r="B44" s="160"/>
      <c r="J44" s="163"/>
      <c r="K44" s="49"/>
      <c r="L44" s="49"/>
      <c r="M44" s="49"/>
      <c r="N44" s="49"/>
      <c r="O44" s="49"/>
      <c r="P44" s="49"/>
      <c r="Q44" s="49"/>
      <c r="R44" s="49"/>
      <c r="S44" s="49"/>
    </row>
    <row r="45" spans="2:19" s="137" customFormat="1" ht="8.25" customHeight="1">
      <c r="B45" s="160"/>
      <c r="J45" s="163"/>
      <c r="K45" s="49"/>
      <c r="L45" s="49"/>
      <c r="M45" s="49"/>
      <c r="N45" s="49"/>
      <c r="O45" s="49"/>
      <c r="P45" s="49"/>
      <c r="Q45" s="49"/>
      <c r="R45" s="49"/>
      <c r="S45" s="49"/>
    </row>
    <row r="46" spans="2:19" s="137" customFormat="1" ht="18.75">
      <c r="B46" s="160"/>
      <c r="C46" s="742" t="s">
        <v>189</v>
      </c>
      <c r="D46" s="164"/>
      <c r="F46" s="741"/>
      <c r="G46" s="272"/>
      <c r="H46" s="272"/>
      <c r="J46" s="163"/>
      <c r="K46" s="49"/>
      <c r="L46" s="49"/>
      <c r="M46" s="49"/>
      <c r="N46" s="49"/>
      <c r="O46" s="49"/>
      <c r="P46" s="49"/>
      <c r="Q46" s="49"/>
      <c r="R46" s="49"/>
      <c r="S46" s="49"/>
    </row>
    <row r="47" spans="2:19" s="153" customFormat="1" ht="6.75" customHeight="1" thickBot="1">
      <c r="B47" s="173"/>
      <c r="C47" s="174"/>
      <c r="D47" s="174"/>
      <c r="E47" s="175"/>
      <c r="F47" s="175"/>
      <c r="G47" s="175"/>
      <c r="H47" s="175"/>
      <c r="I47" s="175"/>
      <c r="J47" s="176"/>
      <c r="K47" s="154"/>
      <c r="L47" s="154"/>
      <c r="M47" s="87"/>
      <c r="N47" s="177"/>
      <c r="O47" s="177"/>
      <c r="P47" s="178"/>
      <c r="Q47" s="179"/>
      <c r="R47" s="154"/>
      <c r="S47" s="154"/>
    </row>
    <row r="48" spans="4:19" ht="13.5" thickTop="1">
      <c r="D48" s="10"/>
      <c r="F48" s="10"/>
      <c r="G48" s="10"/>
      <c r="H48" s="10"/>
      <c r="I48" s="10"/>
      <c r="J48" s="10"/>
      <c r="K48" s="10"/>
      <c r="L48" s="10"/>
      <c r="M48" s="32"/>
      <c r="N48" s="180"/>
      <c r="O48" s="180"/>
      <c r="P48" s="10"/>
      <c r="Q48" s="38"/>
      <c r="R48" s="10"/>
      <c r="S48" s="10"/>
    </row>
    <row r="49" spans="4:19" ht="12.75">
      <c r="D49" s="10"/>
      <c r="F49" s="10"/>
      <c r="G49" s="10"/>
      <c r="H49" s="10"/>
      <c r="I49" s="10"/>
      <c r="J49" s="10"/>
      <c r="K49" s="10"/>
      <c r="L49" s="10"/>
      <c r="M49" s="10"/>
      <c r="N49" s="181"/>
      <c r="O49" s="181"/>
      <c r="P49" s="182"/>
      <c r="Q49" s="38"/>
      <c r="R49" s="10"/>
      <c r="S49" s="10"/>
    </row>
    <row r="50" spans="4:19" ht="12.7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81"/>
      <c r="O50" s="181"/>
      <c r="P50" s="182"/>
      <c r="Q50" s="38"/>
      <c r="R50" s="10"/>
      <c r="S50" s="10"/>
    </row>
    <row r="51" spans="4:19" ht="12.75">
      <c r="D51" s="10"/>
      <c r="E51" s="10"/>
      <c r="L51" s="10"/>
      <c r="M51" s="10"/>
      <c r="N51" s="10"/>
      <c r="O51" s="10"/>
      <c r="P51" s="10"/>
      <c r="Q51" s="10"/>
      <c r="R51" s="10"/>
      <c r="S51" s="10"/>
    </row>
    <row r="52" spans="4:19" ht="12.75">
      <c r="D52" s="10"/>
      <c r="E52" s="10"/>
      <c r="P52" s="10"/>
      <c r="Q52" s="10"/>
      <c r="R52" s="10"/>
      <c r="S52" s="10"/>
    </row>
    <row r="53" spans="4:19" ht="12.75">
      <c r="D53" s="10"/>
      <c r="E53" s="10"/>
      <c r="P53" s="10"/>
      <c r="Q53" s="10"/>
      <c r="R53" s="10"/>
      <c r="S53" s="10"/>
    </row>
    <row r="54" spans="4:19" ht="12.75">
      <c r="D54" s="10"/>
      <c r="E54" s="10"/>
      <c r="P54" s="10"/>
      <c r="Q54" s="10"/>
      <c r="R54" s="10"/>
      <c r="S54" s="10"/>
    </row>
    <row r="55" spans="4:19" ht="12.75">
      <c r="D55" s="10"/>
      <c r="E55" s="10"/>
      <c r="P55" s="10"/>
      <c r="Q55" s="10"/>
      <c r="R55" s="10"/>
      <c r="S55" s="10"/>
    </row>
    <row r="56" spans="4:19" ht="12.75">
      <c r="D56" s="10"/>
      <c r="E56" s="10"/>
      <c r="P56" s="10"/>
      <c r="Q56" s="10"/>
      <c r="R56" s="10"/>
      <c r="S56" s="10"/>
    </row>
    <row r="57" spans="16:19" ht="12.75">
      <c r="P57" s="10"/>
      <c r="Q57" s="10"/>
      <c r="R57" s="10"/>
      <c r="S57" s="10"/>
    </row>
    <row r="58" spans="16:19" ht="12.75">
      <c r="P58" s="10"/>
      <c r="Q58" s="10"/>
      <c r="R58" s="10"/>
      <c r="S58" s="10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6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S105"/>
  <sheetViews>
    <sheetView zoomScale="55" zoomScaleNormal="55" workbookViewId="0" topLeftCell="A1">
      <selection activeCell="B3" sqref="B3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1.00390625" style="0" customWidth="1"/>
    <col min="6" max="6" width="13.28125" style="0" customWidth="1"/>
    <col min="7" max="7" width="6.7109375" style="0" customWidth="1"/>
    <col min="8" max="8" width="22.57421875" style="0" customWidth="1"/>
    <col min="9" max="9" width="20.7109375" style="0" customWidth="1"/>
    <col min="10" max="10" width="13.8515625" style="0" customWidth="1"/>
    <col min="11" max="11" width="6.00390625" style="0" customWidth="1"/>
    <col min="12" max="12" width="33.28125" style="0" customWidth="1"/>
    <col min="13" max="13" width="7.2812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25" customFormat="1" ht="39.75" customHeight="1">
      <c r="P1" s="471"/>
    </row>
    <row r="2" spans="1:16" s="125" customFormat="1" ht="26.25">
      <c r="A2" s="188"/>
      <c r="B2" s="769" t="str">
        <f>'TOT-0410'!B2</f>
        <v>ANEXO IV al Memorandum  D.T.E.E.  N°   456 /2011 </v>
      </c>
      <c r="C2" s="769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3" s="128" customFormat="1" ht="12.75">
      <c r="A3" s="775" t="s">
        <v>152</v>
      </c>
      <c r="B3" s="12"/>
      <c r="C3" s="12"/>
    </row>
    <row r="4" spans="1:3" s="128" customFormat="1" ht="11.25">
      <c r="A4" s="775" t="s">
        <v>151</v>
      </c>
      <c r="B4" s="251"/>
      <c r="C4" s="251"/>
    </row>
    <row r="5" s="12" customFormat="1" ht="13.5" thickBot="1"/>
    <row r="6" spans="1:16" s="12" customFormat="1" ht="13.5" thickTop="1">
      <c r="A6" s="10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5"/>
    </row>
    <row r="7" spans="1:16" s="130" customFormat="1" ht="20.25">
      <c r="A7" s="47"/>
      <c r="B7" s="129"/>
      <c r="C7" s="47"/>
      <c r="D7" s="23" t="s">
        <v>46</v>
      </c>
      <c r="G7" s="47"/>
      <c r="H7" s="47"/>
      <c r="I7" s="47"/>
      <c r="J7" s="47"/>
      <c r="K7" s="47"/>
      <c r="L7" s="47"/>
      <c r="M7" s="47"/>
      <c r="N7" s="47"/>
      <c r="O7" s="47"/>
      <c r="P7" s="131"/>
    </row>
    <row r="8" spans="1:16" ht="15">
      <c r="A8" s="1"/>
      <c r="B8" s="314"/>
      <c r="C8" s="76"/>
      <c r="D8" s="472"/>
      <c r="E8" s="76"/>
      <c r="F8" s="74"/>
      <c r="G8" s="76"/>
      <c r="H8" s="76"/>
      <c r="I8" s="76"/>
      <c r="J8" s="76"/>
      <c r="K8" s="76"/>
      <c r="L8" s="76"/>
      <c r="M8" s="76"/>
      <c r="N8" s="76"/>
      <c r="O8" s="76"/>
      <c r="P8" s="318"/>
    </row>
    <row r="9" spans="1:19" s="130" customFormat="1" ht="20.25">
      <c r="A9" s="47"/>
      <c r="B9" s="473"/>
      <c r="C9"/>
      <c r="D9" s="24" t="s">
        <v>144</v>
      </c>
      <c r="E9" s="474"/>
      <c r="F9" s="474"/>
      <c r="G9" s="474"/>
      <c r="H9" s="475"/>
      <c r="I9" s="474"/>
      <c r="J9" s="474"/>
      <c r="K9" s="474"/>
      <c r="L9" s="474"/>
      <c r="M9" s="474"/>
      <c r="N9" s="474"/>
      <c r="O9" s="474"/>
      <c r="P9" s="476"/>
      <c r="Q9" s="267"/>
      <c r="R9" s="195"/>
      <c r="S9" s="195"/>
    </row>
    <row r="10" spans="1:19" s="12" customFormat="1" ht="12.75">
      <c r="A10" s="10"/>
      <c r="B10" s="46"/>
      <c r="C10" s="10"/>
      <c r="D10" s="70"/>
      <c r="E10" s="32"/>
      <c r="F10" s="32"/>
      <c r="G10" s="32"/>
      <c r="H10" s="187"/>
      <c r="I10" s="32"/>
      <c r="J10" s="32"/>
      <c r="K10" s="32"/>
      <c r="L10" s="32"/>
      <c r="M10" s="32"/>
      <c r="N10" s="32"/>
      <c r="O10" s="32"/>
      <c r="P10" s="40"/>
      <c r="Q10" s="32"/>
      <c r="R10" s="32"/>
      <c r="S10" s="194"/>
    </row>
    <row r="11" spans="1:19" s="137" customFormat="1" ht="19.5">
      <c r="A11" s="49"/>
      <c r="B11" s="270" t="str">
        <f>+'TOT-0410'!B14</f>
        <v>Desde el 01 al 30 de abril de 2010</v>
      </c>
      <c r="C11" s="159"/>
      <c r="D11" s="214"/>
      <c r="E11" s="214"/>
      <c r="F11" s="214"/>
      <c r="G11" s="214"/>
      <c r="H11" s="214"/>
      <c r="I11" s="159"/>
      <c r="J11" s="214"/>
      <c r="K11" s="214"/>
      <c r="L11" s="214"/>
      <c r="M11" s="214"/>
      <c r="N11" s="214"/>
      <c r="O11" s="214"/>
      <c r="P11" s="477"/>
      <c r="Q11" s="478"/>
      <c r="R11" s="478"/>
      <c r="S11" s="478"/>
    </row>
    <row r="12" spans="1:19" ht="15">
      <c r="A12" s="1"/>
      <c r="B12" s="314"/>
      <c r="C12" s="76"/>
      <c r="D12" s="72"/>
      <c r="E12" s="72"/>
      <c r="F12" s="72"/>
      <c r="G12" s="72"/>
      <c r="H12" s="479"/>
      <c r="I12" s="76"/>
      <c r="J12" s="72"/>
      <c r="K12" s="72"/>
      <c r="L12" s="72"/>
      <c r="M12" s="72"/>
      <c r="N12" s="72"/>
      <c r="O12" s="72"/>
      <c r="P12" s="73"/>
      <c r="Q12" s="6"/>
      <c r="R12" s="6"/>
      <c r="S12" s="480"/>
    </row>
    <row r="13" spans="1:19" ht="18" customHeight="1">
      <c r="A13" s="1"/>
      <c r="B13" s="314"/>
      <c r="C13" s="76"/>
      <c r="D13" s="72"/>
      <c r="E13" s="72"/>
      <c r="F13" s="72"/>
      <c r="G13" s="72"/>
      <c r="H13" s="84"/>
      <c r="I13" s="84"/>
      <c r="J13" s="72"/>
      <c r="K13" s="72"/>
      <c r="P13" s="73"/>
      <c r="Q13" s="6"/>
      <c r="R13" s="6"/>
      <c r="S13" s="480"/>
    </row>
    <row r="14" spans="1:19" ht="18" customHeight="1">
      <c r="A14" s="1"/>
      <c r="B14" s="314"/>
      <c r="C14" s="76"/>
      <c r="D14" s="71"/>
      <c r="E14" s="481"/>
      <c r="F14" s="72"/>
      <c r="G14" s="72"/>
      <c r="H14" s="84"/>
      <c r="I14" s="84"/>
      <c r="J14" s="72"/>
      <c r="K14" s="72"/>
      <c r="P14" s="73"/>
      <c r="Q14" s="6"/>
      <c r="R14" s="6"/>
      <c r="S14" s="480"/>
    </row>
    <row r="15" spans="1:16" ht="16.5" thickBot="1">
      <c r="A15" s="1"/>
      <c r="B15" s="314"/>
      <c r="C15" s="482" t="s">
        <v>99</v>
      </c>
      <c r="D15" s="74"/>
      <c r="E15" s="315"/>
      <c r="F15" s="316"/>
      <c r="G15" s="76"/>
      <c r="H15" s="76"/>
      <c r="I15" s="76"/>
      <c r="J15" s="75"/>
      <c r="K15" s="75"/>
      <c r="L15" s="317"/>
      <c r="M15" s="76"/>
      <c r="N15" s="76"/>
      <c r="O15" s="76"/>
      <c r="P15" s="318"/>
    </row>
    <row r="16" spans="1:16" ht="16.5" thickBot="1">
      <c r="A16" s="1"/>
      <c r="B16" s="314"/>
      <c r="C16" s="319"/>
      <c r="D16" s="74"/>
      <c r="E16" s="315"/>
      <c r="F16" s="316"/>
      <c r="G16" s="76"/>
      <c r="H16" s="76"/>
      <c r="L16" s="483" t="s">
        <v>89</v>
      </c>
      <c r="M16" s="484">
        <v>3.243</v>
      </c>
      <c r="N16" s="485"/>
      <c r="O16" s="76"/>
      <c r="P16" s="318"/>
    </row>
    <row r="17" spans="1:16" ht="15.75">
      <c r="A17" s="1"/>
      <c r="B17" s="314"/>
      <c r="C17" s="319"/>
      <c r="D17" s="75" t="s">
        <v>100</v>
      </c>
      <c r="E17" s="320">
        <v>720</v>
      </c>
      <c r="F17" s="76" t="s">
        <v>101</v>
      </c>
      <c r="G17" s="72"/>
      <c r="H17" s="486"/>
      <c r="I17" s="487" t="s">
        <v>102</v>
      </c>
      <c r="J17" s="488">
        <v>69.722</v>
      </c>
      <c r="K17" s="467"/>
      <c r="L17" s="489" t="s">
        <v>90</v>
      </c>
      <c r="M17" s="490">
        <v>2.433</v>
      </c>
      <c r="N17" s="491"/>
      <c r="O17" s="76"/>
      <c r="P17" s="318"/>
    </row>
    <row r="18" spans="1:16" ht="16.5" thickBot="1">
      <c r="A18" s="1"/>
      <c r="B18" s="314"/>
      <c r="C18" s="319"/>
      <c r="D18" s="75" t="s">
        <v>103</v>
      </c>
      <c r="E18" s="322">
        <v>0.025</v>
      </c>
      <c r="F18" s="72"/>
      <c r="G18" s="72"/>
      <c r="H18" s="492"/>
      <c r="I18" s="493" t="s">
        <v>104</v>
      </c>
      <c r="J18" s="494">
        <v>0.243</v>
      </c>
      <c r="K18" s="495"/>
      <c r="L18" s="496" t="s">
        <v>91</v>
      </c>
      <c r="M18" s="497">
        <v>2.433</v>
      </c>
      <c r="N18" s="498"/>
      <c r="O18" s="76"/>
      <c r="P18" s="318"/>
    </row>
    <row r="19" spans="1:16" ht="15.75">
      <c r="A19" s="1"/>
      <c r="B19" s="314"/>
      <c r="C19" s="319"/>
      <c r="D19" s="75"/>
      <c r="E19" s="322"/>
      <c r="F19" s="72"/>
      <c r="G19" s="72"/>
      <c r="H19" s="72"/>
      <c r="I19" s="72"/>
      <c r="L19" s="317"/>
      <c r="M19" s="76"/>
      <c r="N19" s="76"/>
      <c r="O19" s="76"/>
      <c r="P19" s="318"/>
    </row>
    <row r="20" spans="1:16" ht="15">
      <c r="A20" s="1"/>
      <c r="B20" s="314"/>
      <c r="C20" s="71" t="s">
        <v>105</v>
      </c>
      <c r="D20" s="79"/>
      <c r="E20" s="315"/>
      <c r="F20" s="316"/>
      <c r="G20" s="76"/>
      <c r="H20" s="76"/>
      <c r="I20" s="76"/>
      <c r="J20" s="75"/>
      <c r="K20" s="75"/>
      <c r="L20" s="317"/>
      <c r="M20" s="76"/>
      <c r="N20" s="76"/>
      <c r="O20" s="76"/>
      <c r="P20" s="318"/>
    </row>
    <row r="21" spans="1:16" ht="15">
      <c r="A21" s="1"/>
      <c r="B21" s="314"/>
      <c r="C21" s="76"/>
      <c r="D21" s="76"/>
      <c r="E21" s="76"/>
      <c r="F21" s="76"/>
      <c r="G21" s="76"/>
      <c r="H21" s="323"/>
      <c r="I21" s="76"/>
      <c r="J21" s="76"/>
      <c r="K21" s="76"/>
      <c r="L21" s="76"/>
      <c r="M21" s="76"/>
      <c r="N21" s="76"/>
      <c r="O21" s="76"/>
      <c r="P21" s="318"/>
    </row>
    <row r="22" spans="1:16" ht="15">
      <c r="A22" s="1"/>
      <c r="B22" s="314"/>
      <c r="C22" s="76"/>
      <c r="D22" s="75" t="s">
        <v>106</v>
      </c>
      <c r="E22" s="76"/>
      <c r="F22" s="323" t="s">
        <v>24</v>
      </c>
      <c r="G22" s="76"/>
      <c r="H22" s="74"/>
      <c r="I22" s="499">
        <f>'TOT-0410'!I21</f>
        <v>178.82</v>
      </c>
      <c r="J22" s="76"/>
      <c r="K22" s="76"/>
      <c r="L22" s="500" t="s">
        <v>186</v>
      </c>
      <c r="M22" s="76"/>
      <c r="N22" s="76"/>
      <c r="O22" s="76"/>
      <c r="P22" s="318"/>
    </row>
    <row r="23" spans="1:16" ht="15">
      <c r="A23" s="1"/>
      <c r="B23" s="314"/>
      <c r="C23" s="76"/>
      <c r="D23" s="76"/>
      <c r="E23" s="76"/>
      <c r="F23" s="323" t="s">
        <v>108</v>
      </c>
      <c r="G23" s="76"/>
      <c r="H23" s="74"/>
      <c r="I23" s="499"/>
      <c r="J23" s="76"/>
      <c r="K23" s="76"/>
      <c r="L23" s="500"/>
      <c r="M23" s="76"/>
      <c r="N23" s="76"/>
      <c r="O23" s="76"/>
      <c r="P23" s="318"/>
    </row>
    <row r="24" spans="1:16" ht="15">
      <c r="A24" s="1"/>
      <c r="B24" s="314"/>
      <c r="C24" s="76"/>
      <c r="D24" s="76"/>
      <c r="E24" s="76"/>
      <c r="F24" s="323" t="s">
        <v>3</v>
      </c>
      <c r="G24" s="76"/>
      <c r="H24" s="74"/>
      <c r="I24" s="501"/>
      <c r="J24" s="76"/>
      <c r="K24" s="76"/>
      <c r="L24" s="500"/>
      <c r="M24" s="76"/>
      <c r="N24" s="76"/>
      <c r="O24" s="76"/>
      <c r="P24" s="318"/>
    </row>
    <row r="25" spans="1:16" ht="15.75" thickBot="1">
      <c r="A25" s="1"/>
      <c r="B25" s="314"/>
      <c r="C25" s="76"/>
      <c r="D25" s="76"/>
      <c r="E25" s="76"/>
      <c r="F25" s="76"/>
      <c r="G25" s="76"/>
      <c r="H25" s="323"/>
      <c r="I25" s="76"/>
      <c r="J25" s="76"/>
      <c r="K25" s="76"/>
      <c r="L25" s="76"/>
      <c r="M25" s="76"/>
      <c r="N25" s="76"/>
      <c r="O25" s="76"/>
      <c r="P25" s="318"/>
    </row>
    <row r="26" spans="2:16" ht="20.25" thickBot="1" thickTop="1">
      <c r="B26" s="314"/>
      <c r="C26" s="83"/>
      <c r="H26" s="502" t="s">
        <v>111</v>
      </c>
      <c r="I26" s="172">
        <f>SUM(I22:I25)</f>
        <v>178.82</v>
      </c>
      <c r="L26" s="80"/>
      <c r="M26" s="80"/>
      <c r="N26" s="81"/>
      <c r="O26" s="82"/>
      <c r="P26" s="324"/>
    </row>
    <row r="27" spans="2:16" ht="15.75" thickTop="1">
      <c r="B27" s="314"/>
      <c r="C27" s="83"/>
      <c r="D27" s="79"/>
      <c r="E27" s="79"/>
      <c r="F27" s="85"/>
      <c r="G27" s="80"/>
      <c r="H27" s="80"/>
      <c r="I27" s="80"/>
      <c r="J27" s="80"/>
      <c r="K27" s="80"/>
      <c r="L27" s="80"/>
      <c r="M27" s="80"/>
      <c r="N27" s="81"/>
      <c r="O27" s="82"/>
      <c r="P27" s="324"/>
    </row>
    <row r="28" spans="2:16" ht="15">
      <c r="B28" s="314"/>
      <c r="C28" s="71" t="s">
        <v>112</v>
      </c>
      <c r="D28" s="79"/>
      <c r="E28" s="79"/>
      <c r="F28" s="85"/>
      <c r="G28" s="80"/>
      <c r="H28" s="80"/>
      <c r="I28" s="80"/>
      <c r="J28" s="80"/>
      <c r="K28" s="80"/>
      <c r="L28" s="80"/>
      <c r="M28" s="80"/>
      <c r="N28" s="81"/>
      <c r="O28" s="82"/>
      <c r="P28" s="324"/>
    </row>
    <row r="29" spans="2:16" ht="15">
      <c r="B29" s="314"/>
      <c r="C29" s="83"/>
      <c r="D29" s="79"/>
      <c r="E29" s="79"/>
      <c r="F29" s="85"/>
      <c r="G29" s="80"/>
      <c r="H29" s="80"/>
      <c r="I29" s="80"/>
      <c r="J29" s="80"/>
      <c r="K29" s="80"/>
      <c r="L29" s="80"/>
      <c r="M29" s="80"/>
      <c r="N29" s="81"/>
      <c r="O29" s="82"/>
      <c r="P29" s="324"/>
    </row>
    <row r="30" spans="2:16" ht="15.75">
      <c r="B30" s="314"/>
      <c r="C30" s="83"/>
      <c r="D30" s="503" t="s">
        <v>113</v>
      </c>
      <c r="E30" s="504" t="s">
        <v>20</v>
      </c>
      <c r="F30" s="505" t="s">
        <v>114</v>
      </c>
      <c r="G30" s="506"/>
      <c r="H30" s="748" t="s">
        <v>141</v>
      </c>
      <c r="I30" s="747" t="s">
        <v>140</v>
      </c>
      <c r="J30" s="507"/>
      <c r="K30" s="508"/>
      <c r="L30" s="509" t="s">
        <v>2</v>
      </c>
      <c r="N30" s="81"/>
      <c r="O30" s="82"/>
      <c r="P30" s="324"/>
    </row>
    <row r="31" spans="2:16" ht="15">
      <c r="B31" s="314"/>
      <c r="C31" s="83"/>
      <c r="D31" s="510" t="s">
        <v>4</v>
      </c>
      <c r="E31" s="511">
        <v>132</v>
      </c>
      <c r="F31" s="512">
        <v>209</v>
      </c>
      <c r="G31" s="513"/>
      <c r="H31" s="514">
        <f>F31*$J$17*$E$17/100</f>
        <v>104917.6656</v>
      </c>
      <c r="I31" s="515">
        <v>0</v>
      </c>
      <c r="J31" s="516" t="s">
        <v>153</v>
      </c>
      <c r="K31" s="517"/>
      <c r="L31" s="518">
        <f>SUM(H31:K31)</f>
        <v>104917.6656</v>
      </c>
      <c r="M31" s="80"/>
      <c r="N31" s="81"/>
      <c r="O31" s="82"/>
      <c r="P31" s="324"/>
    </row>
    <row r="32" spans="2:16" ht="15">
      <c r="B32" s="314"/>
      <c r="C32" s="83"/>
      <c r="D32" s="519"/>
      <c r="E32" s="520"/>
      <c r="F32" s="521"/>
      <c r="G32" s="522"/>
      <c r="H32" s="523"/>
      <c r="I32" s="524"/>
      <c r="J32" s="525"/>
      <c r="K32" s="526"/>
      <c r="L32" s="527"/>
      <c r="M32" s="80"/>
      <c r="N32" s="81"/>
      <c r="O32" s="82"/>
      <c r="P32" s="324"/>
    </row>
    <row r="33" spans="2:16" ht="15">
      <c r="B33" s="314"/>
      <c r="C33" s="83"/>
      <c r="D33" s="79"/>
      <c r="E33" s="79"/>
      <c r="F33" s="325"/>
      <c r="G33" s="80"/>
      <c r="I33" s="86"/>
      <c r="J33" s="321"/>
      <c r="K33" s="321"/>
      <c r="L33" s="528">
        <f>SUM(L31:L32)</f>
        <v>104917.6656</v>
      </c>
      <c r="M33" s="80"/>
      <c r="N33" s="81"/>
      <c r="O33" s="82"/>
      <c r="P33" s="324"/>
    </row>
    <row r="34" spans="2:16" ht="15">
      <c r="B34" s="314"/>
      <c r="C34" s="83"/>
      <c r="D34" s="79"/>
      <c r="E34" s="79"/>
      <c r="F34" s="325"/>
      <c r="G34" s="80"/>
      <c r="I34" s="86"/>
      <c r="J34" s="321"/>
      <c r="K34" s="321"/>
      <c r="L34" s="326"/>
      <c r="M34" s="80"/>
      <c r="N34" s="81"/>
      <c r="O34" s="82"/>
      <c r="P34" s="324"/>
    </row>
    <row r="35" spans="2:16" ht="15.75">
      <c r="B35" s="314"/>
      <c r="C35" s="83"/>
      <c r="D35" s="503" t="s">
        <v>115</v>
      </c>
      <c r="E35" s="504" t="s">
        <v>116</v>
      </c>
      <c r="F35" s="505" t="s">
        <v>117</v>
      </c>
      <c r="G35" s="762" t="s">
        <v>141</v>
      </c>
      <c r="H35" s="756"/>
      <c r="J35" s="529" t="s">
        <v>118</v>
      </c>
      <c r="K35" s="530"/>
      <c r="L35" s="531" t="s">
        <v>56</v>
      </c>
      <c r="M35" s="504" t="s">
        <v>20</v>
      </c>
      <c r="N35" s="532" t="s">
        <v>119</v>
      </c>
      <c r="O35" s="533"/>
      <c r="P35" s="324"/>
    </row>
    <row r="36" spans="2:16" ht="15">
      <c r="B36" s="314"/>
      <c r="C36" s="83"/>
      <c r="D36" s="510" t="s">
        <v>11</v>
      </c>
      <c r="E36" s="511" t="s">
        <v>10</v>
      </c>
      <c r="F36" s="512">
        <v>5</v>
      </c>
      <c r="G36" s="757"/>
      <c r="H36" s="758">
        <f>+F36*$J$18*$E$17</f>
        <v>874.8</v>
      </c>
      <c r="J36" s="754" t="s">
        <v>11</v>
      </c>
      <c r="K36" s="750"/>
      <c r="L36" s="751" t="s">
        <v>17</v>
      </c>
      <c r="M36" s="535">
        <v>13.2</v>
      </c>
      <c r="N36" s="536">
        <f>M18*$E$17</f>
        <v>1751.7599999999998</v>
      </c>
      <c r="O36" s="537"/>
      <c r="P36" s="324"/>
    </row>
    <row r="37" spans="2:16" ht="15">
      <c r="B37" s="314"/>
      <c r="C37" s="83"/>
      <c r="D37" s="519" t="s">
        <v>11</v>
      </c>
      <c r="E37" s="520" t="s">
        <v>9</v>
      </c>
      <c r="F37" s="521">
        <v>5</v>
      </c>
      <c r="G37" s="759"/>
      <c r="H37" s="760">
        <f>+F37*$J$18*$E$17</f>
        <v>874.8</v>
      </c>
      <c r="J37" s="755" t="s">
        <v>11</v>
      </c>
      <c r="K37" s="752"/>
      <c r="L37" s="753" t="s">
        <v>18</v>
      </c>
      <c r="M37" s="81">
        <v>13.2</v>
      </c>
      <c r="N37" s="542">
        <f>M18*$E$17</f>
        <v>1751.7599999999998</v>
      </c>
      <c r="O37" s="543"/>
      <c r="P37" s="324"/>
    </row>
    <row r="38" spans="2:16" ht="15">
      <c r="B38" s="314"/>
      <c r="C38" s="83"/>
      <c r="D38" s="79"/>
      <c r="E38" s="79"/>
      <c r="F38" s="325"/>
      <c r="G38" s="759"/>
      <c r="H38" s="761">
        <f>SUM(H36:H37)</f>
        <v>1749.6</v>
      </c>
      <c r="J38" s="544"/>
      <c r="K38" s="525"/>
      <c r="L38" s="522"/>
      <c r="M38" s="545"/>
      <c r="N38" s="546"/>
      <c r="O38" s="547"/>
      <c r="P38" s="324"/>
    </row>
    <row r="39" spans="2:16" ht="15">
      <c r="B39" s="314"/>
      <c r="C39" s="83"/>
      <c r="D39" s="79"/>
      <c r="E39" s="79"/>
      <c r="F39" s="325"/>
      <c r="G39" s="80"/>
      <c r="I39" s="86"/>
      <c r="J39" s="321"/>
      <c r="K39" s="321"/>
      <c r="L39" s="326"/>
      <c r="M39" s="80"/>
      <c r="N39" s="548">
        <f>SUM(N36:N38)</f>
        <v>3503.5199999999995</v>
      </c>
      <c r="O39" s="533"/>
      <c r="P39" s="324"/>
    </row>
    <row r="40" spans="2:16" ht="12.75" customHeight="1" thickBot="1">
      <c r="B40" s="314"/>
      <c r="C40" s="83"/>
      <c r="D40" s="79"/>
      <c r="E40" s="79"/>
      <c r="F40" s="85"/>
      <c r="G40" s="80"/>
      <c r="H40" s="86"/>
      <c r="I40" s="79"/>
      <c r="J40" s="79"/>
      <c r="K40" s="79"/>
      <c r="L40" s="80"/>
      <c r="M40" s="80"/>
      <c r="N40" s="81"/>
      <c r="O40" s="82"/>
      <c r="P40" s="324"/>
    </row>
    <row r="41" spans="2:16" ht="20.25" thickBot="1" thickTop="1">
      <c r="B41" s="314"/>
      <c r="C41" s="83"/>
      <c r="D41" s="79"/>
      <c r="E41" s="79"/>
      <c r="F41" s="85"/>
      <c r="G41" s="80"/>
      <c r="H41" s="549" t="s">
        <v>120</v>
      </c>
      <c r="I41" s="550">
        <f>+H38+N39+L33</f>
        <v>110170.78559999999</v>
      </c>
      <c r="J41" s="79"/>
      <c r="K41" s="79"/>
      <c r="L41" s="80"/>
      <c r="M41" s="80"/>
      <c r="N41" s="81"/>
      <c r="O41" s="82"/>
      <c r="P41" s="324"/>
    </row>
    <row r="42" spans="2:16" ht="15.75" thickTop="1">
      <c r="B42" s="314"/>
      <c r="C42" s="83"/>
      <c r="D42" s="79"/>
      <c r="E42" s="79"/>
      <c r="F42" s="85"/>
      <c r="G42" s="80"/>
      <c r="H42" s="86"/>
      <c r="I42" s="79"/>
      <c r="J42" s="79"/>
      <c r="K42" s="79"/>
      <c r="L42" s="80"/>
      <c r="M42" s="80"/>
      <c r="N42" s="81"/>
      <c r="O42" s="82"/>
      <c r="P42" s="324"/>
    </row>
    <row r="43" spans="2:16" ht="15.75">
      <c r="B43" s="314"/>
      <c r="C43" s="551" t="s">
        <v>121</v>
      </c>
      <c r="D43" s="79"/>
      <c r="E43" s="79"/>
      <c r="F43" s="85"/>
      <c r="G43" s="80"/>
      <c r="H43" s="86"/>
      <c r="I43" s="79"/>
      <c r="J43" s="79"/>
      <c r="K43" s="79"/>
      <c r="L43" s="80"/>
      <c r="M43" s="80"/>
      <c r="N43" s="81"/>
      <c r="O43" s="82"/>
      <c r="P43" s="324"/>
    </row>
    <row r="44" spans="2:16" ht="15.75" thickBot="1">
      <c r="B44" s="314"/>
      <c r="C44" s="83"/>
      <c r="D44" s="79"/>
      <c r="E44" s="79"/>
      <c r="F44" s="85"/>
      <c r="G44" s="80"/>
      <c r="H44" s="86"/>
      <c r="I44" s="79"/>
      <c r="J44" s="79"/>
      <c r="K44" s="79"/>
      <c r="L44" s="80"/>
      <c r="M44" s="80"/>
      <c r="N44" s="81"/>
      <c r="O44" s="82"/>
      <c r="P44" s="324"/>
    </row>
    <row r="45" spans="2:16" ht="20.25" thickBot="1" thickTop="1">
      <c r="B45" s="314"/>
      <c r="C45" s="83"/>
      <c r="D45" s="268" t="s">
        <v>122</v>
      </c>
      <c r="F45" s="327"/>
      <c r="G45" s="76"/>
      <c r="H45" s="171" t="s">
        <v>123</v>
      </c>
      <c r="I45" s="552">
        <f>E18*I41</f>
        <v>2754.26964</v>
      </c>
      <c r="J45" s="72"/>
      <c r="K45" s="72"/>
      <c r="O45" s="72"/>
      <c r="P45" s="324"/>
    </row>
    <row r="46" spans="2:16" ht="21.75" thickTop="1">
      <c r="B46" s="314"/>
      <c r="C46" s="83"/>
      <c r="F46" s="328"/>
      <c r="G46" s="47"/>
      <c r="I46" s="72"/>
      <c r="J46" s="72"/>
      <c r="K46" s="72"/>
      <c r="O46" s="72"/>
      <c r="P46" s="324"/>
    </row>
    <row r="47" spans="2:16" ht="15">
      <c r="B47" s="314"/>
      <c r="C47" s="71" t="s">
        <v>124</v>
      </c>
      <c r="E47" s="72"/>
      <c r="F47" s="72"/>
      <c r="G47" s="72"/>
      <c r="H47" s="72"/>
      <c r="I47" s="80"/>
      <c r="J47" s="80"/>
      <c r="K47" s="80"/>
      <c r="L47" s="80"/>
      <c r="M47" s="80"/>
      <c r="N47" s="81"/>
      <c r="O47" s="82"/>
      <c r="P47" s="324"/>
    </row>
    <row r="48" spans="2:16" ht="15">
      <c r="B48" s="314"/>
      <c r="C48" s="83"/>
      <c r="D48" s="78" t="s">
        <v>125</v>
      </c>
      <c r="E48" s="329">
        <f>10*I26*I45/I41</f>
        <v>44.705000000000005</v>
      </c>
      <c r="F48" s="553"/>
      <c r="H48" s="72"/>
      <c r="I48" s="80"/>
      <c r="J48" s="80"/>
      <c r="K48" s="80"/>
      <c r="L48" s="80"/>
      <c r="M48" s="80"/>
      <c r="N48" s="81"/>
      <c r="O48" s="82"/>
      <c r="P48" s="324"/>
    </row>
    <row r="49" spans="2:16" ht="15">
      <c r="B49" s="314"/>
      <c r="C49" s="83"/>
      <c r="D49" s="72"/>
      <c r="E49" s="72"/>
      <c r="J49" s="80"/>
      <c r="K49" s="80"/>
      <c r="L49" s="80"/>
      <c r="M49" s="80"/>
      <c r="N49" s="81"/>
      <c r="O49" s="82"/>
      <c r="P49" s="324"/>
    </row>
    <row r="50" spans="2:16" ht="15">
      <c r="B50" s="314"/>
      <c r="C50" s="83"/>
      <c r="D50" s="72" t="s">
        <v>126</v>
      </c>
      <c r="E50" s="72"/>
      <c r="F50" s="72"/>
      <c r="G50" s="72"/>
      <c r="H50" s="72"/>
      <c r="M50" s="80"/>
      <c r="N50" s="81"/>
      <c r="O50" s="82"/>
      <c r="P50" s="324"/>
    </row>
    <row r="51" spans="2:16" ht="15.75" thickBot="1">
      <c r="B51" s="314"/>
      <c r="C51" s="83"/>
      <c r="D51" s="72"/>
      <c r="E51" s="72"/>
      <c r="F51" s="72"/>
      <c r="G51" s="72"/>
      <c r="H51" s="72"/>
      <c r="M51" s="80"/>
      <c r="N51" s="81"/>
      <c r="O51" s="82"/>
      <c r="P51" s="324"/>
    </row>
    <row r="52" spans="2:16" ht="20.25" thickBot="1" thickTop="1">
      <c r="B52" s="314"/>
      <c r="C52" s="83"/>
      <c r="D52" s="79"/>
      <c r="E52" s="79"/>
      <c r="F52" s="85"/>
      <c r="G52" s="80"/>
      <c r="H52" s="269" t="s">
        <v>127</v>
      </c>
      <c r="I52" s="554">
        <f>IF($E$48&gt;3*I45,3*I45,$E$48)</f>
        <v>44.705000000000005</v>
      </c>
      <c r="J52" s="80"/>
      <c r="K52" s="80"/>
      <c r="L52" s="80"/>
      <c r="M52" s="80"/>
      <c r="N52" s="81"/>
      <c r="O52" s="82"/>
      <c r="P52" s="324"/>
    </row>
    <row r="53" spans="2:16" ht="16.5" thickBot="1" thickTop="1">
      <c r="B53" s="330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2"/>
    </row>
    <row r="54" spans="2:16" ht="13.5" thickTop="1">
      <c r="B54" s="1"/>
      <c r="P54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3" ht="12" customHeight="1"/>
    <row r="99" ht="12.75">
      <c r="B99" s="1"/>
    </row>
    <row r="105" ht="12.75">
      <c r="A105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T60"/>
  <sheetViews>
    <sheetView zoomScale="75" zoomScaleNormal="75" workbookViewId="0" topLeftCell="C16">
      <selection activeCell="T50" sqref="T50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471"/>
    </row>
    <row r="2" spans="2:20" s="817" customFormat="1" ht="30.75">
      <c r="B2" s="126" t="str">
        <f>'TOT-0410'!B2</f>
        <v>ANEXO IV al Memorandum  D.T.E.E.  N°   456 /2011 </v>
      </c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</row>
    <row r="3" spans="1:2" ht="12.75" customHeight="1">
      <c r="A3" s="819" t="s">
        <v>21</v>
      </c>
      <c r="B3" s="820"/>
    </row>
    <row r="4" spans="1:4" ht="12.75" customHeight="1">
      <c r="A4" s="819" t="s">
        <v>22</v>
      </c>
      <c r="B4" s="820"/>
      <c r="D4" s="821"/>
    </row>
    <row r="5" spans="1:4" ht="21.75" customHeight="1">
      <c r="A5" s="822"/>
      <c r="D5" s="821"/>
    </row>
    <row r="6" spans="1:20" ht="26.25">
      <c r="A6" s="822"/>
      <c r="B6" s="823" t="s">
        <v>172</v>
      </c>
      <c r="C6" s="89"/>
      <c r="D6" s="821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4" ht="18.75" customHeight="1">
      <c r="A7" s="822"/>
      <c r="D7" s="821"/>
    </row>
    <row r="8" spans="1:20" ht="26.25">
      <c r="A8" s="822"/>
      <c r="B8" s="824" t="s">
        <v>1</v>
      </c>
      <c r="C8" s="89"/>
      <c r="D8" s="821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4" ht="18.75" customHeight="1">
      <c r="A9" s="822"/>
      <c r="D9" s="821"/>
    </row>
    <row r="10" spans="1:20" ht="26.25">
      <c r="A10" s="822"/>
      <c r="B10" s="824" t="s">
        <v>173</v>
      </c>
      <c r="C10" s="89"/>
      <c r="D10" s="821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ht="18.75" customHeight="1" thickBot="1"/>
    <row r="12" spans="2:20" ht="18.75" customHeight="1" thickTop="1">
      <c r="B12" s="825"/>
      <c r="C12" s="826"/>
      <c r="D12" s="827"/>
      <c r="E12" s="827"/>
      <c r="F12" s="827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8"/>
    </row>
    <row r="13" spans="2:20" ht="19.5">
      <c r="B13" s="270" t="s">
        <v>182</v>
      </c>
      <c r="C13" s="89"/>
      <c r="D13" s="829"/>
      <c r="E13" s="829"/>
      <c r="F13" s="829"/>
      <c r="G13" s="830"/>
      <c r="H13" s="830"/>
      <c r="I13" s="830"/>
      <c r="J13" s="830"/>
      <c r="K13" s="830"/>
      <c r="L13" s="830"/>
      <c r="M13" s="830"/>
      <c r="N13" s="830"/>
      <c r="O13" s="830"/>
      <c r="P13" s="830"/>
      <c r="Q13" s="830"/>
      <c r="R13" s="830"/>
      <c r="S13" s="830"/>
      <c r="T13" s="831"/>
    </row>
    <row r="14" spans="2:20" ht="18.75" customHeight="1" thickBot="1">
      <c r="B14" s="2"/>
      <c r="C14" s="832"/>
      <c r="D14" s="833"/>
      <c r="E14" s="833"/>
      <c r="F14" s="83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842" customFormat="1" ht="34.5" customHeight="1" thickBot="1" thickTop="1">
      <c r="A15" s="820"/>
      <c r="B15" s="835"/>
      <c r="C15" s="836"/>
      <c r="D15" s="837" t="s">
        <v>24</v>
      </c>
      <c r="E15" s="838" t="s">
        <v>53</v>
      </c>
      <c r="F15" s="839" t="s">
        <v>54</v>
      </c>
      <c r="G15" s="840">
        <v>39904</v>
      </c>
      <c r="H15" s="840">
        <v>39934</v>
      </c>
      <c r="I15" s="840">
        <v>39965</v>
      </c>
      <c r="J15" s="840">
        <v>39995</v>
      </c>
      <c r="K15" s="840">
        <v>40026</v>
      </c>
      <c r="L15" s="840">
        <v>40057</v>
      </c>
      <c r="M15" s="840">
        <v>40087</v>
      </c>
      <c r="N15" s="840">
        <v>40118</v>
      </c>
      <c r="O15" s="840">
        <v>40148</v>
      </c>
      <c r="P15" s="840">
        <v>40179</v>
      </c>
      <c r="Q15" s="840">
        <v>40210</v>
      </c>
      <c r="R15" s="840">
        <v>40238</v>
      </c>
      <c r="S15" s="840">
        <v>40269</v>
      </c>
      <c r="T15" s="841"/>
    </row>
    <row r="16" spans="2:20" ht="15" customHeight="1" thickTop="1">
      <c r="B16" s="2"/>
      <c r="C16" s="843"/>
      <c r="D16" s="844"/>
      <c r="E16" s="844"/>
      <c r="F16" s="845"/>
      <c r="G16" s="846"/>
      <c r="H16" s="846"/>
      <c r="I16" s="846"/>
      <c r="J16" s="846"/>
      <c r="K16" s="846"/>
      <c r="L16" s="846"/>
      <c r="M16" s="846"/>
      <c r="N16" s="846"/>
      <c r="O16" s="846"/>
      <c r="P16" s="846"/>
      <c r="Q16" s="846"/>
      <c r="R16" s="846"/>
      <c r="S16" s="847"/>
      <c r="T16" s="3"/>
    </row>
    <row r="17" spans="2:20" ht="15" customHeight="1" hidden="1">
      <c r="B17" s="2"/>
      <c r="C17" s="848">
        <f>IF('[1]Tasa de Falla'!C17=0,"",'[1]Tasa de Falla'!C17)</f>
        <v>1</v>
      </c>
      <c r="D17" s="849" t="str">
        <f>IF('[1]Tasa de Falla'!D17=0,"",'[1]Tasa de Falla'!D17)</f>
        <v>AMEGHINO - COMODORO RIVADAVIA</v>
      </c>
      <c r="E17" s="849">
        <f>IF('[1]Tasa de Falla'!E17=0,"",'[1]Tasa de Falla'!E17)</f>
        <v>132</v>
      </c>
      <c r="F17" s="850">
        <f>IF('[1]Tasa de Falla'!F17=0,"",'[1]Tasa de Falla'!F17)</f>
        <v>305</v>
      </c>
      <c r="G17" s="851" t="str">
        <f>IF('[1]Tasa de Falla'!CU17=0,"",'[1]Tasa de Falla'!CU17)</f>
        <v>XXXX</v>
      </c>
      <c r="H17" s="851" t="str">
        <f>IF('[1]Tasa de Falla'!CV17=0,"",'[1]Tasa de Falla'!CV17)</f>
        <v>XXXX</v>
      </c>
      <c r="I17" s="851" t="str">
        <f>IF('[1]Tasa de Falla'!CW17=0,"",'[1]Tasa de Falla'!CW17)</f>
        <v>XXXX</v>
      </c>
      <c r="J17" s="851" t="str">
        <f>IF('[1]Tasa de Falla'!CX17=0,"",'[1]Tasa de Falla'!CX17)</f>
        <v>XXXX</v>
      </c>
      <c r="K17" s="851" t="str">
        <f>IF('[1]Tasa de Falla'!CY17=0,"",'[1]Tasa de Falla'!CY17)</f>
        <v>XXXX</v>
      </c>
      <c r="L17" s="851" t="str">
        <f>IF('[1]Tasa de Falla'!CZ17=0,"",'[1]Tasa de Falla'!CZ17)</f>
        <v>XXXX</v>
      </c>
      <c r="M17" s="851" t="str">
        <f>IF('[1]Tasa de Falla'!DA17=0,"",'[1]Tasa de Falla'!DA17)</f>
        <v>XXXX</v>
      </c>
      <c r="N17" s="851" t="str">
        <f>IF('[1]Tasa de Falla'!DB17=0,"",'[1]Tasa de Falla'!DB17)</f>
        <v>XXXX</v>
      </c>
      <c r="O17" s="851" t="str">
        <f>IF('[1]Tasa de Falla'!DC17=0,"",'[1]Tasa de Falla'!DC17)</f>
        <v>XXXX</v>
      </c>
      <c r="P17" s="851" t="str">
        <f>IF('[1]Tasa de Falla'!DD17=0,"",'[1]Tasa de Falla'!DD17)</f>
        <v>XXXX</v>
      </c>
      <c r="Q17" s="851" t="str">
        <f>IF('[1]Tasa de Falla'!DE17=0,"",'[1]Tasa de Falla'!DE17)</f>
        <v>XXXX</v>
      </c>
      <c r="R17" s="851" t="str">
        <f>IF('[1]Tasa de Falla'!DF17=0,"",'[1]Tasa de Falla'!DF17)</f>
        <v>XXXX</v>
      </c>
      <c r="S17" s="886"/>
      <c r="T17" s="3"/>
    </row>
    <row r="18" spans="2:20" ht="15" customHeight="1">
      <c r="B18" s="2"/>
      <c r="C18" s="853">
        <f>IF('[1]Tasa de Falla'!C18=0,"",'[1]Tasa de Falla'!C18)</f>
        <v>2</v>
      </c>
      <c r="D18" s="854" t="str">
        <f>IF('[1]Tasa de Falla'!D18=0,"",'[1]Tasa de Falla'!D18)</f>
        <v>AMEGHINO - ESTACION PATAGONIA</v>
      </c>
      <c r="E18" s="854">
        <f>IF('[1]Tasa de Falla'!E18=0,"",'[1]Tasa de Falla'!E18)</f>
        <v>132</v>
      </c>
      <c r="F18" s="855">
        <f>IF('[1]Tasa de Falla'!F18=0,"",'[1]Tasa de Falla'!F18)</f>
        <v>299.6</v>
      </c>
      <c r="G18" s="851">
        <f>IF('[1]Tasa de Falla'!FX18=0,"",'[1]Tasa de Falla'!FX18)</f>
      </c>
      <c r="H18" s="851">
        <f>IF('[1]Tasa de Falla'!FY18=0,"",'[1]Tasa de Falla'!FY18)</f>
      </c>
      <c r="I18" s="851">
        <f>IF('[1]Tasa de Falla'!FZ18=0,"",'[1]Tasa de Falla'!FZ18)</f>
      </c>
      <c r="J18" s="851">
        <f>IF('[1]Tasa de Falla'!GA18=0,"",'[1]Tasa de Falla'!GA18)</f>
        <v>1</v>
      </c>
      <c r="K18" s="851">
        <f>IF('[1]Tasa de Falla'!GB18=0,"",'[1]Tasa de Falla'!GB18)</f>
      </c>
      <c r="L18" s="851">
        <f>IF('[1]Tasa de Falla'!GC18=0,"",'[1]Tasa de Falla'!GC18)</f>
      </c>
      <c r="M18" s="851">
        <f>IF('[1]Tasa de Falla'!GD18=0,"",'[1]Tasa de Falla'!GD18)</f>
        <v>1</v>
      </c>
      <c r="N18" s="851">
        <f>IF('[1]Tasa de Falla'!GE18=0,"",'[1]Tasa de Falla'!GE18)</f>
      </c>
      <c r="O18" s="851">
        <f>IF('[1]Tasa de Falla'!GF18=0,"",'[1]Tasa de Falla'!GF18)</f>
      </c>
      <c r="P18" s="851">
        <f>IF('[1]Tasa de Falla'!GG18=0,"",'[1]Tasa de Falla'!GG18)</f>
      </c>
      <c r="Q18" s="851">
        <f>IF('[1]Tasa de Falla'!GH18=0,"",'[1]Tasa de Falla'!GH18)</f>
      </c>
      <c r="R18" s="851">
        <f>IF('[1]Tasa de Falla'!GI18=0,"",'[1]Tasa de Falla'!GI18)</f>
      </c>
      <c r="S18" s="886"/>
      <c r="T18" s="3"/>
    </row>
    <row r="19" spans="2:20" ht="15" customHeight="1">
      <c r="B19" s="2"/>
      <c r="C19" s="848">
        <f>IF('[1]Tasa de Falla'!C19=0,"",'[1]Tasa de Falla'!C19)</f>
        <v>3</v>
      </c>
      <c r="D19" s="849" t="str">
        <f>IF('[1]Tasa de Falla'!D19=0,"",'[1]Tasa de Falla'!D19)</f>
        <v>AMEGHINO - TRELEW</v>
      </c>
      <c r="E19" s="849">
        <f>IF('[1]Tasa de Falla'!E19=0,"",'[1]Tasa de Falla'!E19)</f>
        <v>132</v>
      </c>
      <c r="F19" s="850">
        <f>IF('[1]Tasa de Falla'!F19=0,"",'[1]Tasa de Falla'!F19)</f>
        <v>112</v>
      </c>
      <c r="G19" s="851">
        <f>IF('[1]Tasa de Falla'!FX19=0,"",'[1]Tasa de Falla'!FX19)</f>
      </c>
      <c r="H19" s="851">
        <f>IF('[1]Tasa de Falla'!FY19=0,"",'[1]Tasa de Falla'!FY19)</f>
      </c>
      <c r="I19" s="851">
        <f>IF('[1]Tasa de Falla'!FZ19=0,"",'[1]Tasa de Falla'!FZ19)</f>
      </c>
      <c r="J19" s="851">
        <f>IF('[1]Tasa de Falla'!GA19=0,"",'[1]Tasa de Falla'!GA19)</f>
      </c>
      <c r="K19" s="851">
        <f>IF('[1]Tasa de Falla'!GB19=0,"",'[1]Tasa de Falla'!GB19)</f>
      </c>
      <c r="L19" s="851">
        <f>IF('[1]Tasa de Falla'!GC19=0,"",'[1]Tasa de Falla'!GC19)</f>
      </c>
      <c r="M19" s="851">
        <f>IF('[1]Tasa de Falla'!GD19=0,"",'[1]Tasa de Falla'!GD19)</f>
      </c>
      <c r="N19" s="851">
        <f>IF('[1]Tasa de Falla'!GE19=0,"",'[1]Tasa de Falla'!GE19)</f>
      </c>
      <c r="O19" s="851">
        <f>IF('[1]Tasa de Falla'!GF19=0,"",'[1]Tasa de Falla'!GF19)</f>
      </c>
      <c r="P19" s="851">
        <f>IF('[1]Tasa de Falla'!GG19=0,"",'[1]Tasa de Falla'!GG19)</f>
      </c>
      <c r="Q19" s="851">
        <f>IF('[1]Tasa de Falla'!GH19=0,"",'[1]Tasa de Falla'!GH19)</f>
      </c>
      <c r="R19" s="851">
        <f>IF('[1]Tasa de Falla'!GI19=0,"",'[1]Tasa de Falla'!GI19)</f>
      </c>
      <c r="S19" s="886"/>
      <c r="T19" s="3"/>
    </row>
    <row r="20" spans="2:20" ht="15" customHeight="1">
      <c r="B20" s="2"/>
      <c r="C20" s="853">
        <f>IF('[1]Tasa de Falla'!C20=0,"",'[1]Tasa de Falla'!C20)</f>
        <v>4</v>
      </c>
      <c r="D20" s="854" t="str">
        <f>IF('[1]Tasa de Falla'!D20=0,"",'[1]Tasa de Falla'!D20)</f>
        <v>FUTALEUFU - ESQUEL</v>
      </c>
      <c r="E20" s="854">
        <f>IF('[1]Tasa de Falla'!E20=0,"",'[1]Tasa de Falla'!E20)</f>
        <v>132</v>
      </c>
      <c r="F20" s="855">
        <f>IF('[1]Tasa de Falla'!F20=0,"",'[1]Tasa de Falla'!F20)</f>
        <v>28.41</v>
      </c>
      <c r="G20" s="851">
        <f>IF('[1]Tasa de Falla'!FX20=0,"",'[1]Tasa de Falla'!FX20)</f>
      </c>
      <c r="H20" s="851">
        <f>IF('[1]Tasa de Falla'!FY20=0,"",'[1]Tasa de Falla'!FY20)</f>
        <v>1</v>
      </c>
      <c r="I20" s="851">
        <f>IF('[1]Tasa de Falla'!FZ20=0,"",'[1]Tasa de Falla'!FZ20)</f>
      </c>
      <c r="J20" s="851">
        <f>IF('[1]Tasa de Falla'!GA20=0,"",'[1]Tasa de Falla'!GA20)</f>
      </c>
      <c r="K20" s="851">
        <f>IF('[1]Tasa de Falla'!GB20=0,"",'[1]Tasa de Falla'!GB20)</f>
      </c>
      <c r="L20" s="851">
        <f>IF('[1]Tasa de Falla'!GC20=0,"",'[1]Tasa de Falla'!GC20)</f>
      </c>
      <c r="M20" s="851">
        <f>IF('[1]Tasa de Falla'!GD20=0,"",'[1]Tasa de Falla'!GD20)</f>
      </c>
      <c r="N20" s="851">
        <f>IF('[1]Tasa de Falla'!GE20=0,"",'[1]Tasa de Falla'!GE20)</f>
      </c>
      <c r="O20" s="851">
        <f>IF('[1]Tasa de Falla'!GF20=0,"",'[1]Tasa de Falla'!GF20)</f>
      </c>
      <c r="P20" s="851">
        <f>IF('[1]Tasa de Falla'!GG20=0,"",'[1]Tasa de Falla'!GG20)</f>
      </c>
      <c r="Q20" s="851">
        <f>IF('[1]Tasa de Falla'!GH20=0,"",'[1]Tasa de Falla'!GH20)</f>
      </c>
      <c r="R20" s="851">
        <f>IF('[1]Tasa de Falla'!GI20=0,"",'[1]Tasa de Falla'!GI20)</f>
      </c>
      <c r="S20" s="886"/>
      <c r="T20" s="3"/>
    </row>
    <row r="21" spans="2:20" ht="15" customHeight="1">
      <c r="B21" s="2"/>
      <c r="C21" s="848">
        <f>IF('[1]Tasa de Falla'!C21=0,"",'[1]Tasa de Falla'!C21)</f>
        <v>5</v>
      </c>
      <c r="D21" s="849" t="str">
        <f>IF('[1]Tasa de Falla'!D21=0,"",'[1]Tasa de Falla'!D21)</f>
        <v>BARRIO SAN MARTIN - ESTACION PATAGONIA</v>
      </c>
      <c r="E21" s="849">
        <f>IF('[1]Tasa de Falla'!E21=0,"",'[1]Tasa de Falla'!E21)</f>
        <v>132</v>
      </c>
      <c r="F21" s="850">
        <f>IF('[1]Tasa de Falla'!F21=0,"",'[1]Tasa de Falla'!F21)</f>
        <v>9.43</v>
      </c>
      <c r="G21" s="851">
        <f>IF('[1]Tasa de Falla'!FX21=0,"",'[1]Tasa de Falla'!FX21)</f>
      </c>
      <c r="H21" s="851">
        <f>IF('[1]Tasa de Falla'!FY21=0,"",'[1]Tasa de Falla'!FY21)</f>
      </c>
      <c r="I21" s="851">
        <f>IF('[1]Tasa de Falla'!FZ21=0,"",'[1]Tasa de Falla'!FZ21)</f>
      </c>
      <c r="J21" s="851">
        <f>IF('[1]Tasa de Falla'!GA21=0,"",'[1]Tasa de Falla'!GA21)</f>
      </c>
      <c r="K21" s="851">
        <f>IF('[1]Tasa de Falla'!GB21=0,"",'[1]Tasa de Falla'!GB21)</f>
      </c>
      <c r="L21" s="851">
        <f>IF('[1]Tasa de Falla'!GC21=0,"",'[1]Tasa de Falla'!GC21)</f>
      </c>
      <c r="M21" s="851">
        <f>IF('[1]Tasa de Falla'!GD21=0,"",'[1]Tasa de Falla'!GD21)</f>
      </c>
      <c r="N21" s="851">
        <f>IF('[1]Tasa de Falla'!GE21=0,"",'[1]Tasa de Falla'!GE21)</f>
      </c>
      <c r="O21" s="851">
        <f>IF('[1]Tasa de Falla'!GF21=0,"",'[1]Tasa de Falla'!GF21)</f>
      </c>
      <c r="P21" s="851">
        <f>IF('[1]Tasa de Falla'!GG21=0,"",'[1]Tasa de Falla'!GG21)</f>
      </c>
      <c r="Q21" s="851">
        <f>IF('[1]Tasa de Falla'!GH21=0,"",'[1]Tasa de Falla'!GH21)</f>
      </c>
      <c r="R21" s="851">
        <f>IF('[1]Tasa de Falla'!GI21=0,"",'[1]Tasa de Falla'!GI21)</f>
      </c>
      <c r="S21" s="886"/>
      <c r="T21" s="3"/>
    </row>
    <row r="22" spans="2:20" ht="15" customHeight="1">
      <c r="B22" s="2"/>
      <c r="C22" s="853">
        <f>IF('[1]Tasa de Falla'!C22=0,"",'[1]Tasa de Falla'!C22)</f>
        <v>6</v>
      </c>
      <c r="D22" s="854" t="str">
        <f>IF('[1]Tasa de Falla'!D22=0,"",'[1]Tasa de Falla'!D22)</f>
        <v>COMODORO RIVADAVIA - E.T. A1</v>
      </c>
      <c r="E22" s="854">
        <f>IF('[1]Tasa de Falla'!E22=0,"",'[1]Tasa de Falla'!E22)</f>
        <v>132</v>
      </c>
      <c r="F22" s="855">
        <f>IF('[1]Tasa de Falla'!F22=0,"",'[1]Tasa de Falla'!F22)</f>
        <v>0.5</v>
      </c>
      <c r="G22" s="851">
        <f>IF('[1]Tasa de Falla'!FX22=0,"",'[1]Tasa de Falla'!FX22)</f>
      </c>
      <c r="H22" s="851">
        <f>IF('[1]Tasa de Falla'!FY22=0,"",'[1]Tasa de Falla'!FY22)</f>
      </c>
      <c r="I22" s="851">
        <f>IF('[1]Tasa de Falla'!FZ22=0,"",'[1]Tasa de Falla'!FZ22)</f>
      </c>
      <c r="J22" s="851">
        <f>IF('[1]Tasa de Falla'!GA22=0,"",'[1]Tasa de Falla'!GA22)</f>
      </c>
      <c r="K22" s="851">
        <f>IF('[1]Tasa de Falla'!GB22=0,"",'[1]Tasa de Falla'!GB22)</f>
      </c>
      <c r="L22" s="851">
        <f>IF('[1]Tasa de Falla'!GC22=0,"",'[1]Tasa de Falla'!GC22)</f>
      </c>
      <c r="M22" s="851">
        <f>IF('[1]Tasa de Falla'!GD22=0,"",'[1]Tasa de Falla'!GD22)</f>
      </c>
      <c r="N22" s="851">
        <f>IF('[1]Tasa de Falla'!GE22=0,"",'[1]Tasa de Falla'!GE22)</f>
      </c>
      <c r="O22" s="851">
        <f>IF('[1]Tasa de Falla'!GF22=0,"",'[1]Tasa de Falla'!GF22)</f>
      </c>
      <c r="P22" s="851">
        <f>IF('[1]Tasa de Falla'!GG22=0,"",'[1]Tasa de Falla'!GG22)</f>
      </c>
      <c r="Q22" s="851">
        <f>IF('[1]Tasa de Falla'!GH22=0,"",'[1]Tasa de Falla'!GH22)</f>
      </c>
      <c r="R22" s="851">
        <f>IF('[1]Tasa de Falla'!GI22=0,"",'[1]Tasa de Falla'!GI22)</f>
      </c>
      <c r="S22" s="886"/>
      <c r="T22" s="3"/>
    </row>
    <row r="23" spans="2:20" ht="15" customHeight="1">
      <c r="B23" s="2"/>
      <c r="C23" s="848">
        <f>IF('[1]Tasa de Falla'!C23=0,"",'[1]Tasa de Falla'!C23)</f>
        <v>7</v>
      </c>
      <c r="D23" s="849" t="str">
        <f>IF('[1]Tasa de Falla'!D23=0,"",'[1]Tasa de Falla'!D23)</f>
        <v>COMODORO RIVADAVIA (A1) - ESTACION PATAGONIA</v>
      </c>
      <c r="E23" s="849">
        <f>IF('[1]Tasa de Falla'!E23=0,"",'[1]Tasa de Falla'!E23)</f>
        <v>132</v>
      </c>
      <c r="F23" s="850">
        <f>IF('[1]Tasa de Falla'!F23=0,"",'[1]Tasa de Falla'!F23)</f>
        <v>6.9</v>
      </c>
      <c r="G23" s="851">
        <f>IF('[1]Tasa de Falla'!FX23=0,"",'[1]Tasa de Falla'!FX23)</f>
      </c>
      <c r="H23" s="851">
        <f>IF('[1]Tasa de Falla'!FY23=0,"",'[1]Tasa de Falla'!FY23)</f>
      </c>
      <c r="I23" s="851">
        <f>IF('[1]Tasa de Falla'!FZ23=0,"",'[1]Tasa de Falla'!FZ23)</f>
      </c>
      <c r="J23" s="851">
        <f>IF('[1]Tasa de Falla'!GA23=0,"",'[1]Tasa de Falla'!GA23)</f>
      </c>
      <c r="K23" s="851">
        <f>IF('[1]Tasa de Falla'!GB23=0,"",'[1]Tasa de Falla'!GB23)</f>
      </c>
      <c r="L23" s="851">
        <f>IF('[1]Tasa de Falla'!GC23=0,"",'[1]Tasa de Falla'!GC23)</f>
      </c>
      <c r="M23" s="851">
        <f>IF('[1]Tasa de Falla'!GD23=0,"",'[1]Tasa de Falla'!GD23)</f>
      </c>
      <c r="N23" s="851">
        <f>IF('[1]Tasa de Falla'!GE23=0,"",'[1]Tasa de Falla'!GE23)</f>
      </c>
      <c r="O23" s="851">
        <f>IF('[1]Tasa de Falla'!GF23=0,"",'[1]Tasa de Falla'!GF23)</f>
      </c>
      <c r="P23" s="851">
        <f>IF('[1]Tasa de Falla'!GG23=0,"",'[1]Tasa de Falla'!GG23)</f>
      </c>
      <c r="Q23" s="851">
        <f>IF('[1]Tasa de Falla'!GH23=0,"",'[1]Tasa de Falla'!GH23)</f>
      </c>
      <c r="R23" s="851">
        <f>IF('[1]Tasa de Falla'!GI23=0,"",'[1]Tasa de Falla'!GI23)</f>
      </c>
      <c r="S23" s="886"/>
      <c r="T23" s="3"/>
    </row>
    <row r="24" spans="2:20" ht="15" customHeight="1">
      <c r="B24" s="2"/>
      <c r="C24" s="853">
        <f>IF('[1]Tasa de Falla'!C24=0,"",'[1]Tasa de Falla'!C24)</f>
        <v>8</v>
      </c>
      <c r="D24" s="854" t="str">
        <f>IF('[1]Tasa de Falla'!D24=0,"",'[1]Tasa de Falla'!D24)</f>
        <v>COMODORO RIVADAVIA - PICO TRUNCADO</v>
      </c>
      <c r="E24" s="854">
        <f>IF('[1]Tasa de Falla'!E24=0,"",'[1]Tasa de Falla'!E24)</f>
        <v>132</v>
      </c>
      <c r="F24" s="855">
        <f>IF('[1]Tasa de Falla'!F24=0,"",'[1]Tasa de Falla'!F24)</f>
        <v>138</v>
      </c>
      <c r="G24" s="851">
        <f>IF('[1]Tasa de Falla'!FX24=0,"",'[1]Tasa de Falla'!FX24)</f>
      </c>
      <c r="H24" s="851">
        <f>IF('[1]Tasa de Falla'!FY24=0,"",'[1]Tasa de Falla'!FY24)</f>
      </c>
      <c r="I24" s="851">
        <f>IF('[1]Tasa de Falla'!FZ24=0,"",'[1]Tasa de Falla'!FZ24)</f>
      </c>
      <c r="J24" s="851">
        <f>IF('[1]Tasa de Falla'!GA24=0,"",'[1]Tasa de Falla'!GA24)</f>
      </c>
      <c r="K24" s="851">
        <f>IF('[1]Tasa de Falla'!GB24=0,"",'[1]Tasa de Falla'!GB24)</f>
      </c>
      <c r="L24" s="851">
        <f>IF('[1]Tasa de Falla'!GC24=0,"",'[1]Tasa de Falla'!GC24)</f>
      </c>
      <c r="M24" s="851">
        <f>IF('[1]Tasa de Falla'!GD24=0,"",'[1]Tasa de Falla'!GD24)</f>
      </c>
      <c r="N24" s="851">
        <f>IF('[1]Tasa de Falla'!GE24=0,"",'[1]Tasa de Falla'!GE24)</f>
      </c>
      <c r="O24" s="851">
        <f>IF('[1]Tasa de Falla'!GF24=0,"",'[1]Tasa de Falla'!GF24)</f>
        <v>1</v>
      </c>
      <c r="P24" s="851">
        <f>IF('[1]Tasa de Falla'!GG24=0,"",'[1]Tasa de Falla'!GG24)</f>
      </c>
      <c r="Q24" s="851">
        <f>IF('[1]Tasa de Falla'!GH24=0,"",'[1]Tasa de Falla'!GH24)</f>
      </c>
      <c r="R24" s="851">
        <f>IF('[1]Tasa de Falla'!GI24=0,"",'[1]Tasa de Falla'!GI24)</f>
      </c>
      <c r="S24" s="886"/>
      <c r="T24" s="3"/>
    </row>
    <row r="25" spans="2:20" ht="15" customHeight="1">
      <c r="B25" s="2"/>
      <c r="C25" s="848">
        <f>IF('[1]Tasa de Falla'!C25=0,"",'[1]Tasa de Falla'!C25)</f>
        <v>9</v>
      </c>
      <c r="D25" s="849" t="str">
        <f>IF('[1]Tasa de Falla'!D25=0,"",'[1]Tasa de Falla'!D25)</f>
        <v>FUTALEUFÚ - PUERTO MADRYN 1</v>
      </c>
      <c r="E25" s="849">
        <f>IF('[1]Tasa de Falla'!E25=0,"",'[1]Tasa de Falla'!E25)</f>
        <v>330</v>
      </c>
      <c r="F25" s="850">
        <f>IF('[1]Tasa de Falla'!F25=0,"",'[1]Tasa de Falla'!F25)</f>
        <v>550</v>
      </c>
      <c r="G25" s="851">
        <f>IF('[1]Tasa de Falla'!FX25=0,"",'[1]Tasa de Falla'!FX25)</f>
      </c>
      <c r="H25" s="851">
        <f>IF('[1]Tasa de Falla'!FY25=0,"",'[1]Tasa de Falla'!FY25)</f>
      </c>
      <c r="I25" s="851">
        <f>IF('[1]Tasa de Falla'!FZ25=0,"",'[1]Tasa de Falla'!FZ25)</f>
        <v>1</v>
      </c>
      <c r="J25" s="851">
        <f>IF('[1]Tasa de Falla'!GA25=0,"",'[1]Tasa de Falla'!GA25)</f>
      </c>
      <c r="K25" s="851">
        <f>IF('[1]Tasa de Falla'!GB25=0,"",'[1]Tasa de Falla'!GB25)</f>
      </c>
      <c r="L25" s="851">
        <f>IF('[1]Tasa de Falla'!GC25=0,"",'[1]Tasa de Falla'!GC25)</f>
      </c>
      <c r="M25" s="851">
        <f>IF('[1]Tasa de Falla'!GD25=0,"",'[1]Tasa de Falla'!GD25)</f>
      </c>
      <c r="N25" s="851">
        <f>IF('[1]Tasa de Falla'!GE25=0,"",'[1]Tasa de Falla'!GE25)</f>
      </c>
      <c r="O25" s="851">
        <f>IF('[1]Tasa de Falla'!GF25=0,"",'[1]Tasa de Falla'!GF25)</f>
      </c>
      <c r="P25" s="851">
        <f>IF('[1]Tasa de Falla'!GG25=0,"",'[1]Tasa de Falla'!GG25)</f>
      </c>
      <c r="Q25" s="851">
        <f>IF('[1]Tasa de Falla'!GH25=0,"",'[1]Tasa de Falla'!GH25)</f>
      </c>
      <c r="R25" s="851">
        <f>IF('[1]Tasa de Falla'!GI25=0,"",'[1]Tasa de Falla'!GI25)</f>
        <v>1</v>
      </c>
      <c r="S25" s="886"/>
      <c r="T25" s="3"/>
    </row>
    <row r="26" spans="2:20" ht="15" customHeight="1">
      <c r="B26" s="2"/>
      <c r="C26" s="853">
        <f>IF('[1]Tasa de Falla'!C26=0,"",'[1]Tasa de Falla'!C26)</f>
        <v>10</v>
      </c>
      <c r="D26" s="854" t="str">
        <f>IF('[1]Tasa de Falla'!D26=0,"",'[1]Tasa de Falla'!D26)</f>
        <v>FUTALEUFÚ - PUERTO MADRYN 2</v>
      </c>
      <c r="E26" s="854">
        <f>IF('[1]Tasa de Falla'!E26=0,"",'[1]Tasa de Falla'!E26)</f>
        <v>330</v>
      </c>
      <c r="F26" s="855">
        <f>IF('[1]Tasa de Falla'!F26=0,"",'[1]Tasa de Falla'!F26)</f>
        <v>550</v>
      </c>
      <c r="G26" s="851">
        <f>IF('[1]Tasa de Falla'!FX26=0,"",'[1]Tasa de Falla'!FX26)</f>
      </c>
      <c r="H26" s="851">
        <f>IF('[1]Tasa de Falla'!FY26=0,"",'[1]Tasa de Falla'!FY26)</f>
      </c>
      <c r="I26" s="851">
        <f>IF('[1]Tasa de Falla'!FZ26=0,"",'[1]Tasa de Falla'!FZ26)</f>
      </c>
      <c r="J26" s="851">
        <f>IF('[1]Tasa de Falla'!GA26=0,"",'[1]Tasa de Falla'!GA26)</f>
      </c>
      <c r="K26" s="851">
        <f>IF('[1]Tasa de Falla'!GB26=0,"",'[1]Tasa de Falla'!GB26)</f>
      </c>
      <c r="L26" s="851">
        <f>IF('[1]Tasa de Falla'!GC26=0,"",'[1]Tasa de Falla'!GC26)</f>
      </c>
      <c r="M26" s="851">
        <f>IF('[1]Tasa de Falla'!GD26=0,"",'[1]Tasa de Falla'!GD26)</f>
      </c>
      <c r="N26" s="851">
        <f>IF('[1]Tasa de Falla'!GE26=0,"",'[1]Tasa de Falla'!GE26)</f>
        <v>1</v>
      </c>
      <c r="O26" s="851">
        <f>IF('[1]Tasa de Falla'!GF26=0,"",'[1]Tasa de Falla'!GF26)</f>
      </c>
      <c r="P26" s="851">
        <f>IF('[1]Tasa de Falla'!GG26=0,"",'[1]Tasa de Falla'!GG26)</f>
      </c>
      <c r="Q26" s="851">
        <f>IF('[1]Tasa de Falla'!GH26=0,"",'[1]Tasa de Falla'!GH26)</f>
      </c>
      <c r="R26" s="851">
        <f>IF('[1]Tasa de Falla'!GI26=0,"",'[1]Tasa de Falla'!GI26)</f>
      </c>
      <c r="S26" s="886"/>
      <c r="T26" s="3"/>
    </row>
    <row r="27" spans="2:20" ht="15" customHeight="1">
      <c r="B27" s="2"/>
      <c r="C27" s="848">
        <f>IF('[1]Tasa de Falla'!C27=0,"",'[1]Tasa de Falla'!C27)</f>
        <v>11</v>
      </c>
      <c r="D27" s="849" t="str">
        <f>IF('[1]Tasa de Falla'!D27=0,"",'[1]Tasa de Falla'!D27)</f>
        <v>PLANTA ALUMINIO APPA - PUERTO MADRYN 1</v>
      </c>
      <c r="E27" s="849">
        <f>IF('[1]Tasa de Falla'!E27=0,"",'[1]Tasa de Falla'!E27)</f>
        <v>330</v>
      </c>
      <c r="F27" s="850">
        <f>IF('[1]Tasa de Falla'!F27=0,"",'[1]Tasa de Falla'!F27)</f>
        <v>5.5</v>
      </c>
      <c r="G27" s="851">
        <f>IF('[1]Tasa de Falla'!FX27=0,"",'[1]Tasa de Falla'!FX27)</f>
      </c>
      <c r="H27" s="851">
        <f>IF('[1]Tasa de Falla'!FY27=0,"",'[1]Tasa de Falla'!FY27)</f>
      </c>
      <c r="I27" s="851">
        <f>IF('[1]Tasa de Falla'!FZ27=0,"",'[1]Tasa de Falla'!FZ27)</f>
      </c>
      <c r="J27" s="851">
        <f>IF('[1]Tasa de Falla'!GA27=0,"",'[1]Tasa de Falla'!GA27)</f>
      </c>
      <c r="K27" s="851">
        <f>IF('[1]Tasa de Falla'!GB27=0,"",'[1]Tasa de Falla'!GB27)</f>
      </c>
      <c r="L27" s="851">
        <f>IF('[1]Tasa de Falla'!GC27=0,"",'[1]Tasa de Falla'!GC27)</f>
      </c>
      <c r="M27" s="851">
        <f>IF('[1]Tasa de Falla'!GD27=0,"",'[1]Tasa de Falla'!GD27)</f>
      </c>
      <c r="N27" s="851">
        <f>IF('[1]Tasa de Falla'!GE27=0,"",'[1]Tasa de Falla'!GE27)</f>
      </c>
      <c r="O27" s="851">
        <f>IF('[1]Tasa de Falla'!GF27=0,"",'[1]Tasa de Falla'!GF27)</f>
      </c>
      <c r="P27" s="851">
        <f>IF('[1]Tasa de Falla'!GG27=0,"",'[1]Tasa de Falla'!GG27)</f>
      </c>
      <c r="Q27" s="851">
        <f>IF('[1]Tasa de Falla'!GH27=0,"",'[1]Tasa de Falla'!GH27)</f>
      </c>
      <c r="R27" s="851">
        <f>IF('[1]Tasa de Falla'!GI27=0,"",'[1]Tasa de Falla'!GI27)</f>
      </c>
      <c r="S27" s="886"/>
      <c r="T27" s="3"/>
    </row>
    <row r="28" spans="2:20" ht="15" customHeight="1">
      <c r="B28" s="2"/>
      <c r="C28" s="853">
        <f>IF('[1]Tasa de Falla'!C28=0,"",'[1]Tasa de Falla'!C28)</f>
        <v>12</v>
      </c>
      <c r="D28" s="854" t="str">
        <f>IF('[1]Tasa de Falla'!D28=0,"",'[1]Tasa de Falla'!D28)</f>
        <v>PLANTA ALUMINIO APPA - PUERTO MADRYN 2</v>
      </c>
      <c r="E28" s="854">
        <f>IF('[1]Tasa de Falla'!E28=0,"",'[1]Tasa de Falla'!E28)</f>
        <v>330</v>
      </c>
      <c r="F28" s="855">
        <f>IF('[1]Tasa de Falla'!F28=0,"",'[1]Tasa de Falla'!F28)</f>
        <v>5.5</v>
      </c>
      <c r="G28" s="851">
        <f>IF('[1]Tasa de Falla'!FX28=0,"",'[1]Tasa de Falla'!FX28)</f>
      </c>
      <c r="H28" s="851">
        <f>IF('[1]Tasa de Falla'!FY28=0,"",'[1]Tasa de Falla'!FY28)</f>
      </c>
      <c r="I28" s="851">
        <f>IF('[1]Tasa de Falla'!FZ28=0,"",'[1]Tasa de Falla'!FZ28)</f>
      </c>
      <c r="J28" s="851">
        <f>IF('[1]Tasa de Falla'!GA28=0,"",'[1]Tasa de Falla'!GA28)</f>
      </c>
      <c r="K28" s="851">
        <f>IF('[1]Tasa de Falla'!GB28=0,"",'[1]Tasa de Falla'!GB28)</f>
      </c>
      <c r="L28" s="851">
        <f>IF('[1]Tasa de Falla'!GC28=0,"",'[1]Tasa de Falla'!GC28)</f>
      </c>
      <c r="M28" s="851">
        <f>IF('[1]Tasa de Falla'!GD28=0,"",'[1]Tasa de Falla'!GD28)</f>
      </c>
      <c r="N28" s="851">
        <f>IF('[1]Tasa de Falla'!GE28=0,"",'[1]Tasa de Falla'!GE28)</f>
      </c>
      <c r="O28" s="851">
        <f>IF('[1]Tasa de Falla'!GF28=0,"",'[1]Tasa de Falla'!GF28)</f>
      </c>
      <c r="P28" s="851">
        <f>IF('[1]Tasa de Falla'!GG28=0,"",'[1]Tasa de Falla'!GG28)</f>
      </c>
      <c r="Q28" s="851">
        <f>IF('[1]Tasa de Falla'!GH28=0,"",'[1]Tasa de Falla'!GH28)</f>
      </c>
      <c r="R28" s="851">
        <f>IF('[1]Tasa de Falla'!GI28=0,"",'[1]Tasa de Falla'!GI28)</f>
      </c>
      <c r="S28" s="886"/>
      <c r="T28" s="3"/>
    </row>
    <row r="29" spans="2:20" ht="15" customHeight="1">
      <c r="B29" s="2"/>
      <c r="C29" s="848">
        <f>IF('[1]Tasa de Falla'!C29=0,"",'[1]Tasa de Falla'!C29)</f>
        <v>13</v>
      </c>
      <c r="D29" s="849" t="str">
        <f>IF('[1]Tasa de Falla'!D29=0,"",'[1]Tasa de Falla'!D29)</f>
        <v>PICO TRUNCADO I - PICO TRUNCADO II</v>
      </c>
      <c r="E29" s="849">
        <f>IF('[1]Tasa de Falla'!E29=0,"",'[1]Tasa de Falla'!E29)</f>
        <v>132</v>
      </c>
      <c r="F29" s="850">
        <f>IF('[1]Tasa de Falla'!F29=0,"",'[1]Tasa de Falla'!F29)</f>
        <v>13.4</v>
      </c>
      <c r="G29" s="851">
        <f>IF('[1]Tasa de Falla'!FX29=0,"",'[1]Tasa de Falla'!FX29)</f>
      </c>
      <c r="H29" s="851">
        <f>IF('[1]Tasa de Falla'!FY29=0,"",'[1]Tasa de Falla'!FY29)</f>
      </c>
      <c r="I29" s="851">
        <f>IF('[1]Tasa de Falla'!FZ29=0,"",'[1]Tasa de Falla'!FZ29)</f>
      </c>
      <c r="J29" s="851">
        <f>IF('[1]Tasa de Falla'!GA29=0,"",'[1]Tasa de Falla'!GA29)</f>
      </c>
      <c r="K29" s="851">
        <f>IF('[1]Tasa de Falla'!GB29=0,"",'[1]Tasa de Falla'!GB29)</f>
      </c>
      <c r="L29" s="851">
        <f>IF('[1]Tasa de Falla'!GC29=0,"",'[1]Tasa de Falla'!GC29)</f>
      </c>
      <c r="M29" s="851">
        <f>IF('[1]Tasa de Falla'!GD29=0,"",'[1]Tasa de Falla'!GD29)</f>
      </c>
      <c r="N29" s="851">
        <f>IF('[1]Tasa de Falla'!GE29=0,"",'[1]Tasa de Falla'!GE29)</f>
      </c>
      <c r="O29" s="851">
        <f>IF('[1]Tasa de Falla'!GF29=0,"",'[1]Tasa de Falla'!GF29)</f>
      </c>
      <c r="P29" s="851">
        <f>IF('[1]Tasa de Falla'!GG29=0,"",'[1]Tasa de Falla'!GG29)</f>
      </c>
      <c r="Q29" s="851">
        <f>IF('[1]Tasa de Falla'!GH29=0,"",'[1]Tasa de Falla'!GH29)</f>
        <v>1</v>
      </c>
      <c r="R29" s="851">
        <f>IF('[1]Tasa de Falla'!GI29=0,"",'[1]Tasa de Falla'!GI29)</f>
      </c>
      <c r="S29" s="886"/>
      <c r="T29" s="3"/>
    </row>
    <row r="30" spans="2:20" ht="15" customHeight="1">
      <c r="B30" s="2"/>
      <c r="C30" s="853">
        <f>IF('[1]Tasa de Falla'!C30=0,"",'[1]Tasa de Falla'!C30)</f>
        <v>14</v>
      </c>
      <c r="D30" s="854" t="str">
        <f>IF('[1]Tasa de Falla'!D30=0,"",'[1]Tasa de Falla'!D30)</f>
        <v>PLANTA ALUMINIO DGPA - PTO MADRYN</v>
      </c>
      <c r="E30" s="854">
        <f>IF('[1]Tasa de Falla'!E30=0,"",'[1]Tasa de Falla'!E30)</f>
        <v>132</v>
      </c>
      <c r="F30" s="855">
        <f>IF('[1]Tasa de Falla'!F30=0,"",'[1]Tasa de Falla'!F30)</f>
        <v>5.7</v>
      </c>
      <c r="G30" s="851">
        <f>IF('[1]Tasa de Falla'!FX30=0,"",'[1]Tasa de Falla'!FX30)</f>
      </c>
      <c r="H30" s="851">
        <f>IF('[1]Tasa de Falla'!FY30=0,"",'[1]Tasa de Falla'!FY30)</f>
      </c>
      <c r="I30" s="851">
        <f>IF('[1]Tasa de Falla'!FZ30=0,"",'[1]Tasa de Falla'!FZ30)</f>
      </c>
      <c r="J30" s="851">
        <f>IF('[1]Tasa de Falla'!GA30=0,"",'[1]Tasa de Falla'!GA30)</f>
      </c>
      <c r="K30" s="851">
        <f>IF('[1]Tasa de Falla'!GB30=0,"",'[1]Tasa de Falla'!GB30)</f>
      </c>
      <c r="L30" s="851">
        <f>IF('[1]Tasa de Falla'!GC30=0,"",'[1]Tasa de Falla'!GC30)</f>
      </c>
      <c r="M30" s="851">
        <f>IF('[1]Tasa de Falla'!GD30=0,"",'[1]Tasa de Falla'!GD30)</f>
      </c>
      <c r="N30" s="851">
        <f>IF('[1]Tasa de Falla'!GE30=0,"",'[1]Tasa de Falla'!GE30)</f>
      </c>
      <c r="O30" s="851">
        <f>IF('[1]Tasa de Falla'!GF30=0,"",'[1]Tasa de Falla'!GF30)</f>
      </c>
      <c r="P30" s="851">
        <f>IF('[1]Tasa de Falla'!GG30=0,"",'[1]Tasa de Falla'!GG30)</f>
      </c>
      <c r="Q30" s="851">
        <f>IF('[1]Tasa de Falla'!GH30=0,"",'[1]Tasa de Falla'!GH30)</f>
      </c>
      <c r="R30" s="851">
        <f>IF('[1]Tasa de Falla'!GI30=0,"",'[1]Tasa de Falla'!GI30)</f>
        <v>1</v>
      </c>
      <c r="S30" s="886"/>
      <c r="T30" s="3"/>
    </row>
    <row r="31" spans="2:20" ht="15" customHeight="1">
      <c r="B31" s="2"/>
      <c r="C31" s="848">
        <f>IF('[1]Tasa de Falla'!C31=0,"",'[1]Tasa de Falla'!C31)</f>
        <v>15</v>
      </c>
      <c r="D31" s="849" t="str">
        <f>IF('[1]Tasa de Falla'!D31=0,"",'[1]Tasa de Falla'!D31)</f>
        <v>PLANTA ALUMINIO DGPA - SS.AA. PTO MADRYN</v>
      </c>
      <c r="E31" s="849">
        <f>IF('[1]Tasa de Falla'!E31=0,"",'[1]Tasa de Falla'!E31)</f>
        <v>33</v>
      </c>
      <c r="F31" s="850">
        <f>IF('[1]Tasa de Falla'!F31=0,"",'[1]Tasa de Falla'!F31)</f>
        <v>6</v>
      </c>
      <c r="G31" s="851">
        <f>IF('[1]Tasa de Falla'!FX31=0,"",'[1]Tasa de Falla'!FX31)</f>
      </c>
      <c r="H31" s="851">
        <f>IF('[1]Tasa de Falla'!FY31=0,"",'[1]Tasa de Falla'!FY31)</f>
      </c>
      <c r="I31" s="851">
        <f>IF('[1]Tasa de Falla'!FZ31=0,"",'[1]Tasa de Falla'!FZ31)</f>
      </c>
      <c r="J31" s="851">
        <f>IF('[1]Tasa de Falla'!GA31=0,"",'[1]Tasa de Falla'!GA31)</f>
      </c>
      <c r="K31" s="851">
        <f>IF('[1]Tasa de Falla'!GB31=0,"",'[1]Tasa de Falla'!GB31)</f>
      </c>
      <c r="L31" s="851">
        <f>IF('[1]Tasa de Falla'!GC31=0,"",'[1]Tasa de Falla'!GC31)</f>
      </c>
      <c r="M31" s="851">
        <f>IF('[1]Tasa de Falla'!GD31=0,"",'[1]Tasa de Falla'!GD31)</f>
      </c>
      <c r="N31" s="851">
        <f>IF('[1]Tasa de Falla'!GE31=0,"",'[1]Tasa de Falla'!GE31)</f>
      </c>
      <c r="O31" s="851">
        <f>IF('[1]Tasa de Falla'!GF31=0,"",'[1]Tasa de Falla'!GF31)</f>
      </c>
      <c r="P31" s="851">
        <f>IF('[1]Tasa de Falla'!GG31=0,"",'[1]Tasa de Falla'!GG31)</f>
      </c>
      <c r="Q31" s="851">
        <f>IF('[1]Tasa de Falla'!GH31=0,"",'[1]Tasa de Falla'!GH31)</f>
      </c>
      <c r="R31" s="851">
        <f>IF('[1]Tasa de Falla'!GI31=0,"",'[1]Tasa de Falla'!GI31)</f>
      </c>
      <c r="S31" s="886"/>
      <c r="T31" s="3"/>
    </row>
    <row r="32" spans="2:20" ht="15" customHeight="1">
      <c r="B32" s="2"/>
      <c r="C32" s="853">
        <f>IF('[1]Tasa de Falla'!C32=0,"",'[1]Tasa de Falla'!C32)</f>
        <v>16</v>
      </c>
      <c r="D32" s="854" t="str">
        <f>IF('[1]Tasa de Falla'!D32=0,"",'[1]Tasa de Falla'!D32)</f>
        <v>PLANTA ALUMINIO DGPA - TRELEW</v>
      </c>
      <c r="E32" s="854">
        <f>IF('[1]Tasa de Falla'!E32=0,"",'[1]Tasa de Falla'!E32)</f>
        <v>132</v>
      </c>
      <c r="F32" s="855">
        <f>IF('[1]Tasa de Falla'!F32=0,"",'[1]Tasa de Falla'!F32)</f>
        <v>62</v>
      </c>
      <c r="G32" s="851">
        <f>IF('[1]Tasa de Falla'!FX32=0,"",'[1]Tasa de Falla'!FX32)</f>
      </c>
      <c r="H32" s="851">
        <f>IF('[1]Tasa de Falla'!FY32=0,"",'[1]Tasa de Falla'!FY32)</f>
      </c>
      <c r="I32" s="851">
        <f>IF('[1]Tasa de Falla'!FZ32=0,"",'[1]Tasa de Falla'!FZ32)</f>
      </c>
      <c r="J32" s="851">
        <f>IF('[1]Tasa de Falla'!GA32=0,"",'[1]Tasa de Falla'!GA32)</f>
      </c>
      <c r="K32" s="851">
        <f>IF('[1]Tasa de Falla'!GB32=0,"",'[1]Tasa de Falla'!GB32)</f>
      </c>
      <c r="L32" s="851">
        <f>IF('[1]Tasa de Falla'!GC32=0,"",'[1]Tasa de Falla'!GC32)</f>
      </c>
      <c r="M32" s="851">
        <f>IF('[1]Tasa de Falla'!GD32=0,"",'[1]Tasa de Falla'!GD32)</f>
      </c>
      <c r="N32" s="851">
        <f>IF('[1]Tasa de Falla'!GE32=0,"",'[1]Tasa de Falla'!GE32)</f>
        <v>1</v>
      </c>
      <c r="O32" s="851">
        <f>IF('[1]Tasa de Falla'!GF32=0,"",'[1]Tasa de Falla'!GF32)</f>
      </c>
      <c r="P32" s="851">
        <f>IF('[1]Tasa de Falla'!GG32=0,"",'[1]Tasa de Falla'!GG32)</f>
      </c>
      <c r="Q32" s="851">
        <f>IF('[1]Tasa de Falla'!GH32=0,"",'[1]Tasa de Falla'!GH32)</f>
      </c>
      <c r="R32" s="851">
        <f>IF('[1]Tasa de Falla'!GI32=0,"",'[1]Tasa de Falla'!GI32)</f>
      </c>
      <c r="S32" s="886"/>
      <c r="T32" s="3"/>
    </row>
    <row r="33" spans="2:20" ht="15" customHeight="1">
      <c r="B33" s="2"/>
      <c r="C33" s="848">
        <f>IF('[1]Tasa de Falla'!C33=0,"",'[1]Tasa de Falla'!C33)</f>
        <v>17</v>
      </c>
      <c r="D33" s="849" t="str">
        <f>IF('[1]Tasa de Falla'!D33=0,"",'[1]Tasa de Falla'!D33)</f>
        <v>PUERTO MADRYN - SIERRA GRANDE</v>
      </c>
      <c r="E33" s="849">
        <f>IF('[1]Tasa de Falla'!E33=0,"",'[1]Tasa de Falla'!E33)</f>
        <v>132</v>
      </c>
      <c r="F33" s="850">
        <f>IF('[1]Tasa de Falla'!F33=0,"",'[1]Tasa de Falla'!F33)</f>
        <v>121.5</v>
      </c>
      <c r="G33" s="851">
        <f>IF('[1]Tasa de Falla'!FX33=0,"",'[1]Tasa de Falla'!FX33)</f>
      </c>
      <c r="H33" s="851">
        <f>IF('[1]Tasa de Falla'!FY33=0,"",'[1]Tasa de Falla'!FY33)</f>
        <v>1</v>
      </c>
      <c r="I33" s="851">
        <f>IF('[1]Tasa de Falla'!FZ33=0,"",'[1]Tasa de Falla'!FZ33)</f>
        <v>2</v>
      </c>
      <c r="J33" s="851">
        <f>IF('[1]Tasa de Falla'!GA33=0,"",'[1]Tasa de Falla'!GA33)</f>
        <v>1</v>
      </c>
      <c r="K33" s="851">
        <f>IF('[1]Tasa de Falla'!GB33=0,"",'[1]Tasa de Falla'!GB33)</f>
        <v>1</v>
      </c>
      <c r="L33" s="851">
        <f>IF('[1]Tasa de Falla'!GC33=0,"",'[1]Tasa de Falla'!GC33)</f>
      </c>
      <c r="M33" s="851">
        <f>IF('[1]Tasa de Falla'!GD33=0,"",'[1]Tasa de Falla'!GD33)</f>
      </c>
      <c r="N33" s="851">
        <f>IF('[1]Tasa de Falla'!GE33=0,"",'[1]Tasa de Falla'!GE33)</f>
      </c>
      <c r="O33" s="851">
        <f>IF('[1]Tasa de Falla'!GF33=0,"",'[1]Tasa de Falla'!GF33)</f>
      </c>
      <c r="P33" s="851">
        <f>IF('[1]Tasa de Falla'!GG33=0,"",'[1]Tasa de Falla'!GG33)</f>
      </c>
      <c r="Q33" s="851">
        <f>IF('[1]Tasa de Falla'!GH33=0,"",'[1]Tasa de Falla'!GH33)</f>
      </c>
      <c r="R33" s="851">
        <f>IF('[1]Tasa de Falla'!GI33=0,"",'[1]Tasa de Falla'!GI33)</f>
      </c>
      <c r="S33" s="886"/>
      <c r="T33" s="3"/>
    </row>
    <row r="34" spans="2:20" ht="15" customHeight="1">
      <c r="B34" s="2"/>
      <c r="C34" s="853">
        <f>IF('[1]Tasa de Falla'!C34=0,"",'[1]Tasa de Falla'!C34)</f>
        <v>18</v>
      </c>
      <c r="D34" s="854" t="str">
        <f>IF('[1]Tasa de Falla'!D34=0,"",'[1]Tasa de Falla'!D34)</f>
        <v>BARRIO SAN MARTIN - A CONEXION "T"</v>
      </c>
      <c r="E34" s="854">
        <f>IF('[1]Tasa de Falla'!E34=0,"",'[1]Tasa de Falla'!E34)</f>
        <v>132</v>
      </c>
      <c r="F34" s="855">
        <f>IF('[1]Tasa de Falla'!F34=0,"",'[1]Tasa de Falla'!F34)</f>
        <v>7.5</v>
      </c>
      <c r="G34" s="851" t="str">
        <f>IF('[1]Tasa de Falla'!FX34=0,"",'[1]Tasa de Falla'!FX34)</f>
        <v>XXXX</v>
      </c>
      <c r="H34" s="851" t="str">
        <f>IF('[1]Tasa de Falla'!FY34=0,"",'[1]Tasa de Falla'!FY34)</f>
        <v>XXXX</v>
      </c>
      <c r="I34" s="851" t="str">
        <f>IF('[1]Tasa de Falla'!FZ34=0,"",'[1]Tasa de Falla'!FZ34)</f>
        <v>XXXX</v>
      </c>
      <c r="J34" s="851" t="str">
        <f>IF('[1]Tasa de Falla'!GA34=0,"",'[1]Tasa de Falla'!GA34)</f>
        <v>XXXX</v>
      </c>
      <c r="K34" s="851" t="str">
        <f>IF('[1]Tasa de Falla'!GB34=0,"",'[1]Tasa de Falla'!GB34)</f>
        <v>XXXX</v>
      </c>
      <c r="L34" s="851" t="str">
        <f>IF('[1]Tasa de Falla'!GC34=0,"",'[1]Tasa de Falla'!GC34)</f>
        <v>XXXX</v>
      </c>
      <c r="M34" s="851" t="str">
        <f>IF('[1]Tasa de Falla'!GD34=0,"",'[1]Tasa de Falla'!GD34)</f>
        <v>XXXX</v>
      </c>
      <c r="N34" s="851" t="str">
        <f>IF('[1]Tasa de Falla'!GE34=0,"",'[1]Tasa de Falla'!GE34)</f>
        <v>XXXX</v>
      </c>
      <c r="O34" s="851" t="str">
        <f>IF('[1]Tasa de Falla'!GF34=0,"",'[1]Tasa de Falla'!GF34)</f>
        <v>XXXX</v>
      </c>
      <c r="P34" s="851" t="str">
        <f>IF('[1]Tasa de Falla'!GG34=0,"",'[1]Tasa de Falla'!GG34)</f>
        <v>XXXX</v>
      </c>
      <c r="Q34" s="851" t="str">
        <f>IF('[1]Tasa de Falla'!GH34=0,"",'[1]Tasa de Falla'!GH34)</f>
        <v>XXXX</v>
      </c>
      <c r="R34" s="851" t="str">
        <f>IF('[1]Tasa de Falla'!GI34=0,"",'[1]Tasa de Falla'!GI34)</f>
        <v>XXXX</v>
      </c>
      <c r="S34" s="886"/>
      <c r="T34" s="3"/>
    </row>
    <row r="35" spans="2:20" ht="15" customHeight="1">
      <c r="B35" s="2"/>
      <c r="C35" s="848">
        <f>IF('[1]Tasa de Falla'!C35=0,"",'[1]Tasa de Falla'!C35)</f>
        <v>19</v>
      </c>
      <c r="D35" s="849" t="str">
        <f>IF('[1]Tasa de Falla'!D35=0,"",'[1]Tasa de Falla'!D35)</f>
        <v>PICO TRUNCADO I - LAS HERAS</v>
      </c>
      <c r="E35" s="849">
        <f>IF('[1]Tasa de Falla'!E35=0,"",'[1]Tasa de Falla'!E35)</f>
        <v>132</v>
      </c>
      <c r="F35" s="850">
        <f>IF('[1]Tasa de Falla'!F35=0,"",'[1]Tasa de Falla'!F35)</f>
        <v>82.5</v>
      </c>
      <c r="G35" s="851">
        <f>IF('[1]Tasa de Falla'!FX35=0,"",'[1]Tasa de Falla'!FX35)</f>
      </c>
      <c r="H35" s="851">
        <f>IF('[1]Tasa de Falla'!FY35=0,"",'[1]Tasa de Falla'!FY35)</f>
      </c>
      <c r="I35" s="851">
        <f>IF('[1]Tasa de Falla'!FZ35=0,"",'[1]Tasa de Falla'!FZ35)</f>
      </c>
      <c r="J35" s="851">
        <f>IF('[1]Tasa de Falla'!GA35=0,"",'[1]Tasa de Falla'!GA35)</f>
      </c>
      <c r="K35" s="851">
        <f>IF('[1]Tasa de Falla'!GB35=0,"",'[1]Tasa de Falla'!GB35)</f>
      </c>
      <c r="L35" s="851">
        <f>IF('[1]Tasa de Falla'!GC35=0,"",'[1]Tasa de Falla'!GC35)</f>
      </c>
      <c r="M35" s="851">
        <f>IF('[1]Tasa de Falla'!GD35=0,"",'[1]Tasa de Falla'!GD35)</f>
      </c>
      <c r="N35" s="851">
        <f>IF('[1]Tasa de Falla'!GE35=0,"",'[1]Tasa de Falla'!GE35)</f>
      </c>
      <c r="O35" s="851">
        <f>IF('[1]Tasa de Falla'!GF35=0,"",'[1]Tasa de Falla'!GF35)</f>
      </c>
      <c r="P35" s="851">
        <f>IF('[1]Tasa de Falla'!GG35=0,"",'[1]Tasa de Falla'!GG35)</f>
      </c>
      <c r="Q35" s="851">
        <f>IF('[1]Tasa de Falla'!GH35=0,"",'[1]Tasa de Falla'!GH35)</f>
      </c>
      <c r="R35" s="851">
        <f>IF('[1]Tasa de Falla'!GI35=0,"",'[1]Tasa de Falla'!GI35)</f>
      </c>
      <c r="S35" s="886"/>
      <c r="T35" s="3"/>
    </row>
    <row r="36" spans="2:20" ht="15" customHeight="1">
      <c r="B36" s="2"/>
      <c r="C36" s="853">
        <f>IF('[1]Tasa de Falla'!C36=0,"",'[1]Tasa de Falla'!C36)</f>
        <v>20</v>
      </c>
      <c r="D36" s="854" t="str">
        <f>IF('[1]Tasa de Falla'!D36=0,"",'[1]Tasa de Falla'!D36)</f>
        <v>LAS HERAS - LOS PERALES</v>
      </c>
      <c r="E36" s="854">
        <f>IF('[1]Tasa de Falla'!E36=0,"",'[1]Tasa de Falla'!E36)</f>
        <v>132</v>
      </c>
      <c r="F36" s="855">
        <f>IF('[1]Tasa de Falla'!F36=0,"",'[1]Tasa de Falla'!F36)</f>
        <v>47</v>
      </c>
      <c r="G36" s="851">
        <f>IF('[1]Tasa de Falla'!FX36=0,"",'[1]Tasa de Falla'!FX36)</f>
      </c>
      <c r="H36" s="851">
        <f>IF('[1]Tasa de Falla'!FY36=0,"",'[1]Tasa de Falla'!FY36)</f>
      </c>
      <c r="I36" s="851">
        <f>IF('[1]Tasa de Falla'!FZ36=0,"",'[1]Tasa de Falla'!FZ36)</f>
      </c>
      <c r="J36" s="851">
        <f>IF('[1]Tasa de Falla'!GA36=0,"",'[1]Tasa de Falla'!GA36)</f>
      </c>
      <c r="K36" s="851">
        <f>IF('[1]Tasa de Falla'!GB36=0,"",'[1]Tasa de Falla'!GB36)</f>
      </c>
      <c r="L36" s="851">
        <f>IF('[1]Tasa de Falla'!GC36=0,"",'[1]Tasa de Falla'!GC36)</f>
      </c>
      <c r="M36" s="851">
        <f>IF('[1]Tasa de Falla'!GD36=0,"",'[1]Tasa de Falla'!GD36)</f>
      </c>
      <c r="N36" s="851">
        <f>IF('[1]Tasa de Falla'!GE36=0,"",'[1]Tasa de Falla'!GE36)</f>
      </c>
      <c r="O36" s="851">
        <f>IF('[1]Tasa de Falla'!GF36=0,"",'[1]Tasa de Falla'!GF36)</f>
      </c>
      <c r="P36" s="851">
        <f>IF('[1]Tasa de Falla'!GG36=0,"",'[1]Tasa de Falla'!GG36)</f>
      </c>
      <c r="Q36" s="851">
        <f>IF('[1]Tasa de Falla'!GH36=0,"",'[1]Tasa de Falla'!GH36)</f>
      </c>
      <c r="R36" s="851">
        <f>IF('[1]Tasa de Falla'!GI36=0,"",'[1]Tasa de Falla'!GI36)</f>
      </c>
      <c r="S36" s="886"/>
      <c r="T36" s="3"/>
    </row>
    <row r="37" spans="2:20" ht="15" customHeight="1">
      <c r="B37" s="2"/>
      <c r="C37" s="848">
        <f>IF('[1]Tasa de Falla'!C37=0,"",'[1]Tasa de Falla'!C37)</f>
        <v>21</v>
      </c>
      <c r="D37" s="849" t="str">
        <f>IF('[1]Tasa de Falla'!D37=0,"",'[1]Tasa de Falla'!D37)</f>
        <v>N. P. MADRYN - P. MADRYN 330 kV</v>
      </c>
      <c r="E37" s="849">
        <f>IF('[1]Tasa de Falla'!E37=0,"",'[1]Tasa de Falla'!E37)</f>
        <v>330</v>
      </c>
      <c r="F37" s="850">
        <f>IF('[1]Tasa de Falla'!F37=0,"",'[1]Tasa de Falla'!F37)</f>
        <v>0.47</v>
      </c>
      <c r="G37" s="851">
        <f>IF('[1]Tasa de Falla'!FX37=0,"",'[1]Tasa de Falla'!FX37)</f>
      </c>
      <c r="H37" s="851">
        <f>IF('[1]Tasa de Falla'!FY37=0,"",'[1]Tasa de Falla'!FY37)</f>
      </c>
      <c r="I37" s="851">
        <f>IF('[1]Tasa de Falla'!FZ37=0,"",'[1]Tasa de Falla'!FZ37)</f>
      </c>
      <c r="J37" s="851">
        <f>IF('[1]Tasa de Falla'!GA37=0,"",'[1]Tasa de Falla'!GA37)</f>
      </c>
      <c r="K37" s="851">
        <f>IF('[1]Tasa de Falla'!GB37=0,"",'[1]Tasa de Falla'!GB37)</f>
      </c>
      <c r="L37" s="851">
        <f>IF('[1]Tasa de Falla'!GC37=0,"",'[1]Tasa de Falla'!GC37)</f>
      </c>
      <c r="M37" s="851">
        <f>IF('[1]Tasa de Falla'!GD37=0,"",'[1]Tasa de Falla'!GD37)</f>
      </c>
      <c r="N37" s="851">
        <f>IF('[1]Tasa de Falla'!GE37=0,"",'[1]Tasa de Falla'!GE37)</f>
      </c>
      <c r="O37" s="851">
        <f>IF('[1]Tasa de Falla'!GF37=0,"",'[1]Tasa de Falla'!GF37)</f>
      </c>
      <c r="P37" s="851">
        <f>IF('[1]Tasa de Falla'!GG37=0,"",'[1]Tasa de Falla'!GG37)</f>
      </c>
      <c r="Q37" s="851">
        <f>IF('[1]Tasa de Falla'!GH37=0,"",'[1]Tasa de Falla'!GH37)</f>
      </c>
      <c r="R37" s="851">
        <f>IF('[1]Tasa de Falla'!GI37=0,"",'[1]Tasa de Falla'!GI37)</f>
      </c>
      <c r="S37" s="886"/>
      <c r="T37" s="3"/>
    </row>
    <row r="38" spans="2:20" ht="15" customHeight="1">
      <c r="B38" s="2"/>
      <c r="C38" s="853">
        <f>IF('[1]Tasa de Falla'!C38=0,"",'[1]Tasa de Falla'!C38)</f>
      </c>
      <c r="D38" s="854">
        <f>IF('[1]Tasa de Falla'!D38=0,"",'[1]Tasa de Falla'!D38)</f>
      </c>
      <c r="E38" s="854">
        <f>IF('[1]Tasa de Falla'!E38=0,"",'[1]Tasa de Falla'!E38)</f>
      </c>
      <c r="F38" s="855">
        <f>IF('[1]Tasa de Falla'!F38=0,"",'[1]Tasa de Falla'!F38)</f>
      </c>
      <c r="G38" s="851">
        <f>IF('[1]Tasa de Falla'!FX38=0,"",'[1]Tasa de Falla'!FX38)</f>
      </c>
      <c r="H38" s="851">
        <f>IF('[1]Tasa de Falla'!FY38=0,"",'[1]Tasa de Falla'!FY38)</f>
      </c>
      <c r="I38" s="851">
        <f>IF('[1]Tasa de Falla'!FZ38=0,"",'[1]Tasa de Falla'!FZ38)</f>
      </c>
      <c r="J38" s="851">
        <f>IF('[1]Tasa de Falla'!GA38=0,"",'[1]Tasa de Falla'!GA38)</f>
      </c>
      <c r="K38" s="851">
        <f>IF('[1]Tasa de Falla'!GB38=0,"",'[1]Tasa de Falla'!GB38)</f>
      </c>
      <c r="L38" s="851">
        <f>IF('[1]Tasa de Falla'!GC38=0,"",'[1]Tasa de Falla'!GC38)</f>
      </c>
      <c r="M38" s="851">
        <f>IF('[1]Tasa de Falla'!GD38=0,"",'[1]Tasa de Falla'!GD38)</f>
      </c>
      <c r="N38" s="851">
        <f>IF('[1]Tasa de Falla'!GE38=0,"",'[1]Tasa de Falla'!GE38)</f>
      </c>
      <c r="O38" s="851">
        <f>IF('[1]Tasa de Falla'!GF38=0,"",'[1]Tasa de Falla'!GF38)</f>
      </c>
      <c r="P38" s="851">
        <f>IF('[1]Tasa de Falla'!GG38=0,"",'[1]Tasa de Falla'!GG38)</f>
      </c>
      <c r="Q38" s="851">
        <f>IF('[1]Tasa de Falla'!GH38=0,"",'[1]Tasa de Falla'!GH38)</f>
      </c>
      <c r="R38" s="851">
        <f>IF('[1]Tasa de Falla'!GI38=0,"",'[1]Tasa de Falla'!GI38)</f>
      </c>
      <c r="S38" s="886"/>
      <c r="T38" s="3"/>
    </row>
    <row r="39" spans="2:20" ht="15" customHeight="1">
      <c r="B39" s="2"/>
      <c r="C39" s="848">
        <f>IF('[1]Tasa de Falla'!C39=0,"",'[1]Tasa de Falla'!C39)</f>
        <v>19</v>
      </c>
      <c r="D39" s="849" t="str">
        <f>IF('[1]Tasa de Falla'!D39=0,"",'[1]Tasa de Falla'!D39)</f>
        <v>PUNTA COLORADA - SIERRA GRANDE</v>
      </c>
      <c r="E39" s="849">
        <f>IF('[1]Tasa de Falla'!E39=0,"",'[1]Tasa de Falla'!E39)</f>
        <v>132</v>
      </c>
      <c r="F39" s="850">
        <f>IF('[1]Tasa de Falla'!F39=0,"",'[1]Tasa de Falla'!F39)</f>
        <v>31</v>
      </c>
      <c r="G39" s="851">
        <f>IF('[1]Tasa de Falla'!FX39=0,"",'[1]Tasa de Falla'!FX39)</f>
      </c>
      <c r="H39" s="851">
        <f>IF('[1]Tasa de Falla'!FY39=0,"",'[1]Tasa de Falla'!FY39)</f>
      </c>
      <c r="I39" s="851">
        <f>IF('[1]Tasa de Falla'!FZ39=0,"",'[1]Tasa de Falla'!FZ39)</f>
      </c>
      <c r="J39" s="851">
        <f>IF('[1]Tasa de Falla'!GA39=0,"",'[1]Tasa de Falla'!GA39)</f>
      </c>
      <c r="K39" s="851">
        <f>IF('[1]Tasa de Falla'!GB39=0,"",'[1]Tasa de Falla'!GB39)</f>
      </c>
      <c r="L39" s="851">
        <f>IF('[1]Tasa de Falla'!GC39=0,"",'[1]Tasa de Falla'!GC39)</f>
      </c>
      <c r="M39" s="851">
        <f>IF('[1]Tasa de Falla'!GD39=0,"",'[1]Tasa de Falla'!GD39)</f>
      </c>
      <c r="N39" s="851">
        <f>IF('[1]Tasa de Falla'!GE39=0,"",'[1]Tasa de Falla'!GE39)</f>
      </c>
      <c r="O39" s="851">
        <f>IF('[1]Tasa de Falla'!GF39=0,"",'[1]Tasa de Falla'!GF39)</f>
      </c>
      <c r="P39" s="851">
        <f>IF('[1]Tasa de Falla'!GG39=0,"",'[1]Tasa de Falla'!GG39)</f>
      </c>
      <c r="Q39" s="851">
        <f>IF('[1]Tasa de Falla'!GH39=0,"",'[1]Tasa de Falla'!GH39)</f>
      </c>
      <c r="R39" s="851">
        <f>IF('[1]Tasa de Falla'!GI39=0,"",'[1]Tasa de Falla'!GI39)</f>
      </c>
      <c r="S39" s="886"/>
      <c r="T39" s="3"/>
    </row>
    <row r="40" spans="2:20" ht="15" customHeight="1">
      <c r="B40" s="2"/>
      <c r="C40" s="853">
        <f>IF('[1]Tasa de Falla'!C40=0,"",'[1]Tasa de Falla'!C40)</f>
        <v>20</v>
      </c>
      <c r="D40" s="854" t="str">
        <f>IF('[1]Tasa de Falla'!D40=0,"",'[1]Tasa de Falla'!D40)</f>
        <v>CARMEN DE PATAGONES - VIEDMA</v>
      </c>
      <c r="E40" s="854">
        <f>IF('[1]Tasa de Falla'!E40=0,"",'[1]Tasa de Falla'!E40)</f>
        <v>132</v>
      </c>
      <c r="F40" s="855">
        <f>IF('[1]Tasa de Falla'!F40=0,"",'[1]Tasa de Falla'!F40)</f>
        <v>7</v>
      </c>
      <c r="G40" s="851">
        <f>IF('[1]Tasa de Falla'!FX40=0,"",'[1]Tasa de Falla'!FX40)</f>
      </c>
      <c r="H40" s="851">
        <f>IF('[1]Tasa de Falla'!FY40=0,"",'[1]Tasa de Falla'!FY40)</f>
      </c>
      <c r="I40" s="851">
        <f>IF('[1]Tasa de Falla'!FZ40=0,"",'[1]Tasa de Falla'!FZ40)</f>
      </c>
      <c r="J40" s="851">
        <f>IF('[1]Tasa de Falla'!GA40=0,"",'[1]Tasa de Falla'!GA40)</f>
      </c>
      <c r="K40" s="851">
        <f>IF('[1]Tasa de Falla'!GB40=0,"",'[1]Tasa de Falla'!GB40)</f>
      </c>
      <c r="L40" s="851">
        <f>IF('[1]Tasa de Falla'!GC40=0,"",'[1]Tasa de Falla'!GC40)</f>
      </c>
      <c r="M40" s="851">
        <f>IF('[1]Tasa de Falla'!GD40=0,"",'[1]Tasa de Falla'!GD40)</f>
      </c>
      <c r="N40" s="851">
        <f>IF('[1]Tasa de Falla'!GE40=0,"",'[1]Tasa de Falla'!GE40)</f>
      </c>
      <c r="O40" s="851">
        <f>IF('[1]Tasa de Falla'!GF40=0,"",'[1]Tasa de Falla'!GF40)</f>
      </c>
      <c r="P40" s="851">
        <f>IF('[1]Tasa de Falla'!GG40=0,"",'[1]Tasa de Falla'!GG40)</f>
      </c>
      <c r="Q40" s="851">
        <f>IF('[1]Tasa de Falla'!GH40=0,"",'[1]Tasa de Falla'!GH40)</f>
      </c>
      <c r="R40" s="851">
        <f>IF('[1]Tasa de Falla'!GI40=0,"",'[1]Tasa de Falla'!GI40)</f>
      </c>
      <c r="S40" s="886"/>
      <c r="T40" s="3"/>
    </row>
    <row r="41" spans="2:20" ht="15" customHeight="1">
      <c r="B41" s="2"/>
      <c r="C41" s="848">
        <f>IF('[1]Tasa de Falla'!C41=0,"",'[1]Tasa de Falla'!C41)</f>
        <v>21</v>
      </c>
      <c r="D41" s="849" t="str">
        <f>IF('[1]Tasa de Falla'!D41=0,"",'[1]Tasa de Falla'!D41)</f>
        <v>SAN ANTONIO OESTE - SIERRA GRANDE</v>
      </c>
      <c r="E41" s="849">
        <f>IF('[1]Tasa de Falla'!E41=0,"",'[1]Tasa de Falla'!E41)</f>
        <v>132</v>
      </c>
      <c r="F41" s="850">
        <f>IF('[1]Tasa de Falla'!F41=0,"",'[1]Tasa de Falla'!F41)</f>
        <v>110.3</v>
      </c>
      <c r="G41" s="851">
        <f>IF('[1]Tasa de Falla'!FX41=0,"",'[1]Tasa de Falla'!FX41)</f>
      </c>
      <c r="H41" s="851">
        <f>IF('[1]Tasa de Falla'!FY41=0,"",'[1]Tasa de Falla'!FY41)</f>
      </c>
      <c r="I41" s="851">
        <f>IF('[1]Tasa de Falla'!FZ41=0,"",'[1]Tasa de Falla'!FZ41)</f>
      </c>
      <c r="J41" s="851">
        <f>IF('[1]Tasa de Falla'!GA41=0,"",'[1]Tasa de Falla'!GA41)</f>
      </c>
      <c r="K41" s="851">
        <f>IF('[1]Tasa de Falla'!GB41=0,"",'[1]Tasa de Falla'!GB41)</f>
      </c>
      <c r="L41" s="851">
        <f>IF('[1]Tasa de Falla'!GC41=0,"",'[1]Tasa de Falla'!GC41)</f>
      </c>
      <c r="M41" s="851">
        <f>IF('[1]Tasa de Falla'!GD41=0,"",'[1]Tasa de Falla'!GD41)</f>
      </c>
      <c r="N41" s="851">
        <f>IF('[1]Tasa de Falla'!GE41=0,"",'[1]Tasa de Falla'!GE41)</f>
      </c>
      <c r="O41" s="851">
        <f>IF('[1]Tasa de Falla'!GF41=0,"",'[1]Tasa de Falla'!GF41)</f>
      </c>
      <c r="P41" s="851">
        <f>IF('[1]Tasa de Falla'!GG41=0,"",'[1]Tasa de Falla'!GG41)</f>
      </c>
      <c r="Q41" s="851">
        <f>IF('[1]Tasa de Falla'!GH41=0,"",'[1]Tasa de Falla'!GH41)</f>
      </c>
      <c r="R41" s="851">
        <f>IF('[1]Tasa de Falla'!GI41=0,"",'[1]Tasa de Falla'!GI41)</f>
      </c>
      <c r="S41" s="886"/>
      <c r="T41" s="3"/>
    </row>
    <row r="42" spans="2:20" ht="15" customHeight="1">
      <c r="B42" s="2"/>
      <c r="C42" s="853">
        <f>IF('[1]Tasa de Falla'!C42=0,"",'[1]Tasa de Falla'!C42)</f>
        <v>22</v>
      </c>
      <c r="D42" s="854" t="str">
        <f>IF('[1]Tasa de Falla'!D42=0,"",'[1]Tasa de Falla'!D42)</f>
        <v>SAN ANTONIO OESTE - VIEDMA</v>
      </c>
      <c r="E42" s="854">
        <f>IF('[1]Tasa de Falla'!E42=0,"",'[1]Tasa de Falla'!E42)</f>
        <v>132</v>
      </c>
      <c r="F42" s="855">
        <f>IF('[1]Tasa de Falla'!F42=0,"",'[1]Tasa de Falla'!F42)</f>
        <v>185.6</v>
      </c>
      <c r="G42" s="851">
        <f>IF('[1]Tasa de Falla'!FX42=0,"",'[1]Tasa de Falla'!FX42)</f>
      </c>
      <c r="H42" s="851">
        <f>IF('[1]Tasa de Falla'!FY42=0,"",'[1]Tasa de Falla'!FY42)</f>
      </c>
      <c r="I42" s="851">
        <f>IF('[1]Tasa de Falla'!FZ42=0,"",'[1]Tasa de Falla'!FZ42)</f>
      </c>
      <c r="J42" s="851">
        <f>IF('[1]Tasa de Falla'!GA42=0,"",'[1]Tasa de Falla'!GA42)</f>
      </c>
      <c r="K42" s="851">
        <f>IF('[1]Tasa de Falla'!GB42=0,"",'[1]Tasa de Falla'!GB42)</f>
      </c>
      <c r="L42" s="851">
        <f>IF('[1]Tasa de Falla'!GC42=0,"",'[1]Tasa de Falla'!GC42)</f>
      </c>
      <c r="M42" s="851">
        <f>IF('[1]Tasa de Falla'!GD42=0,"",'[1]Tasa de Falla'!GD42)</f>
      </c>
      <c r="N42" s="851">
        <f>IF('[1]Tasa de Falla'!GE42=0,"",'[1]Tasa de Falla'!GE42)</f>
      </c>
      <c r="O42" s="851">
        <f>IF('[1]Tasa de Falla'!GF42=0,"",'[1]Tasa de Falla'!GF42)</f>
      </c>
      <c r="P42" s="851">
        <f>IF('[1]Tasa de Falla'!GG42=0,"",'[1]Tasa de Falla'!GG42)</f>
      </c>
      <c r="Q42" s="851">
        <f>IF('[1]Tasa de Falla'!GH42=0,"",'[1]Tasa de Falla'!GH42)</f>
      </c>
      <c r="R42" s="851">
        <f>IF('[1]Tasa de Falla'!GI42=0,"",'[1]Tasa de Falla'!GI42)</f>
      </c>
      <c r="S42" s="886"/>
      <c r="T42" s="3"/>
    </row>
    <row r="43" spans="2:20" ht="15" customHeight="1">
      <c r="B43" s="2"/>
      <c r="C43" s="848">
        <f>IF('[1]Tasa de Falla'!C43=0,"",'[1]Tasa de Falla'!C43)</f>
      </c>
      <c r="D43" s="849">
        <f>IF('[1]Tasa de Falla'!D43=0,"",'[1]Tasa de Falla'!D43)</f>
      </c>
      <c r="E43" s="849">
        <f>IF('[1]Tasa de Falla'!E43=0,"",'[1]Tasa de Falla'!E43)</f>
      </c>
      <c r="F43" s="850">
        <f>IF('[1]Tasa de Falla'!F43=0,"",'[1]Tasa de Falla'!F43)</f>
      </c>
      <c r="G43" s="851">
        <f>IF('[1]Tasa de Falla'!FX43=0,"",'[1]Tasa de Falla'!FX43)</f>
      </c>
      <c r="H43" s="851">
        <f>IF('[1]Tasa de Falla'!FY43=0,"",'[1]Tasa de Falla'!FY43)</f>
      </c>
      <c r="I43" s="851">
        <f>IF('[1]Tasa de Falla'!FZ43=0,"",'[1]Tasa de Falla'!FZ43)</f>
      </c>
      <c r="J43" s="851">
        <f>IF('[1]Tasa de Falla'!GA43=0,"",'[1]Tasa de Falla'!GA43)</f>
      </c>
      <c r="K43" s="851">
        <f>IF('[1]Tasa de Falla'!GB43=0,"",'[1]Tasa de Falla'!GB43)</f>
      </c>
      <c r="L43" s="851">
        <f>IF('[1]Tasa de Falla'!GC43=0,"",'[1]Tasa de Falla'!GC43)</f>
      </c>
      <c r="M43" s="851">
        <f>IF('[1]Tasa de Falla'!GD43=0,"",'[1]Tasa de Falla'!GD43)</f>
      </c>
      <c r="N43" s="851">
        <f>IF('[1]Tasa de Falla'!GE43=0,"",'[1]Tasa de Falla'!GE43)</f>
      </c>
      <c r="O43" s="851">
        <f>IF('[1]Tasa de Falla'!GF43=0,"",'[1]Tasa de Falla'!GF43)</f>
      </c>
      <c r="P43" s="851">
        <f>IF('[1]Tasa de Falla'!GG43=0,"",'[1]Tasa de Falla'!GG43)</f>
      </c>
      <c r="Q43" s="851">
        <f>IF('[1]Tasa de Falla'!GH43=0,"",'[1]Tasa de Falla'!GH43)</f>
      </c>
      <c r="R43" s="851">
        <f>IF('[1]Tasa de Falla'!GI43=0,"",'[1]Tasa de Falla'!GI43)</f>
      </c>
      <c r="S43" s="886"/>
      <c r="T43" s="3"/>
    </row>
    <row r="44" spans="2:20" ht="15" customHeight="1">
      <c r="B44" s="2"/>
      <c r="C44" s="853">
        <f>IF('[1]Tasa de Falla'!C44=0,"",'[1]Tasa de Falla'!C44)</f>
        <v>23</v>
      </c>
      <c r="D44" s="854" t="str">
        <f>IF('[1]Tasa de Falla'!D44=0,"",'[1]Tasa de Falla'!D44)</f>
        <v>PICO TRUNCADO I - PUERTO DESEADO</v>
      </c>
      <c r="E44" s="854">
        <f>IF('[1]Tasa de Falla'!E44=0,"",'[1]Tasa de Falla'!E44)</f>
        <v>132</v>
      </c>
      <c r="F44" s="855">
        <f>IF('[1]Tasa de Falla'!F44=0,"",'[1]Tasa de Falla'!F44)</f>
        <v>209</v>
      </c>
      <c r="G44" s="851">
        <f>IF('[1]Tasa de Falla'!FX44=0,"",'[1]Tasa de Falla'!FX44)</f>
      </c>
      <c r="H44" s="851">
        <f>IF('[1]Tasa de Falla'!FY44=0,"",'[1]Tasa de Falla'!FY44)</f>
      </c>
      <c r="I44" s="851">
        <f>IF('[1]Tasa de Falla'!FZ44=0,"",'[1]Tasa de Falla'!FZ44)</f>
      </c>
      <c r="J44" s="851">
        <f>IF('[1]Tasa de Falla'!GA44=0,"",'[1]Tasa de Falla'!GA44)</f>
      </c>
      <c r="K44" s="851">
        <f>IF('[1]Tasa de Falla'!GB44=0,"",'[1]Tasa de Falla'!GB44)</f>
      </c>
      <c r="L44" s="851">
        <f>IF('[1]Tasa de Falla'!GC44=0,"",'[1]Tasa de Falla'!GC44)</f>
      </c>
      <c r="M44" s="851">
        <f>IF('[1]Tasa de Falla'!GD44=0,"",'[1]Tasa de Falla'!GD44)</f>
      </c>
      <c r="N44" s="851">
        <f>IF('[1]Tasa de Falla'!GE44=0,"",'[1]Tasa de Falla'!GE44)</f>
      </c>
      <c r="O44" s="851">
        <f>IF('[1]Tasa de Falla'!GF44=0,"",'[1]Tasa de Falla'!GF44)</f>
      </c>
      <c r="P44" s="851">
        <f>IF('[1]Tasa de Falla'!GG44=0,"",'[1]Tasa de Falla'!GG44)</f>
      </c>
      <c r="Q44" s="851">
        <f>IF('[1]Tasa de Falla'!GH44=0,"",'[1]Tasa de Falla'!GH44)</f>
      </c>
      <c r="R44" s="851">
        <f>IF('[1]Tasa de Falla'!GI44=0,"",'[1]Tasa de Falla'!GI44)</f>
      </c>
      <c r="S44" s="886"/>
      <c r="T44" s="3"/>
    </row>
    <row r="45" spans="2:20" ht="15" customHeight="1">
      <c r="B45" s="2"/>
      <c r="C45" s="848">
        <f>IF('[1]Tasa de Falla'!C45=0,"",'[1]Tasa de Falla'!C45)</f>
      </c>
      <c r="D45" s="849">
        <f>IF('[1]Tasa de Falla'!D45=0,"",'[1]Tasa de Falla'!D45)</f>
      </c>
      <c r="E45" s="849">
        <f>IF('[1]Tasa de Falla'!E45=0,"",'[1]Tasa de Falla'!E45)</f>
      </c>
      <c r="F45" s="850">
        <f>IF('[1]Tasa de Falla'!F45=0,"",'[1]Tasa de Falla'!F45)</f>
      </c>
      <c r="G45" s="851">
        <f>IF('[1]Tasa de Falla'!FX45=0,"",'[1]Tasa de Falla'!FX45)</f>
      </c>
      <c r="H45" s="851">
        <f>IF('[1]Tasa de Falla'!FY45=0,"",'[1]Tasa de Falla'!FY45)</f>
      </c>
      <c r="I45" s="851">
        <f>IF('[1]Tasa de Falla'!FZ45=0,"",'[1]Tasa de Falla'!FZ45)</f>
      </c>
      <c r="J45" s="851">
        <f>IF('[1]Tasa de Falla'!GA45=0,"",'[1]Tasa de Falla'!GA45)</f>
      </c>
      <c r="K45" s="851">
        <f>IF('[1]Tasa de Falla'!GB45=0,"",'[1]Tasa de Falla'!GB45)</f>
      </c>
      <c r="L45" s="851">
        <f>IF('[1]Tasa de Falla'!GC45=0,"",'[1]Tasa de Falla'!GC45)</f>
      </c>
      <c r="M45" s="851">
        <f>IF('[1]Tasa de Falla'!GD45=0,"",'[1]Tasa de Falla'!GD45)</f>
      </c>
      <c r="N45" s="851">
        <f>IF('[1]Tasa de Falla'!GE45=0,"",'[1]Tasa de Falla'!GE45)</f>
      </c>
      <c r="O45" s="851">
        <f>IF('[1]Tasa de Falla'!GF45=0,"",'[1]Tasa de Falla'!GF45)</f>
      </c>
      <c r="P45" s="851">
        <f>IF('[1]Tasa de Falla'!GG45=0,"",'[1]Tasa de Falla'!GG45)</f>
      </c>
      <c r="Q45" s="851">
        <f>IF('[1]Tasa de Falla'!GH45=0,"",'[1]Tasa de Falla'!GH45)</f>
      </c>
      <c r="R45" s="851">
        <f>IF('[1]Tasa de Falla'!GI45=0,"",'[1]Tasa de Falla'!GI45)</f>
      </c>
      <c r="S45" s="886"/>
      <c r="T45" s="3"/>
    </row>
    <row r="46" spans="2:20" ht="15" customHeight="1">
      <c r="B46" s="2"/>
      <c r="C46" s="853">
        <f>IF('[1]Tasa de Falla'!C46=0,"",'[1]Tasa de Falla'!C46)</f>
        <v>24</v>
      </c>
      <c r="D46" s="854" t="str">
        <f>IF('[1]Tasa de Falla'!D46=0,"",'[1]Tasa de Falla'!D46)</f>
        <v>E.T. PATAGONIA - PAMPA DEL CASTILLO</v>
      </c>
      <c r="E46" s="854">
        <f>IF('[1]Tasa de Falla'!E46=0,"",'[1]Tasa de Falla'!E46)</f>
        <v>132</v>
      </c>
      <c r="F46" s="855">
        <f>IF('[1]Tasa de Falla'!F46=0,"",'[1]Tasa de Falla'!F46)</f>
        <v>42.6</v>
      </c>
      <c r="G46" s="851">
        <f>IF('[1]Tasa de Falla'!FX46=0,"",'[1]Tasa de Falla'!FX46)</f>
      </c>
      <c r="H46" s="851">
        <f>IF('[1]Tasa de Falla'!FY46=0,"",'[1]Tasa de Falla'!FY46)</f>
      </c>
      <c r="I46" s="851">
        <f>IF('[1]Tasa de Falla'!FZ46=0,"",'[1]Tasa de Falla'!FZ46)</f>
      </c>
      <c r="J46" s="851">
        <f>IF('[1]Tasa de Falla'!GA46=0,"",'[1]Tasa de Falla'!GA46)</f>
      </c>
      <c r="K46" s="851">
        <f>IF('[1]Tasa de Falla'!GB46=0,"",'[1]Tasa de Falla'!GB46)</f>
      </c>
      <c r="L46" s="851">
        <f>IF('[1]Tasa de Falla'!GC46=0,"",'[1]Tasa de Falla'!GC46)</f>
      </c>
      <c r="M46" s="851">
        <f>IF('[1]Tasa de Falla'!GD46=0,"",'[1]Tasa de Falla'!GD46)</f>
      </c>
      <c r="N46" s="851">
        <f>IF('[1]Tasa de Falla'!GE46=0,"",'[1]Tasa de Falla'!GE46)</f>
      </c>
      <c r="O46" s="851">
        <f>IF('[1]Tasa de Falla'!GF46=0,"",'[1]Tasa de Falla'!GF46)</f>
      </c>
      <c r="P46" s="851">
        <f>IF('[1]Tasa de Falla'!GG46=0,"",'[1]Tasa de Falla'!GG46)</f>
      </c>
      <c r="Q46" s="851">
        <f>IF('[1]Tasa de Falla'!GH46=0,"",'[1]Tasa de Falla'!GH46)</f>
      </c>
      <c r="R46" s="851">
        <f>IF('[1]Tasa de Falla'!GI46=0,"",'[1]Tasa de Falla'!GI46)</f>
      </c>
      <c r="S46" s="886"/>
      <c r="T46" s="3"/>
    </row>
    <row r="47" spans="2:20" ht="15" customHeight="1">
      <c r="B47" s="2"/>
      <c r="C47" s="848">
        <f>IF('[1]Tasa de Falla'!C47=0,"",'[1]Tasa de Falla'!C47)</f>
        <v>25</v>
      </c>
      <c r="D47" s="849" t="str">
        <f>IF('[1]Tasa de Falla'!D47=0,"",'[1]Tasa de Falla'!D47)</f>
        <v>PAMPA DEL CASTILLO - VALLE HERMOSO</v>
      </c>
      <c r="E47" s="849">
        <f>IF('[1]Tasa de Falla'!E47=0,"",'[1]Tasa de Falla'!E47)</f>
        <v>132</v>
      </c>
      <c r="F47" s="850">
        <f>IF('[1]Tasa de Falla'!F47=0,"",'[1]Tasa de Falla'!F47)</f>
        <v>33.6</v>
      </c>
      <c r="G47" s="851">
        <f>IF('[1]Tasa de Falla'!FX47=0,"",'[1]Tasa de Falla'!FX47)</f>
      </c>
      <c r="H47" s="851">
        <f>IF('[1]Tasa de Falla'!FY47=0,"",'[1]Tasa de Falla'!FY47)</f>
      </c>
      <c r="I47" s="851">
        <f>IF('[1]Tasa de Falla'!FZ47=0,"",'[1]Tasa de Falla'!FZ47)</f>
      </c>
      <c r="J47" s="851">
        <f>IF('[1]Tasa de Falla'!GA47=0,"",'[1]Tasa de Falla'!GA47)</f>
      </c>
      <c r="K47" s="851">
        <f>IF('[1]Tasa de Falla'!GB47=0,"",'[1]Tasa de Falla'!GB47)</f>
      </c>
      <c r="L47" s="851">
        <f>IF('[1]Tasa de Falla'!GC47=0,"",'[1]Tasa de Falla'!GC47)</f>
      </c>
      <c r="M47" s="851">
        <f>IF('[1]Tasa de Falla'!GD47=0,"",'[1]Tasa de Falla'!GD47)</f>
      </c>
      <c r="N47" s="851">
        <f>IF('[1]Tasa de Falla'!GE47=0,"",'[1]Tasa de Falla'!GE47)</f>
      </c>
      <c r="O47" s="851">
        <f>IF('[1]Tasa de Falla'!GF47=0,"",'[1]Tasa de Falla'!GF47)</f>
      </c>
      <c r="P47" s="851">
        <f>IF('[1]Tasa de Falla'!GG47=0,"",'[1]Tasa de Falla'!GG47)</f>
      </c>
      <c r="Q47" s="851">
        <f>IF('[1]Tasa de Falla'!GH47=0,"",'[1]Tasa de Falla'!GH47)</f>
      </c>
      <c r="R47" s="851">
        <f>IF('[1]Tasa de Falla'!GI47=0,"",'[1]Tasa de Falla'!GI47)</f>
      </c>
      <c r="S47" s="886"/>
      <c r="T47" s="3"/>
    </row>
    <row r="48" spans="2:20" ht="15" customHeight="1">
      <c r="B48" s="2"/>
      <c r="C48" s="853">
        <f>IF('[1]Tasa de Falla'!C48=0,"",'[1]Tasa de Falla'!C48)</f>
        <v>26</v>
      </c>
      <c r="D48" s="854" t="str">
        <f>IF('[1]Tasa de Falla'!D48=0,"",'[1]Tasa de Falla'!D48)</f>
        <v>VALLE HERMOSO - CERRO NEGRO</v>
      </c>
      <c r="E48" s="854">
        <f>IF('[1]Tasa de Falla'!E48=0,"",'[1]Tasa de Falla'!E48)</f>
        <v>132</v>
      </c>
      <c r="F48" s="855">
        <f>IF('[1]Tasa de Falla'!F48=0,"",'[1]Tasa de Falla'!F48)</f>
        <v>41</v>
      </c>
      <c r="G48" s="851">
        <f>IF('[1]Tasa de Falla'!FX48=0,"",'[1]Tasa de Falla'!FX48)</f>
      </c>
      <c r="H48" s="851">
        <f>IF('[1]Tasa de Falla'!FY48=0,"",'[1]Tasa de Falla'!FY48)</f>
      </c>
      <c r="I48" s="851">
        <f>IF('[1]Tasa de Falla'!FZ48=0,"",'[1]Tasa de Falla'!FZ48)</f>
      </c>
      <c r="J48" s="851">
        <f>IF('[1]Tasa de Falla'!GA48=0,"",'[1]Tasa de Falla'!GA48)</f>
      </c>
      <c r="K48" s="851">
        <f>IF('[1]Tasa de Falla'!GB48=0,"",'[1]Tasa de Falla'!GB48)</f>
      </c>
      <c r="L48" s="851">
        <f>IF('[1]Tasa de Falla'!GC48=0,"",'[1]Tasa de Falla'!GC48)</f>
      </c>
      <c r="M48" s="851">
        <f>IF('[1]Tasa de Falla'!GD48=0,"",'[1]Tasa de Falla'!GD48)</f>
      </c>
      <c r="N48" s="851">
        <f>IF('[1]Tasa de Falla'!GE48=0,"",'[1]Tasa de Falla'!GE48)</f>
      </c>
      <c r="O48" s="851">
        <f>IF('[1]Tasa de Falla'!GF48=0,"",'[1]Tasa de Falla'!GF48)</f>
      </c>
      <c r="P48" s="851">
        <f>IF('[1]Tasa de Falla'!GG48=0,"",'[1]Tasa de Falla'!GG48)</f>
      </c>
      <c r="Q48" s="851">
        <f>IF('[1]Tasa de Falla'!GH48=0,"",'[1]Tasa de Falla'!GH48)</f>
      </c>
      <c r="R48" s="851">
        <f>IF('[1]Tasa de Falla'!GI48=0,"",'[1]Tasa de Falla'!GI48)</f>
      </c>
      <c r="S48" s="886"/>
      <c r="T48" s="3"/>
    </row>
    <row r="49" spans="2:20" ht="15" customHeight="1">
      <c r="B49" s="2"/>
      <c r="C49" s="848">
        <f>IF('[1]Tasa de Falla'!C49=0,"",'[1]Tasa de Falla'!C49)</f>
      </c>
      <c r="D49" s="849" t="str">
        <f>IF('[1]Tasa de Falla'!D49=0,"",'[1]Tasa de Falla'!D49)</f>
        <v>ESQUEL-EL COHIUE</v>
      </c>
      <c r="E49" s="849">
        <f>IF('[1]Tasa de Falla'!E49=0,"",'[1]Tasa de Falla'!E49)</f>
        <v>132</v>
      </c>
      <c r="F49" s="850">
        <f>IF('[1]Tasa de Falla'!F49=0,"",'[1]Tasa de Falla'!F49)</f>
        <v>127.98</v>
      </c>
      <c r="G49" s="851">
        <f>IF('[1]Tasa de Falla'!FX49=0,"",'[1]Tasa de Falla'!FX49)</f>
      </c>
      <c r="H49" s="851">
        <f>IF('[1]Tasa de Falla'!FY49=0,"",'[1]Tasa de Falla'!FY49)</f>
      </c>
      <c r="I49" s="851">
        <f>IF('[1]Tasa de Falla'!FZ49=0,"",'[1]Tasa de Falla'!FZ49)</f>
      </c>
      <c r="J49" s="851">
        <f>IF('[1]Tasa de Falla'!GA49=0,"",'[1]Tasa de Falla'!GA49)</f>
      </c>
      <c r="K49" s="851">
        <f>IF('[1]Tasa de Falla'!GB49=0,"",'[1]Tasa de Falla'!GB49)</f>
      </c>
      <c r="L49" s="851">
        <f>IF('[1]Tasa de Falla'!GC49=0,"",'[1]Tasa de Falla'!GC49)</f>
      </c>
      <c r="M49" s="851">
        <f>IF('[1]Tasa de Falla'!GD49=0,"",'[1]Tasa de Falla'!GD49)</f>
      </c>
      <c r="N49" s="851">
        <f>IF('[1]Tasa de Falla'!GE49=0,"",'[1]Tasa de Falla'!GE49)</f>
      </c>
      <c r="O49" s="851">
        <f>IF('[1]Tasa de Falla'!GF49=0,"",'[1]Tasa de Falla'!GF49)</f>
      </c>
      <c r="P49" s="851">
        <f>IF('[1]Tasa de Falla'!GG49=0,"",'[1]Tasa de Falla'!GG49)</f>
      </c>
      <c r="Q49" s="851">
        <f>IF('[1]Tasa de Falla'!GH49=0,"",'[1]Tasa de Falla'!GH49)</f>
      </c>
      <c r="R49" s="851">
        <f>IF('[1]Tasa de Falla'!GI49=0,"",'[1]Tasa de Falla'!GI49)</f>
      </c>
      <c r="S49" s="886"/>
      <c r="T49" s="3"/>
    </row>
    <row r="50" spans="2:20" ht="15" customHeight="1">
      <c r="B50" s="2"/>
      <c r="C50" s="853">
        <f>IF('[1]Tasa de Falla'!C50=0,"",'[1]Tasa de Falla'!C50)</f>
        <v>27</v>
      </c>
      <c r="D50" s="854" t="str">
        <f>IF('[1]Tasa de Falla'!D50=0,"",'[1]Tasa de Falla'!D50)</f>
        <v>PAMPA DEL CASTILLO - EL TORDILLO</v>
      </c>
      <c r="E50" s="854">
        <f>IF('[1]Tasa de Falla'!E50=0,"",'[1]Tasa de Falla'!E50)</f>
        <v>132</v>
      </c>
      <c r="F50" s="855">
        <f>IF('[1]Tasa de Falla'!F50=0,"",'[1]Tasa de Falla'!F50)</f>
        <v>8.9</v>
      </c>
      <c r="G50" s="851">
        <f>IF('[1]Tasa de Falla'!FX50=0,"",'[1]Tasa de Falla'!FX50)</f>
      </c>
      <c r="H50" s="851">
        <f>IF('[1]Tasa de Falla'!FY50=0,"",'[1]Tasa de Falla'!FY50)</f>
      </c>
      <c r="I50" s="851">
        <f>IF('[1]Tasa de Falla'!FZ50=0,"",'[1]Tasa de Falla'!FZ50)</f>
      </c>
      <c r="J50" s="851">
        <f>IF('[1]Tasa de Falla'!GA50=0,"",'[1]Tasa de Falla'!GA50)</f>
      </c>
      <c r="K50" s="851">
        <f>IF('[1]Tasa de Falla'!GB50=0,"",'[1]Tasa de Falla'!GB50)</f>
      </c>
      <c r="L50" s="851">
        <f>IF('[1]Tasa de Falla'!GC50=0,"",'[1]Tasa de Falla'!GC50)</f>
      </c>
      <c r="M50" s="851">
        <f>IF('[1]Tasa de Falla'!GD50=0,"",'[1]Tasa de Falla'!GD50)</f>
      </c>
      <c r="N50" s="851">
        <f>IF('[1]Tasa de Falla'!GE50=0,"",'[1]Tasa de Falla'!GE50)</f>
      </c>
      <c r="O50" s="851">
        <f>IF('[1]Tasa de Falla'!GF50=0,"",'[1]Tasa de Falla'!GF50)</f>
      </c>
      <c r="P50" s="851">
        <f>IF('[1]Tasa de Falla'!GG50=0,"",'[1]Tasa de Falla'!GG50)</f>
      </c>
      <c r="Q50" s="851">
        <f>IF('[1]Tasa de Falla'!GH50=0,"",'[1]Tasa de Falla'!GH50)</f>
        <v>2</v>
      </c>
      <c r="R50" s="851">
        <f>IF('[1]Tasa de Falla'!GI50=0,"",'[1]Tasa de Falla'!GI50)</f>
      </c>
      <c r="S50" s="886"/>
      <c r="T50" s="3"/>
    </row>
    <row r="51" spans="2:20" ht="15" customHeight="1">
      <c r="B51" s="2"/>
      <c r="C51" s="853">
        <f>IF('[1]Tasa de Falla'!C51=0,"",'[1]Tasa de Falla'!C51)</f>
        <v>28</v>
      </c>
      <c r="D51" s="854" t="str">
        <f>IF('[1]Tasa de Falla'!D51=0,"",'[1]Tasa de Falla'!D51)</f>
        <v>PLANTA ALUMINIO APPA - PUERTO MADRYN 3</v>
      </c>
      <c r="E51" s="854">
        <f>IF('[1]Tasa de Falla'!E51=0,"",'[1]Tasa de Falla'!E51)</f>
        <v>330</v>
      </c>
      <c r="F51" s="855">
        <f>IF('[1]Tasa de Falla'!F51=0,"",'[1]Tasa de Falla'!F51)</f>
        <v>4.85</v>
      </c>
      <c r="G51" s="851">
        <f>IF('[1]Tasa de Falla'!FX51=0,"",'[1]Tasa de Falla'!FX51)</f>
      </c>
      <c r="H51" s="851">
        <f>IF('[1]Tasa de Falla'!FY51=0,"",'[1]Tasa de Falla'!FY51)</f>
      </c>
      <c r="I51" s="851">
        <f>IF('[1]Tasa de Falla'!FZ51=0,"",'[1]Tasa de Falla'!FZ51)</f>
      </c>
      <c r="J51" s="851">
        <f>IF('[1]Tasa de Falla'!GA51=0,"",'[1]Tasa de Falla'!GA51)</f>
      </c>
      <c r="K51" s="851">
        <f>IF('[1]Tasa de Falla'!GB51=0,"",'[1]Tasa de Falla'!GB51)</f>
      </c>
      <c r="L51" s="851">
        <f>IF('[1]Tasa de Falla'!GC51=0,"",'[1]Tasa de Falla'!GC51)</f>
      </c>
      <c r="M51" s="851">
        <f>IF('[1]Tasa de Falla'!GD51=0,"",'[1]Tasa de Falla'!GD51)</f>
      </c>
      <c r="N51" s="851">
        <f>IF('[1]Tasa de Falla'!GE51=0,"",'[1]Tasa de Falla'!GE51)</f>
      </c>
      <c r="O51" s="851">
        <f>IF('[1]Tasa de Falla'!GF51=0,"",'[1]Tasa de Falla'!GF51)</f>
      </c>
      <c r="P51" s="851">
        <f>IF('[1]Tasa de Falla'!GG51=0,"",'[1]Tasa de Falla'!GG51)</f>
      </c>
      <c r="Q51" s="851">
        <f>IF('[1]Tasa de Falla'!GH51=0,"",'[1]Tasa de Falla'!GH51)</f>
      </c>
      <c r="R51" s="851">
        <f>IF('[1]Tasa de Falla'!GI51=0,"",'[1]Tasa de Falla'!GI51)</f>
      </c>
      <c r="S51" s="886"/>
      <c r="T51" s="3"/>
    </row>
    <row r="52" spans="2:20" ht="15" customHeight="1">
      <c r="B52" s="2"/>
      <c r="C52" s="853">
        <f>IF('[1]Tasa de Falla'!C52=0,"",'[1]Tasa de Falla'!C52)</f>
        <v>29</v>
      </c>
      <c r="D52" s="854" t="str">
        <f>IF('[1]Tasa de Falla'!D52=0,"",'[1]Tasa de Falla'!D52)</f>
        <v>TRELEW - RAWSON</v>
      </c>
      <c r="E52" s="854">
        <f>IF('[1]Tasa de Falla'!E52=0,"",'[1]Tasa de Falla'!E52)</f>
        <v>132</v>
      </c>
      <c r="F52" s="855">
        <f>IF('[1]Tasa de Falla'!F52=0,"",'[1]Tasa de Falla'!F52)</f>
        <v>21.8</v>
      </c>
      <c r="G52" s="851" t="str">
        <f>IF('[1]Tasa de Falla'!FX52=0,"",'[1]Tasa de Falla'!FX52)</f>
        <v>XXXX</v>
      </c>
      <c r="H52" s="851" t="str">
        <f>IF('[1]Tasa de Falla'!FY52=0,"",'[1]Tasa de Falla'!FY52)</f>
        <v>XXXX</v>
      </c>
      <c r="I52" s="851" t="str">
        <f>IF('[1]Tasa de Falla'!FZ52=0,"",'[1]Tasa de Falla'!FZ52)</f>
        <v>XXXX</v>
      </c>
      <c r="J52" s="851" t="str">
        <f>IF('[1]Tasa de Falla'!GA52=0,"",'[1]Tasa de Falla'!GA52)</f>
        <v>XXXX</v>
      </c>
      <c r="K52" s="851" t="str">
        <f>IF('[1]Tasa de Falla'!GB52=0,"",'[1]Tasa de Falla'!GB52)</f>
        <v>XXXX</v>
      </c>
      <c r="L52" s="851" t="str">
        <f>IF('[1]Tasa de Falla'!GC52=0,"",'[1]Tasa de Falla'!GC52)</f>
        <v>XXXX</v>
      </c>
      <c r="M52" s="851" t="str">
        <f>IF('[1]Tasa de Falla'!GD52=0,"",'[1]Tasa de Falla'!GD52)</f>
        <v>XXXX</v>
      </c>
      <c r="N52" s="851" t="str">
        <f>IF('[1]Tasa de Falla'!GE52=0,"",'[1]Tasa de Falla'!GE52)</f>
        <v>XXXX</v>
      </c>
      <c r="O52" s="851" t="str">
        <f>IF('[1]Tasa de Falla'!GF52=0,"",'[1]Tasa de Falla'!GF52)</f>
        <v>XXXX</v>
      </c>
      <c r="P52" s="851">
        <f>IF('[1]Tasa de Falla'!GG52=0,"",'[1]Tasa de Falla'!GG52)</f>
      </c>
      <c r="Q52" s="851">
        <f>IF('[1]Tasa de Falla'!GH52=0,"",'[1]Tasa de Falla'!GH52)</f>
        <v>1</v>
      </c>
      <c r="R52" s="851">
        <f>IF('[1]Tasa de Falla'!GI52=0,"",'[1]Tasa de Falla'!GI52)</f>
        <v>2</v>
      </c>
      <c r="S52" s="886"/>
      <c r="T52" s="3"/>
    </row>
    <row r="53" spans="2:20" ht="15" customHeight="1">
      <c r="B53" s="2"/>
      <c r="C53" s="853">
        <f>IF('[1]Tasa de Falla'!C53=0,"",'[1]Tasa de Falla'!C53)</f>
      </c>
      <c r="D53" s="854">
        <f>IF('[1]Tasa de Falla'!D53=0,"",'[1]Tasa de Falla'!D53)</f>
      </c>
      <c r="E53" s="854">
        <f>IF('[1]Tasa de Falla'!E53=0,"",'[1]Tasa de Falla'!E53)</f>
      </c>
      <c r="F53" s="855">
        <f>IF('[1]Tasa de Falla'!F53=0,"",'[1]Tasa de Falla'!F53)</f>
      </c>
      <c r="G53" s="851">
        <f>IF('[1]Tasa de Falla'!FX53=0,"",'[1]Tasa de Falla'!FX53)</f>
      </c>
      <c r="H53" s="851">
        <f>IF('[1]Tasa de Falla'!FY53=0,"",'[1]Tasa de Falla'!FY53)</f>
      </c>
      <c r="I53" s="851">
        <f>IF('[1]Tasa de Falla'!FZ53=0,"",'[1]Tasa de Falla'!FZ53)</f>
      </c>
      <c r="J53" s="851">
        <f>IF('[1]Tasa de Falla'!GA53=0,"",'[1]Tasa de Falla'!GA53)</f>
      </c>
      <c r="K53" s="851">
        <f>IF('[1]Tasa de Falla'!GB53=0,"",'[1]Tasa de Falla'!GB53)</f>
      </c>
      <c r="L53" s="851">
        <f>IF('[1]Tasa de Falla'!GC53=0,"",'[1]Tasa de Falla'!GC53)</f>
      </c>
      <c r="M53" s="851">
        <f>IF('[1]Tasa de Falla'!GD53=0,"",'[1]Tasa de Falla'!GD53)</f>
      </c>
      <c r="N53" s="851">
        <f>IF('[1]Tasa de Falla'!GE53=0,"",'[1]Tasa de Falla'!GE53)</f>
      </c>
      <c r="O53" s="851">
        <f>IF('[1]Tasa de Falla'!GF53=0,"",'[1]Tasa de Falla'!GF53)</f>
      </c>
      <c r="P53" s="851">
        <f>IF('[1]Tasa de Falla'!GG53=0,"",'[1]Tasa de Falla'!GG53)</f>
      </c>
      <c r="Q53" s="851">
        <f>IF('[1]Tasa de Falla'!GH53=0,"",'[1]Tasa de Falla'!GH53)</f>
      </c>
      <c r="R53" s="851">
        <f>IF('[1]Tasa de Falla'!GI53=0,"",'[1]Tasa de Falla'!GI53)</f>
      </c>
      <c r="S53" s="886"/>
      <c r="T53" s="3"/>
    </row>
    <row r="54" spans="2:20" ht="15" customHeight="1" thickBot="1">
      <c r="B54" s="2"/>
      <c r="C54" s="856"/>
      <c r="D54" s="857"/>
      <c r="E54" s="858"/>
      <c r="F54" s="859"/>
      <c r="G54" s="851">
        <f>IF('[1]Tasa de Falla'!FX51=0,"",'[1]Tasa de Falla'!FX51)</f>
      </c>
      <c r="H54" s="851">
        <f>IF('[1]Tasa de Falla'!FY51=0,"",'[1]Tasa de Falla'!FY51)</f>
      </c>
      <c r="I54" s="851">
        <f>IF('[1]Tasa de Falla'!FZ51=0,"",'[1]Tasa de Falla'!FZ51)</f>
      </c>
      <c r="J54" s="851">
        <f>IF('[1]Tasa de Falla'!GA51=0,"",'[1]Tasa de Falla'!GA51)</f>
      </c>
      <c r="K54" s="851">
        <f>IF('[1]Tasa de Falla'!GB51=0,"",'[1]Tasa de Falla'!GB51)</f>
      </c>
      <c r="L54" s="851">
        <f>IF('[1]Tasa de Falla'!GC51=0,"",'[1]Tasa de Falla'!GC51)</f>
      </c>
      <c r="M54" s="851">
        <f>IF('[1]Tasa de Falla'!GD51=0,"",'[1]Tasa de Falla'!GD51)</f>
      </c>
      <c r="N54" s="851">
        <f>IF('[1]Tasa de Falla'!GE51=0,"",'[1]Tasa de Falla'!GE51)</f>
      </c>
      <c r="O54" s="851">
        <f>IF('[1]Tasa de Falla'!GF51=0,"",'[1]Tasa de Falla'!GF51)</f>
      </c>
      <c r="P54" s="851">
        <f>IF('[1]Tasa de Falla'!GG51=0,"",'[1]Tasa de Falla'!GG51)</f>
      </c>
      <c r="Q54" s="851">
        <f>IF('[1]Tasa de Falla'!GH51=0,"",'[1]Tasa de Falla'!GH51)</f>
      </c>
      <c r="R54" s="851">
        <f>IF('[1]Tasa de Falla'!GI51=0,"",'[1]Tasa de Falla'!GI51)</f>
      </c>
      <c r="S54" s="886"/>
      <c r="T54" s="3"/>
    </row>
    <row r="55" spans="2:20" ht="15" customHeight="1" thickBot="1" thickTop="1">
      <c r="B55" s="2"/>
      <c r="C55" s="77"/>
      <c r="D55" s="197"/>
      <c r="E55" s="860" t="s">
        <v>174</v>
      </c>
      <c r="F55" s="861">
        <f>SUM(F18:F54)-F34</f>
        <v>2868.0400000000004</v>
      </c>
      <c r="G55" s="862"/>
      <c r="H55" s="862"/>
      <c r="I55" s="862"/>
      <c r="J55" s="862"/>
      <c r="K55" s="862"/>
      <c r="L55" s="862"/>
      <c r="M55" s="862"/>
      <c r="N55" s="862"/>
      <c r="O55" s="862"/>
      <c r="P55" s="862"/>
      <c r="Q55" s="863"/>
      <c r="R55" s="852"/>
      <c r="S55" s="886"/>
      <c r="T55" s="3"/>
    </row>
    <row r="56" spans="2:20" ht="15" customHeight="1" thickBot="1" thickTop="1">
      <c r="B56" s="2"/>
      <c r="C56" s="32"/>
      <c r="D56" s="39"/>
      <c r="E56" s="864"/>
      <c r="F56" s="865" t="s">
        <v>175</v>
      </c>
      <c r="G56" s="866">
        <f aca="true" t="shared" si="0" ref="G56:P56">SUM(G17:G54)</f>
        <v>0</v>
      </c>
      <c r="H56" s="866">
        <f t="shared" si="0"/>
        <v>2</v>
      </c>
      <c r="I56" s="866">
        <f t="shared" si="0"/>
        <v>3</v>
      </c>
      <c r="J56" s="866">
        <f t="shared" si="0"/>
        <v>2</v>
      </c>
      <c r="K56" s="866">
        <f t="shared" si="0"/>
        <v>1</v>
      </c>
      <c r="L56" s="866">
        <f t="shared" si="0"/>
        <v>0</v>
      </c>
      <c r="M56" s="866">
        <f t="shared" si="0"/>
        <v>1</v>
      </c>
      <c r="N56" s="866">
        <f t="shared" si="0"/>
        <v>2</v>
      </c>
      <c r="O56" s="866">
        <f t="shared" si="0"/>
        <v>1</v>
      </c>
      <c r="P56" s="866">
        <f t="shared" si="0"/>
        <v>0</v>
      </c>
      <c r="Q56" s="866">
        <f>SUM(Q17:Q54)</f>
        <v>4</v>
      </c>
      <c r="R56" s="866">
        <f>SUM(R17:R54)</f>
        <v>4</v>
      </c>
      <c r="S56" s="887"/>
      <c r="T56" s="3"/>
    </row>
    <row r="57" spans="2:20" ht="17.25" thickBot="1" thickTop="1">
      <c r="B57" s="2"/>
      <c r="C57" s="864"/>
      <c r="D57" s="864"/>
      <c r="E57" s="32"/>
      <c r="F57" s="867" t="s">
        <v>176</v>
      </c>
      <c r="G57" s="868">
        <f>+'[1]Tasa de Falla'!FX60</f>
        <v>1.23</v>
      </c>
      <c r="H57" s="868">
        <f>+'[1]Tasa de Falla'!FY60</f>
        <v>1.19</v>
      </c>
      <c r="I57" s="868">
        <f>+'[1]Tasa de Falla'!FZ60</f>
        <v>0.88</v>
      </c>
      <c r="J57" s="868">
        <f>+'[1]Tasa de Falla'!GA60</f>
        <v>0.95</v>
      </c>
      <c r="K57" s="868">
        <f>+'[1]Tasa de Falla'!GB60</f>
        <v>0.88</v>
      </c>
      <c r="L57" s="868">
        <f>+'[1]Tasa de Falla'!GC60</f>
        <v>0.91</v>
      </c>
      <c r="M57" s="868">
        <f>+'[1]Tasa de Falla'!GD60</f>
        <v>0.81</v>
      </c>
      <c r="N57" s="868">
        <f>+'[1]Tasa de Falla'!GE60</f>
        <v>0.84</v>
      </c>
      <c r="O57" s="868">
        <f>+'[1]Tasa de Falla'!GF60</f>
        <v>0.81</v>
      </c>
      <c r="P57" s="868">
        <f>+'[1]Tasa de Falla'!GG60</f>
        <v>0.63</v>
      </c>
      <c r="Q57" s="868">
        <f>+'[1]Tasa de Falla'!GH60</f>
        <v>0.56</v>
      </c>
      <c r="R57" s="868">
        <f>+'[1]Tasa de Falla'!GI60</f>
        <v>0.66</v>
      </c>
      <c r="S57" s="868">
        <f>+'[1]Tasa de Falla'!GJ60</f>
        <v>0.7</v>
      </c>
      <c r="T57" s="3"/>
    </row>
    <row r="58" spans="2:20" ht="18.75" customHeight="1" thickBot="1" thickTop="1">
      <c r="B58" s="2"/>
      <c r="C58" s="869" t="s">
        <v>177</v>
      </c>
      <c r="D58" s="32" t="s">
        <v>178</v>
      </c>
      <c r="E58" s="870"/>
      <c r="F58" s="871"/>
      <c r="G58" s="872"/>
      <c r="H58" s="872"/>
      <c r="I58" s="872"/>
      <c r="J58" s="872"/>
      <c r="K58" s="872"/>
      <c r="L58" s="872"/>
      <c r="M58" s="872"/>
      <c r="N58" s="872"/>
      <c r="O58" s="872"/>
      <c r="P58" s="872"/>
      <c r="Q58" s="872"/>
      <c r="R58" s="872"/>
      <c r="S58" s="872"/>
      <c r="T58" s="63"/>
    </row>
    <row r="59" spans="2:20" ht="17.25" thickBot="1" thickTop="1">
      <c r="B59" s="873"/>
      <c r="C59" s="874"/>
      <c r="D59" s="875" t="s">
        <v>179</v>
      </c>
      <c r="H59" s="876" t="s">
        <v>180</v>
      </c>
      <c r="I59" s="877"/>
      <c r="J59" s="878">
        <f>S57</f>
        <v>0.7</v>
      </c>
      <c r="K59" s="879" t="s">
        <v>181</v>
      </c>
      <c r="L59" s="879"/>
      <c r="M59" s="880"/>
      <c r="N59" s="875"/>
      <c r="O59" s="875"/>
      <c r="P59" s="875"/>
      <c r="Q59" s="875"/>
      <c r="R59" s="875"/>
      <c r="S59" s="875"/>
      <c r="T59" s="3"/>
    </row>
    <row r="60" spans="2:20" ht="18.75" customHeight="1" thickBot="1">
      <c r="B60" s="881"/>
      <c r="C60" s="882"/>
      <c r="D60" s="51"/>
      <c r="E60" s="51"/>
      <c r="F60" s="883"/>
      <c r="G60" s="884"/>
      <c r="H60" s="884"/>
      <c r="I60" s="884"/>
      <c r="J60" s="884"/>
      <c r="K60" s="884"/>
      <c r="L60" s="884"/>
      <c r="M60" s="884"/>
      <c r="N60" s="884"/>
      <c r="O60" s="884"/>
      <c r="P60" s="884"/>
      <c r="Q60" s="884"/>
      <c r="R60" s="884"/>
      <c r="S60" s="884"/>
      <c r="T60" s="885"/>
    </row>
    <row r="61" ht="13.5" thickTop="1"/>
  </sheetData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48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91"/>
  <sheetViews>
    <sheetView zoomScale="70" zoomScaleNormal="70" workbookViewId="0" topLeftCell="D10">
      <selection activeCell="A28" sqref="A28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25" customFormat="1" ht="26.25">
      <c r="AB1" s="471"/>
    </row>
    <row r="2" spans="2:28" s="125" customFormat="1" ht="26.25">
      <c r="B2" s="126" t="str">
        <f>+'TOT-0410'!B2</f>
        <v>ANEXO IV al Memorandum  D.T.E.E.  N°   456 /2011 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="12" customFormat="1" ht="12.75"/>
    <row r="4" spans="1:3" s="128" customFormat="1" ht="11.25">
      <c r="A4" s="775" t="s">
        <v>21</v>
      </c>
      <c r="C4" s="774"/>
    </row>
    <row r="5" spans="1:3" s="128" customFormat="1" ht="11.25">
      <c r="A5" s="775" t="s">
        <v>150</v>
      </c>
      <c r="C5" s="774"/>
    </row>
    <row r="6" s="12" customFormat="1" ht="13.5" thickBot="1"/>
    <row r="7" spans="1:28" s="12" customFormat="1" ht="13.5" thickTop="1">
      <c r="A7" s="10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</row>
    <row r="8" spans="1:28" s="130" customFormat="1" ht="20.25">
      <c r="A8" s="47"/>
      <c r="B8" s="129"/>
      <c r="C8" s="47"/>
      <c r="D8" s="47"/>
      <c r="E8" s="47"/>
      <c r="F8" s="23" t="s">
        <v>46</v>
      </c>
      <c r="G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131"/>
    </row>
    <row r="9" spans="1:28" s="12" customFormat="1" ht="12.75">
      <c r="A9" s="10"/>
      <c r="B9" s="46"/>
      <c r="C9" s="10"/>
      <c r="D9" s="10"/>
      <c r="E9" s="10"/>
      <c r="F9" s="142"/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3"/>
    </row>
    <row r="10" spans="1:28" s="130" customFormat="1" ht="20.25">
      <c r="A10" s="47"/>
      <c r="B10" s="129"/>
      <c r="C10" s="47"/>
      <c r="D10" s="47"/>
      <c r="E10" s="47"/>
      <c r="F10" s="23" t="s">
        <v>47</v>
      </c>
      <c r="G10" s="23"/>
      <c r="H10" s="47"/>
      <c r="I10" s="132"/>
      <c r="J10" s="132"/>
      <c r="K10" s="132"/>
      <c r="L10" s="132"/>
      <c r="M10" s="132"/>
      <c r="N10" s="132"/>
      <c r="O10" s="132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131"/>
    </row>
    <row r="11" spans="1:28" s="12" customFormat="1" ht="12.75">
      <c r="A11" s="10"/>
      <c r="B11" s="46"/>
      <c r="C11" s="10"/>
      <c r="D11" s="10"/>
      <c r="E11" s="10"/>
      <c r="F11" s="141"/>
      <c r="G11" s="139"/>
      <c r="H11" s="10"/>
      <c r="I11" s="138"/>
      <c r="J11" s="138"/>
      <c r="K11" s="138"/>
      <c r="L11" s="138"/>
      <c r="M11" s="138"/>
      <c r="N11" s="138"/>
      <c r="O11" s="13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3"/>
    </row>
    <row r="12" spans="1:28" s="130" customFormat="1" ht="20.25">
      <c r="A12" s="47"/>
      <c r="B12" s="129"/>
      <c r="C12" s="47"/>
      <c r="D12" s="47"/>
      <c r="E12" s="47"/>
      <c r="F12" s="23" t="s">
        <v>48</v>
      </c>
      <c r="G12" s="23"/>
      <c r="H12" s="47"/>
      <c r="I12" s="132"/>
      <c r="J12" s="132"/>
      <c r="K12" s="132"/>
      <c r="L12" s="132"/>
      <c r="M12" s="132"/>
      <c r="N12" s="132"/>
      <c r="O12" s="132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131"/>
    </row>
    <row r="13" spans="1:28" s="12" customFormat="1" ht="12.75">
      <c r="A13" s="10"/>
      <c r="B13" s="46"/>
      <c r="C13" s="10"/>
      <c r="D13" s="10"/>
      <c r="E13" s="10"/>
      <c r="F13" s="141"/>
      <c r="G13" s="139"/>
      <c r="H13" s="10"/>
      <c r="I13" s="138"/>
      <c r="J13" s="138"/>
      <c r="K13" s="138"/>
      <c r="L13" s="138"/>
      <c r="M13" s="138"/>
      <c r="N13" s="138"/>
      <c r="O13" s="138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3"/>
    </row>
    <row r="14" spans="1:28" s="137" customFormat="1" ht="19.5">
      <c r="A14" s="49"/>
      <c r="B14" s="103" t="str">
        <f>+'TOT-0410'!B14</f>
        <v>Desde el 01 al 30 de abril de 2010</v>
      </c>
      <c r="C14" s="133"/>
      <c r="D14" s="133"/>
      <c r="E14" s="133"/>
      <c r="F14" s="133"/>
      <c r="G14" s="134"/>
      <c r="H14" s="134"/>
      <c r="I14" s="135"/>
      <c r="J14" s="135"/>
      <c r="K14" s="135"/>
      <c r="L14" s="135"/>
      <c r="M14" s="135"/>
      <c r="N14" s="135"/>
      <c r="O14" s="135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6"/>
    </row>
    <row r="15" spans="1:28" s="12" customFormat="1" ht="13.5" thickBot="1">
      <c r="A15" s="10"/>
      <c r="B15" s="46"/>
      <c r="C15" s="10"/>
      <c r="D15" s="10"/>
      <c r="E15" s="10"/>
      <c r="F15" s="10"/>
      <c r="G15" s="139"/>
      <c r="H15" s="140"/>
      <c r="I15" s="138"/>
      <c r="J15" s="138"/>
      <c r="K15" s="138"/>
      <c r="L15" s="138"/>
      <c r="M15" s="138"/>
      <c r="N15" s="138"/>
      <c r="O15" s="138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3"/>
    </row>
    <row r="16" spans="1:28" s="111" customFormat="1" ht="16.5" customHeight="1" thickBot="1" thickTop="1">
      <c r="A16" s="107"/>
      <c r="B16" s="108"/>
      <c r="C16" s="107"/>
      <c r="D16" s="107"/>
      <c r="E16" s="107"/>
      <c r="F16" s="565" t="s">
        <v>49</v>
      </c>
      <c r="G16" s="566">
        <v>72.965</v>
      </c>
      <c r="H16" s="567"/>
      <c r="I16" s="112"/>
      <c r="J16" s="112"/>
      <c r="K16" s="112"/>
      <c r="L16" s="112"/>
      <c r="M16" s="112"/>
      <c r="N16" s="112"/>
      <c r="O16" s="112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10"/>
    </row>
    <row r="17" spans="1:28" s="111" customFormat="1" ht="16.5" customHeight="1" thickBot="1" thickTop="1">
      <c r="A17" s="107"/>
      <c r="B17" s="108"/>
      <c r="C17" s="107"/>
      <c r="D17" s="107"/>
      <c r="E17" s="107"/>
      <c r="F17" s="565" t="s">
        <v>50</v>
      </c>
      <c r="G17" s="566">
        <v>69.722</v>
      </c>
      <c r="H17" s="568"/>
      <c r="I17" s="107"/>
      <c r="K17" s="113" t="s">
        <v>51</v>
      </c>
      <c r="L17" s="114">
        <f>30*'TOT-0410'!B13</f>
        <v>30</v>
      </c>
      <c r="M17" s="271" t="str">
        <f>IF(L17=30," ",IF(L17=60,"Coeficiente duplicado por tasa de falla &gt;4 Sal. x año/100 km.","REVISAR COEFICIENTE"))</f>
        <v> 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10"/>
    </row>
    <row r="18" spans="1:28" s="803" customFormat="1" ht="14.25" thickBot="1" thickTop="1">
      <c r="A18" s="799"/>
      <c r="B18" s="800"/>
      <c r="C18" s="801">
        <v>3</v>
      </c>
      <c r="D18" s="801">
        <v>4</v>
      </c>
      <c r="E18" s="801">
        <v>5</v>
      </c>
      <c r="F18" s="801">
        <v>6</v>
      </c>
      <c r="G18" s="801">
        <v>7</v>
      </c>
      <c r="H18" s="801">
        <v>8</v>
      </c>
      <c r="I18" s="801">
        <v>9</v>
      </c>
      <c r="J18" s="801">
        <v>10</v>
      </c>
      <c r="K18" s="801">
        <v>11</v>
      </c>
      <c r="L18" s="801">
        <v>12</v>
      </c>
      <c r="M18" s="801">
        <v>13</v>
      </c>
      <c r="N18" s="801">
        <v>14</v>
      </c>
      <c r="O18" s="801">
        <v>15</v>
      </c>
      <c r="P18" s="801">
        <v>16</v>
      </c>
      <c r="Q18" s="801">
        <v>17</v>
      </c>
      <c r="R18" s="801">
        <v>18</v>
      </c>
      <c r="S18" s="801">
        <v>19</v>
      </c>
      <c r="T18" s="801">
        <v>20</v>
      </c>
      <c r="U18" s="801">
        <v>21</v>
      </c>
      <c r="V18" s="801">
        <v>22</v>
      </c>
      <c r="W18" s="801">
        <v>23</v>
      </c>
      <c r="X18" s="801">
        <v>24</v>
      </c>
      <c r="Y18" s="801">
        <v>25</v>
      </c>
      <c r="Z18" s="801">
        <v>26</v>
      </c>
      <c r="AA18" s="801">
        <v>27</v>
      </c>
      <c r="AB18" s="802"/>
    </row>
    <row r="19" spans="1:28" s="124" customFormat="1" ht="33.75" customHeight="1" thickBot="1" thickTop="1">
      <c r="A19" s="115"/>
      <c r="B19" s="116"/>
      <c r="C19" s="117" t="s">
        <v>52</v>
      </c>
      <c r="D19" s="117" t="s">
        <v>149</v>
      </c>
      <c r="E19" s="117" t="s">
        <v>148</v>
      </c>
      <c r="F19" s="118" t="s">
        <v>24</v>
      </c>
      <c r="G19" s="119" t="s">
        <v>53</v>
      </c>
      <c r="H19" s="120" t="s">
        <v>54</v>
      </c>
      <c r="I19" s="303" t="s">
        <v>55</v>
      </c>
      <c r="J19" s="118" t="s">
        <v>56</v>
      </c>
      <c r="K19" s="118" t="s">
        <v>57</v>
      </c>
      <c r="L19" s="119" t="s">
        <v>58</v>
      </c>
      <c r="M19" s="119" t="s">
        <v>59</v>
      </c>
      <c r="N19" s="121" t="s">
        <v>60</v>
      </c>
      <c r="O19" s="119" t="s">
        <v>61</v>
      </c>
      <c r="P19" s="333" t="s">
        <v>62</v>
      </c>
      <c r="Q19" s="336" t="s">
        <v>63</v>
      </c>
      <c r="R19" s="339" t="s">
        <v>64</v>
      </c>
      <c r="S19" s="340"/>
      <c r="T19" s="341"/>
      <c r="U19" s="350" t="s">
        <v>65</v>
      </c>
      <c r="V19" s="351"/>
      <c r="W19" s="352"/>
      <c r="X19" s="360" t="s">
        <v>66</v>
      </c>
      <c r="Y19" s="363" t="s">
        <v>67</v>
      </c>
      <c r="Z19" s="122" t="s">
        <v>68</v>
      </c>
      <c r="AA19" s="122" t="s">
        <v>69</v>
      </c>
      <c r="AB19" s="123"/>
    </row>
    <row r="20" spans="1:28" ht="16.5" customHeight="1" thickTop="1">
      <c r="A20" s="1"/>
      <c r="B20" s="2"/>
      <c r="C20" s="53"/>
      <c r="D20" s="773"/>
      <c r="E20" s="773"/>
      <c r="F20" s="469"/>
      <c r="G20" s="55"/>
      <c r="H20" s="55"/>
      <c r="I20" s="458"/>
      <c r="J20" s="55"/>
      <c r="K20" s="56"/>
      <c r="L20" s="56"/>
      <c r="M20" s="56"/>
      <c r="N20" s="54"/>
      <c r="O20" s="55"/>
      <c r="P20" s="334"/>
      <c r="Q20" s="337"/>
      <c r="R20" s="342"/>
      <c r="S20" s="343"/>
      <c r="T20" s="344"/>
      <c r="U20" s="353"/>
      <c r="V20" s="354"/>
      <c r="W20" s="355"/>
      <c r="X20" s="361"/>
      <c r="Y20" s="364"/>
      <c r="Z20" s="348"/>
      <c r="AA20" s="470"/>
      <c r="AB20" s="3"/>
    </row>
    <row r="21" spans="1:28" ht="16.5" customHeight="1">
      <c r="A21" s="1"/>
      <c r="B21" s="2"/>
      <c r="C21" s="591"/>
      <c r="D21" s="771"/>
      <c r="E21" s="771"/>
      <c r="F21" s="591"/>
      <c r="G21" s="592"/>
      <c r="H21" s="592"/>
      <c r="I21" s="459"/>
      <c r="J21" s="591"/>
      <c r="K21" s="593"/>
      <c r="L21" s="106"/>
      <c r="M21" s="106"/>
      <c r="N21" s="594"/>
      <c r="O21" s="591"/>
      <c r="P21" s="595"/>
      <c r="Q21" s="596"/>
      <c r="R21" s="597"/>
      <c r="S21" s="598"/>
      <c r="T21" s="599"/>
      <c r="U21" s="600"/>
      <c r="V21" s="601"/>
      <c r="W21" s="602"/>
      <c r="X21" s="603"/>
      <c r="Y21" s="604"/>
      <c r="Z21" s="605"/>
      <c r="AA21" s="106"/>
      <c r="AB21" s="3"/>
    </row>
    <row r="22" spans="1:28" ht="16.5" customHeight="1">
      <c r="A22" s="1"/>
      <c r="B22" s="2"/>
      <c r="C22" s="569">
        <v>1</v>
      </c>
      <c r="D22" s="569">
        <v>220921</v>
      </c>
      <c r="E22" s="569">
        <v>3737</v>
      </c>
      <c r="F22" s="570" t="s">
        <v>166</v>
      </c>
      <c r="G22" s="571">
        <v>132</v>
      </c>
      <c r="H22" s="572">
        <v>47</v>
      </c>
      <c r="I22" s="460">
        <f aca="true" t="shared" si="0" ref="I22:I41">IF(H22&gt;25,H22,25)*IF(G22=330,$G$16,$G$17)/100</f>
        <v>32.76934</v>
      </c>
      <c r="J22" s="577">
        <v>40281.32916666667</v>
      </c>
      <c r="K22" s="577">
        <v>40281.736805555556</v>
      </c>
      <c r="L22" s="15">
        <f aca="true" t="shared" si="1" ref="L22:L41">IF(F22="","",(K22-J22)*24)</f>
        <v>9.783333333267365</v>
      </c>
      <c r="M22" s="16">
        <f aca="true" t="shared" si="2" ref="M22:M41">IF(F22="","",ROUND((K22-J22)*24*60,0))</f>
        <v>587</v>
      </c>
      <c r="N22" s="578" t="s">
        <v>155</v>
      </c>
      <c r="O22" s="777" t="str">
        <f aca="true" t="shared" si="3" ref="O22:O41">IF(F22="","","--")</f>
        <v>--</v>
      </c>
      <c r="P22" s="778">
        <f aca="true" t="shared" si="4" ref="P22:P41">IF(N22="P",ROUND(M22/60,2)*I22*$L$17*0.01,"--")</f>
        <v>96.14524356</v>
      </c>
      <c r="Q22" s="779" t="str">
        <f aca="true" t="shared" si="5" ref="Q22:Q41">IF(N22="RP",ROUND(M22/60,2)*I22*$L$17*0.01*O22/100,"--")</f>
        <v>--</v>
      </c>
      <c r="R22" s="780" t="str">
        <f aca="true" t="shared" si="6" ref="R22:R41">IF(N22="F",I22*$L$17,"--")</f>
        <v>--</v>
      </c>
      <c r="S22" s="781" t="str">
        <f aca="true" t="shared" si="7" ref="S22:S41">IF(AND(M22&gt;10,N22="F"),I22*$L$17*IF(M22&gt;180,3,ROUND(M22/60,2)),"--")</f>
        <v>--</v>
      </c>
      <c r="T22" s="782" t="str">
        <f aca="true" t="shared" si="8" ref="T22:T41">IF(AND(M22&gt;180,N22="F"),(ROUND(M22/60,2)-3)*I22*$L$17*0.1,"--")</f>
        <v>--</v>
      </c>
      <c r="U22" s="783" t="str">
        <f aca="true" t="shared" si="9" ref="U22:U41">IF(N22="R",I22*$L$17*O22/100,"--")</f>
        <v>--</v>
      </c>
      <c r="V22" s="784" t="str">
        <f aca="true" t="shared" si="10" ref="V22:V41">IF(AND(M22&gt;10,N22="R"),I22*$L$17*O22/100*IF(M22&gt;180,3,ROUND(M22/60,2)),"--")</f>
        <v>--</v>
      </c>
      <c r="W22" s="785" t="str">
        <f aca="true" t="shared" si="11" ref="W22:W41">IF(AND(M22&gt;180,N22="R"),(ROUND(M22/60,2)-3)*O22/100*I22*$L$17*0.1,"--")</f>
        <v>--</v>
      </c>
      <c r="X22" s="786" t="str">
        <f aca="true" t="shared" si="12" ref="X22:X41">IF(N22="RF",ROUND(M22/60,2)*I22*$L$17*0.1,"--")</f>
        <v>--</v>
      </c>
      <c r="Y22" s="787" t="str">
        <f aca="true" t="shared" si="13" ref="Y22:Y41">IF(N22="RR",ROUND(M22/60,2)*O22/100*I22*$L$17*0.1,"--")</f>
        <v>--</v>
      </c>
      <c r="Z22" s="788" t="s">
        <v>156</v>
      </c>
      <c r="AA22" s="57">
        <f aca="true" t="shared" si="14" ref="AA22:AA41">IF(F22="","",SUM(P22:Y22)*IF(Z22="SI",1,2))</f>
        <v>96.14524356</v>
      </c>
      <c r="AB22" s="3"/>
    </row>
    <row r="23" spans="1:28" ht="16.5" customHeight="1">
      <c r="A23" s="1"/>
      <c r="B23" s="2"/>
      <c r="C23" s="569">
        <v>2</v>
      </c>
      <c r="D23" s="569">
        <v>221417</v>
      </c>
      <c r="E23" s="569">
        <v>2036</v>
      </c>
      <c r="F23" s="570" t="s">
        <v>157</v>
      </c>
      <c r="G23" s="571">
        <v>132</v>
      </c>
      <c r="H23" s="572">
        <v>138</v>
      </c>
      <c r="I23" s="460">
        <f t="shared" si="0"/>
        <v>96.21635999999998</v>
      </c>
      <c r="J23" s="577">
        <v>40296.450694444444</v>
      </c>
      <c r="K23" s="577">
        <v>40296.50347222222</v>
      </c>
      <c r="L23" s="15">
        <f t="shared" si="1"/>
        <v>1.2666666666045785</v>
      </c>
      <c r="M23" s="16">
        <f t="shared" si="2"/>
        <v>76</v>
      </c>
      <c r="N23" s="578" t="s">
        <v>155</v>
      </c>
      <c r="O23" s="777" t="str">
        <f t="shared" si="3"/>
        <v>--</v>
      </c>
      <c r="P23" s="778">
        <f t="shared" si="4"/>
        <v>36.658433159999994</v>
      </c>
      <c r="Q23" s="779" t="str">
        <f t="shared" si="5"/>
        <v>--</v>
      </c>
      <c r="R23" s="780" t="str">
        <f t="shared" si="6"/>
        <v>--</v>
      </c>
      <c r="S23" s="781" t="str">
        <f t="shared" si="7"/>
        <v>--</v>
      </c>
      <c r="T23" s="782" t="str">
        <f t="shared" si="8"/>
        <v>--</v>
      </c>
      <c r="U23" s="783" t="str">
        <f t="shared" si="9"/>
        <v>--</v>
      </c>
      <c r="V23" s="784" t="str">
        <f t="shared" si="10"/>
        <v>--</v>
      </c>
      <c r="W23" s="785" t="str">
        <f t="shared" si="11"/>
        <v>--</v>
      </c>
      <c r="X23" s="786" t="str">
        <f t="shared" si="12"/>
        <v>--</v>
      </c>
      <c r="Y23" s="787" t="str">
        <f t="shared" si="13"/>
        <v>--</v>
      </c>
      <c r="Z23" s="788" t="s">
        <v>156</v>
      </c>
      <c r="AA23" s="57">
        <f t="shared" si="14"/>
        <v>36.658433159999994</v>
      </c>
      <c r="AB23" s="3"/>
    </row>
    <row r="24" spans="1:28" ht="16.5" customHeight="1">
      <c r="A24" s="1"/>
      <c r="B24" s="2"/>
      <c r="C24" s="569"/>
      <c r="D24" s="569"/>
      <c r="E24" s="569"/>
      <c r="F24" s="570"/>
      <c r="G24" s="571"/>
      <c r="H24" s="572"/>
      <c r="I24" s="460">
        <f t="shared" si="0"/>
        <v>17.4305</v>
      </c>
      <c r="J24" s="577"/>
      <c r="K24" s="577"/>
      <c r="L24" s="15">
        <f t="shared" si="1"/>
      </c>
      <c r="M24" s="16">
        <f t="shared" si="2"/>
      </c>
      <c r="N24" s="578"/>
      <c r="O24" s="777">
        <f t="shared" si="3"/>
      </c>
      <c r="P24" s="778" t="str">
        <f t="shared" si="4"/>
        <v>--</v>
      </c>
      <c r="Q24" s="779" t="str">
        <f t="shared" si="5"/>
        <v>--</v>
      </c>
      <c r="R24" s="780" t="str">
        <f t="shared" si="6"/>
        <v>--</v>
      </c>
      <c r="S24" s="781" t="str">
        <f t="shared" si="7"/>
        <v>--</v>
      </c>
      <c r="T24" s="782" t="str">
        <f t="shared" si="8"/>
        <v>--</v>
      </c>
      <c r="U24" s="783" t="str">
        <f t="shared" si="9"/>
        <v>--</v>
      </c>
      <c r="V24" s="784" t="str">
        <f t="shared" si="10"/>
        <v>--</v>
      </c>
      <c r="W24" s="785" t="str">
        <f t="shared" si="11"/>
        <v>--</v>
      </c>
      <c r="X24" s="786" t="str">
        <f t="shared" si="12"/>
        <v>--</v>
      </c>
      <c r="Y24" s="787" t="str">
        <f t="shared" si="13"/>
        <v>--</v>
      </c>
      <c r="Z24" s="788">
        <f aca="true" t="shared" si="15" ref="Z24:Z41">IF(F24="","","SI")</f>
      </c>
      <c r="AA24" s="57">
        <f t="shared" si="14"/>
      </c>
      <c r="AB24" s="3"/>
    </row>
    <row r="25" spans="1:28" ht="16.5" customHeight="1">
      <c r="A25" s="1"/>
      <c r="B25" s="2"/>
      <c r="C25" s="569"/>
      <c r="D25" s="569"/>
      <c r="E25" s="569"/>
      <c r="F25" s="570"/>
      <c r="G25" s="571"/>
      <c r="H25" s="572"/>
      <c r="I25" s="460">
        <f t="shared" si="0"/>
        <v>17.4305</v>
      </c>
      <c r="J25" s="577"/>
      <c r="K25" s="577"/>
      <c r="L25" s="15">
        <f t="shared" si="1"/>
      </c>
      <c r="M25" s="16">
        <f t="shared" si="2"/>
      </c>
      <c r="N25" s="578"/>
      <c r="O25" s="777">
        <f t="shared" si="3"/>
      </c>
      <c r="P25" s="778" t="str">
        <f t="shared" si="4"/>
        <v>--</v>
      </c>
      <c r="Q25" s="779" t="str">
        <f t="shared" si="5"/>
        <v>--</v>
      </c>
      <c r="R25" s="780" t="str">
        <f t="shared" si="6"/>
        <v>--</v>
      </c>
      <c r="S25" s="781" t="str">
        <f t="shared" si="7"/>
        <v>--</v>
      </c>
      <c r="T25" s="782" t="str">
        <f t="shared" si="8"/>
        <v>--</v>
      </c>
      <c r="U25" s="783" t="str">
        <f t="shared" si="9"/>
        <v>--</v>
      </c>
      <c r="V25" s="784" t="str">
        <f t="shared" si="10"/>
        <v>--</v>
      </c>
      <c r="W25" s="785" t="str">
        <f t="shared" si="11"/>
        <v>--</v>
      </c>
      <c r="X25" s="786" t="str">
        <f t="shared" si="12"/>
        <v>--</v>
      </c>
      <c r="Y25" s="787" t="str">
        <f t="shared" si="13"/>
        <v>--</v>
      </c>
      <c r="Z25" s="788">
        <f t="shared" si="15"/>
      </c>
      <c r="AA25" s="57">
        <f t="shared" si="14"/>
      </c>
      <c r="AB25" s="3"/>
    </row>
    <row r="26" spans="1:28" ht="16.5" customHeight="1">
      <c r="A26" s="1"/>
      <c r="B26" s="2"/>
      <c r="C26" s="569"/>
      <c r="D26" s="569"/>
      <c r="E26" s="569"/>
      <c r="F26" s="570"/>
      <c r="G26" s="571"/>
      <c r="H26" s="572"/>
      <c r="I26" s="460">
        <f t="shared" si="0"/>
        <v>17.4305</v>
      </c>
      <c r="J26" s="577"/>
      <c r="K26" s="577"/>
      <c r="L26" s="15">
        <f t="shared" si="1"/>
      </c>
      <c r="M26" s="16">
        <f t="shared" si="2"/>
      </c>
      <c r="N26" s="578"/>
      <c r="O26" s="777">
        <f t="shared" si="3"/>
      </c>
      <c r="P26" s="778" t="str">
        <f t="shared" si="4"/>
        <v>--</v>
      </c>
      <c r="Q26" s="779" t="str">
        <f t="shared" si="5"/>
        <v>--</v>
      </c>
      <c r="R26" s="780" t="str">
        <f t="shared" si="6"/>
        <v>--</v>
      </c>
      <c r="S26" s="781" t="str">
        <f t="shared" si="7"/>
        <v>--</v>
      </c>
      <c r="T26" s="782" t="str">
        <f t="shared" si="8"/>
        <v>--</v>
      </c>
      <c r="U26" s="783" t="str">
        <f t="shared" si="9"/>
        <v>--</v>
      </c>
      <c r="V26" s="784" t="str">
        <f t="shared" si="10"/>
        <v>--</v>
      </c>
      <c r="W26" s="785" t="str">
        <f t="shared" si="11"/>
        <v>--</v>
      </c>
      <c r="X26" s="786" t="str">
        <f t="shared" si="12"/>
        <v>--</v>
      </c>
      <c r="Y26" s="787" t="str">
        <f t="shared" si="13"/>
        <v>--</v>
      </c>
      <c r="Z26" s="788">
        <f t="shared" si="15"/>
      </c>
      <c r="AA26" s="57">
        <f t="shared" si="14"/>
      </c>
      <c r="AB26" s="3"/>
    </row>
    <row r="27" spans="1:28" ht="16.5" customHeight="1">
      <c r="A27" s="1"/>
      <c r="B27" s="2"/>
      <c r="C27" s="569"/>
      <c r="D27" s="569"/>
      <c r="E27" s="569"/>
      <c r="F27" s="570"/>
      <c r="G27" s="571"/>
      <c r="H27" s="572"/>
      <c r="I27" s="460">
        <f t="shared" si="0"/>
        <v>17.4305</v>
      </c>
      <c r="J27" s="577"/>
      <c r="K27" s="577"/>
      <c r="L27" s="15">
        <f t="shared" si="1"/>
      </c>
      <c r="M27" s="16">
        <f t="shared" si="2"/>
      </c>
      <c r="N27" s="578"/>
      <c r="O27" s="777">
        <f t="shared" si="3"/>
      </c>
      <c r="P27" s="778" t="str">
        <f t="shared" si="4"/>
        <v>--</v>
      </c>
      <c r="Q27" s="779" t="str">
        <f t="shared" si="5"/>
        <v>--</v>
      </c>
      <c r="R27" s="780" t="str">
        <f t="shared" si="6"/>
        <v>--</v>
      </c>
      <c r="S27" s="781" t="str">
        <f t="shared" si="7"/>
        <v>--</v>
      </c>
      <c r="T27" s="782" t="str">
        <f t="shared" si="8"/>
        <v>--</v>
      </c>
      <c r="U27" s="783" t="str">
        <f t="shared" si="9"/>
        <v>--</v>
      </c>
      <c r="V27" s="784" t="str">
        <f t="shared" si="10"/>
        <v>--</v>
      </c>
      <c r="W27" s="785" t="str">
        <f t="shared" si="11"/>
        <v>--</v>
      </c>
      <c r="X27" s="786" t="str">
        <f t="shared" si="12"/>
        <v>--</v>
      </c>
      <c r="Y27" s="787" t="str">
        <f t="shared" si="13"/>
        <v>--</v>
      </c>
      <c r="Z27" s="788">
        <f t="shared" si="15"/>
      </c>
      <c r="AA27" s="57">
        <f t="shared" si="14"/>
      </c>
      <c r="AB27" s="3"/>
    </row>
    <row r="28" spans="1:28" ht="16.5" customHeight="1">
      <c r="A28" s="1"/>
      <c r="B28" s="2"/>
      <c r="C28" s="569"/>
      <c r="D28" s="569"/>
      <c r="E28" s="569"/>
      <c r="F28" s="570"/>
      <c r="G28" s="571"/>
      <c r="H28" s="572"/>
      <c r="I28" s="460">
        <f t="shared" si="0"/>
        <v>17.4305</v>
      </c>
      <c r="J28" s="577"/>
      <c r="K28" s="577"/>
      <c r="L28" s="15">
        <f t="shared" si="1"/>
      </c>
      <c r="M28" s="16">
        <f t="shared" si="2"/>
      </c>
      <c r="N28" s="578"/>
      <c r="O28" s="777">
        <f t="shared" si="3"/>
      </c>
      <c r="P28" s="778" t="str">
        <f t="shared" si="4"/>
        <v>--</v>
      </c>
      <c r="Q28" s="779" t="str">
        <f t="shared" si="5"/>
        <v>--</v>
      </c>
      <c r="R28" s="780" t="str">
        <f t="shared" si="6"/>
        <v>--</v>
      </c>
      <c r="S28" s="781" t="str">
        <f t="shared" si="7"/>
        <v>--</v>
      </c>
      <c r="T28" s="782" t="str">
        <f t="shared" si="8"/>
        <v>--</v>
      </c>
      <c r="U28" s="783" t="str">
        <f t="shared" si="9"/>
        <v>--</v>
      </c>
      <c r="V28" s="784" t="str">
        <f t="shared" si="10"/>
        <v>--</v>
      </c>
      <c r="W28" s="785" t="str">
        <f t="shared" si="11"/>
        <v>--</v>
      </c>
      <c r="X28" s="786" t="str">
        <f t="shared" si="12"/>
        <v>--</v>
      </c>
      <c r="Y28" s="787" t="str">
        <f t="shared" si="13"/>
        <v>--</v>
      </c>
      <c r="Z28" s="788">
        <f t="shared" si="15"/>
      </c>
      <c r="AA28" s="57">
        <f t="shared" si="14"/>
      </c>
      <c r="AB28" s="3"/>
    </row>
    <row r="29" spans="1:28" ht="16.5" customHeight="1">
      <c r="A29" s="1"/>
      <c r="B29" s="2"/>
      <c r="C29" s="569"/>
      <c r="D29" s="569"/>
      <c r="E29" s="569"/>
      <c r="F29" s="570"/>
      <c r="G29" s="571"/>
      <c r="H29" s="572"/>
      <c r="I29" s="460">
        <f t="shared" si="0"/>
        <v>17.4305</v>
      </c>
      <c r="J29" s="577"/>
      <c r="K29" s="577"/>
      <c r="L29" s="15">
        <f t="shared" si="1"/>
      </c>
      <c r="M29" s="16">
        <f t="shared" si="2"/>
      </c>
      <c r="N29" s="578"/>
      <c r="O29" s="777">
        <f t="shared" si="3"/>
      </c>
      <c r="P29" s="778" t="str">
        <f t="shared" si="4"/>
        <v>--</v>
      </c>
      <c r="Q29" s="779" t="str">
        <f t="shared" si="5"/>
        <v>--</v>
      </c>
      <c r="R29" s="780" t="str">
        <f t="shared" si="6"/>
        <v>--</v>
      </c>
      <c r="S29" s="781" t="str">
        <f t="shared" si="7"/>
        <v>--</v>
      </c>
      <c r="T29" s="782" t="str">
        <f t="shared" si="8"/>
        <v>--</v>
      </c>
      <c r="U29" s="783" t="str">
        <f t="shared" si="9"/>
        <v>--</v>
      </c>
      <c r="V29" s="784" t="str">
        <f t="shared" si="10"/>
        <v>--</v>
      </c>
      <c r="W29" s="785" t="str">
        <f t="shared" si="11"/>
        <v>--</v>
      </c>
      <c r="X29" s="786" t="str">
        <f t="shared" si="12"/>
        <v>--</v>
      </c>
      <c r="Y29" s="787" t="str">
        <f t="shared" si="13"/>
        <v>--</v>
      </c>
      <c r="Z29" s="788">
        <f t="shared" si="15"/>
      </c>
      <c r="AA29" s="57">
        <f t="shared" si="14"/>
      </c>
      <c r="AB29" s="3"/>
    </row>
    <row r="30" spans="1:28" ht="16.5" customHeight="1">
      <c r="A30" s="1"/>
      <c r="B30" s="2"/>
      <c r="C30" s="569"/>
      <c r="D30" s="569"/>
      <c r="E30" s="569"/>
      <c r="F30" s="570"/>
      <c r="G30" s="571"/>
      <c r="H30" s="572"/>
      <c r="I30" s="460">
        <f t="shared" si="0"/>
        <v>17.4305</v>
      </c>
      <c r="J30" s="577"/>
      <c r="K30" s="577"/>
      <c r="L30" s="15">
        <f t="shared" si="1"/>
      </c>
      <c r="M30" s="16">
        <f t="shared" si="2"/>
      </c>
      <c r="N30" s="578"/>
      <c r="O30" s="777">
        <f t="shared" si="3"/>
      </c>
      <c r="P30" s="778" t="str">
        <f t="shared" si="4"/>
        <v>--</v>
      </c>
      <c r="Q30" s="779" t="str">
        <f t="shared" si="5"/>
        <v>--</v>
      </c>
      <c r="R30" s="780" t="str">
        <f t="shared" si="6"/>
        <v>--</v>
      </c>
      <c r="S30" s="781" t="str">
        <f t="shared" si="7"/>
        <v>--</v>
      </c>
      <c r="T30" s="782" t="str">
        <f t="shared" si="8"/>
        <v>--</v>
      </c>
      <c r="U30" s="783" t="str">
        <f t="shared" si="9"/>
        <v>--</v>
      </c>
      <c r="V30" s="784" t="str">
        <f t="shared" si="10"/>
        <v>--</v>
      </c>
      <c r="W30" s="785" t="str">
        <f t="shared" si="11"/>
        <v>--</v>
      </c>
      <c r="X30" s="786" t="str">
        <f t="shared" si="12"/>
        <v>--</v>
      </c>
      <c r="Y30" s="787" t="str">
        <f t="shared" si="13"/>
        <v>--</v>
      </c>
      <c r="Z30" s="788">
        <f t="shared" si="15"/>
      </c>
      <c r="AA30" s="57">
        <f t="shared" si="14"/>
      </c>
      <c r="AB30" s="3"/>
    </row>
    <row r="31" spans="1:28" ht="16.5" customHeight="1">
      <c r="A31" s="1"/>
      <c r="B31" s="2"/>
      <c r="C31" s="569"/>
      <c r="D31" s="569"/>
      <c r="E31" s="569"/>
      <c r="F31" s="570"/>
      <c r="G31" s="571"/>
      <c r="H31" s="572"/>
      <c r="I31" s="460">
        <f t="shared" si="0"/>
        <v>17.4305</v>
      </c>
      <c r="J31" s="577"/>
      <c r="K31" s="577"/>
      <c r="L31" s="15">
        <f t="shared" si="1"/>
      </c>
      <c r="M31" s="16">
        <f t="shared" si="2"/>
      </c>
      <c r="N31" s="578"/>
      <c r="O31" s="777">
        <f t="shared" si="3"/>
      </c>
      <c r="P31" s="778" t="str">
        <f t="shared" si="4"/>
        <v>--</v>
      </c>
      <c r="Q31" s="779" t="str">
        <f t="shared" si="5"/>
        <v>--</v>
      </c>
      <c r="R31" s="780" t="str">
        <f t="shared" si="6"/>
        <v>--</v>
      </c>
      <c r="S31" s="781" t="str">
        <f t="shared" si="7"/>
        <v>--</v>
      </c>
      <c r="T31" s="782" t="str">
        <f t="shared" si="8"/>
        <v>--</v>
      </c>
      <c r="U31" s="783" t="str">
        <f t="shared" si="9"/>
        <v>--</v>
      </c>
      <c r="V31" s="784" t="str">
        <f t="shared" si="10"/>
        <v>--</v>
      </c>
      <c r="W31" s="785" t="str">
        <f t="shared" si="11"/>
        <v>--</v>
      </c>
      <c r="X31" s="786" t="str">
        <f t="shared" si="12"/>
        <v>--</v>
      </c>
      <c r="Y31" s="787" t="str">
        <f t="shared" si="13"/>
        <v>--</v>
      </c>
      <c r="Z31" s="788">
        <f t="shared" si="15"/>
      </c>
      <c r="AA31" s="57">
        <f t="shared" si="14"/>
      </c>
      <c r="AB31" s="3"/>
    </row>
    <row r="32" spans="1:28" ht="16.5" customHeight="1">
      <c r="A32" s="1"/>
      <c r="B32" s="2"/>
      <c r="C32" s="569"/>
      <c r="D32" s="569"/>
      <c r="E32" s="569"/>
      <c r="F32" s="570"/>
      <c r="G32" s="571"/>
      <c r="H32" s="572"/>
      <c r="I32" s="460">
        <f t="shared" si="0"/>
        <v>17.4305</v>
      </c>
      <c r="J32" s="577"/>
      <c r="K32" s="577"/>
      <c r="L32" s="15">
        <f t="shared" si="1"/>
      </c>
      <c r="M32" s="16">
        <f t="shared" si="2"/>
      </c>
      <c r="N32" s="578"/>
      <c r="O32" s="777">
        <f t="shared" si="3"/>
      </c>
      <c r="P32" s="778" t="str">
        <f t="shared" si="4"/>
        <v>--</v>
      </c>
      <c r="Q32" s="779" t="str">
        <f t="shared" si="5"/>
        <v>--</v>
      </c>
      <c r="R32" s="780" t="str">
        <f t="shared" si="6"/>
        <v>--</v>
      </c>
      <c r="S32" s="781" t="str">
        <f t="shared" si="7"/>
        <v>--</v>
      </c>
      <c r="T32" s="782" t="str">
        <f t="shared" si="8"/>
        <v>--</v>
      </c>
      <c r="U32" s="783" t="str">
        <f t="shared" si="9"/>
        <v>--</v>
      </c>
      <c r="V32" s="784" t="str">
        <f t="shared" si="10"/>
        <v>--</v>
      </c>
      <c r="W32" s="785" t="str">
        <f t="shared" si="11"/>
        <v>--</v>
      </c>
      <c r="X32" s="786" t="str">
        <f t="shared" si="12"/>
        <v>--</v>
      </c>
      <c r="Y32" s="787" t="str">
        <f t="shared" si="13"/>
        <v>--</v>
      </c>
      <c r="Z32" s="788">
        <f t="shared" si="15"/>
      </c>
      <c r="AA32" s="57">
        <f t="shared" si="14"/>
      </c>
      <c r="AB32" s="3"/>
    </row>
    <row r="33" spans="1:28" ht="16.5" customHeight="1">
      <c r="A33" s="1"/>
      <c r="B33" s="2"/>
      <c r="C33" s="569"/>
      <c r="D33" s="569"/>
      <c r="E33" s="569"/>
      <c r="F33" s="570"/>
      <c r="G33" s="571"/>
      <c r="H33" s="572"/>
      <c r="I33" s="460">
        <f t="shared" si="0"/>
        <v>17.4305</v>
      </c>
      <c r="J33" s="577"/>
      <c r="K33" s="577"/>
      <c r="L33" s="15">
        <f t="shared" si="1"/>
      </c>
      <c r="M33" s="16">
        <f t="shared" si="2"/>
      </c>
      <c r="N33" s="578"/>
      <c r="O33" s="777">
        <f t="shared" si="3"/>
      </c>
      <c r="P33" s="778" t="str">
        <f t="shared" si="4"/>
        <v>--</v>
      </c>
      <c r="Q33" s="779" t="str">
        <f t="shared" si="5"/>
        <v>--</v>
      </c>
      <c r="R33" s="780" t="str">
        <f t="shared" si="6"/>
        <v>--</v>
      </c>
      <c r="S33" s="781" t="str">
        <f t="shared" si="7"/>
        <v>--</v>
      </c>
      <c r="T33" s="782" t="str">
        <f t="shared" si="8"/>
        <v>--</v>
      </c>
      <c r="U33" s="783" t="str">
        <f t="shared" si="9"/>
        <v>--</v>
      </c>
      <c r="V33" s="784" t="str">
        <f t="shared" si="10"/>
        <v>--</v>
      </c>
      <c r="W33" s="785" t="str">
        <f t="shared" si="11"/>
        <v>--</v>
      </c>
      <c r="X33" s="786" t="str">
        <f t="shared" si="12"/>
        <v>--</v>
      </c>
      <c r="Y33" s="787" t="str">
        <f t="shared" si="13"/>
        <v>--</v>
      </c>
      <c r="Z33" s="788">
        <f t="shared" si="15"/>
      </c>
      <c r="AA33" s="57">
        <f t="shared" si="14"/>
      </c>
      <c r="AB33" s="3"/>
    </row>
    <row r="34" spans="1:28" ht="16.5" customHeight="1">
      <c r="A34" s="1"/>
      <c r="B34" s="2"/>
      <c r="C34" s="569"/>
      <c r="D34" s="569"/>
      <c r="E34" s="569"/>
      <c r="F34" s="570"/>
      <c r="G34" s="571"/>
      <c r="H34" s="572"/>
      <c r="I34" s="460">
        <f t="shared" si="0"/>
        <v>17.4305</v>
      </c>
      <c r="J34" s="577"/>
      <c r="K34" s="577"/>
      <c r="L34" s="15">
        <f t="shared" si="1"/>
      </c>
      <c r="M34" s="16">
        <f t="shared" si="2"/>
      </c>
      <c r="N34" s="578"/>
      <c r="O34" s="777">
        <f t="shared" si="3"/>
      </c>
      <c r="P34" s="778" t="str">
        <f t="shared" si="4"/>
        <v>--</v>
      </c>
      <c r="Q34" s="779" t="str">
        <f t="shared" si="5"/>
        <v>--</v>
      </c>
      <c r="R34" s="780" t="str">
        <f t="shared" si="6"/>
        <v>--</v>
      </c>
      <c r="S34" s="781" t="str">
        <f t="shared" si="7"/>
        <v>--</v>
      </c>
      <c r="T34" s="782" t="str">
        <f t="shared" si="8"/>
        <v>--</v>
      </c>
      <c r="U34" s="783" t="str">
        <f t="shared" si="9"/>
        <v>--</v>
      </c>
      <c r="V34" s="784" t="str">
        <f t="shared" si="10"/>
        <v>--</v>
      </c>
      <c r="W34" s="785" t="str">
        <f t="shared" si="11"/>
        <v>--</v>
      </c>
      <c r="X34" s="786" t="str">
        <f t="shared" si="12"/>
        <v>--</v>
      </c>
      <c r="Y34" s="787" t="str">
        <f t="shared" si="13"/>
        <v>--</v>
      </c>
      <c r="Z34" s="788">
        <f t="shared" si="15"/>
      </c>
      <c r="AA34" s="57">
        <f t="shared" si="14"/>
      </c>
      <c r="AB34" s="3"/>
    </row>
    <row r="35" spans="1:28" ht="16.5" customHeight="1">
      <c r="A35" s="1"/>
      <c r="B35" s="2"/>
      <c r="C35" s="569"/>
      <c r="D35" s="569"/>
      <c r="E35" s="569"/>
      <c r="F35" s="570"/>
      <c r="G35" s="571"/>
      <c r="H35" s="572"/>
      <c r="I35" s="460">
        <f t="shared" si="0"/>
        <v>17.4305</v>
      </c>
      <c r="J35" s="577"/>
      <c r="K35" s="577"/>
      <c r="L35" s="15">
        <f t="shared" si="1"/>
      </c>
      <c r="M35" s="16">
        <f t="shared" si="2"/>
      </c>
      <c r="N35" s="578"/>
      <c r="O35" s="777">
        <f t="shared" si="3"/>
      </c>
      <c r="P35" s="778" t="str">
        <f t="shared" si="4"/>
        <v>--</v>
      </c>
      <c r="Q35" s="779" t="str">
        <f t="shared" si="5"/>
        <v>--</v>
      </c>
      <c r="R35" s="780" t="str">
        <f t="shared" si="6"/>
        <v>--</v>
      </c>
      <c r="S35" s="781" t="str">
        <f t="shared" si="7"/>
        <v>--</v>
      </c>
      <c r="T35" s="782" t="str">
        <f t="shared" si="8"/>
        <v>--</v>
      </c>
      <c r="U35" s="783" t="str">
        <f t="shared" si="9"/>
        <v>--</v>
      </c>
      <c r="V35" s="784" t="str">
        <f t="shared" si="10"/>
        <v>--</v>
      </c>
      <c r="W35" s="785" t="str">
        <f t="shared" si="11"/>
        <v>--</v>
      </c>
      <c r="X35" s="786" t="str">
        <f t="shared" si="12"/>
        <v>--</v>
      </c>
      <c r="Y35" s="787" t="str">
        <f t="shared" si="13"/>
        <v>--</v>
      </c>
      <c r="Z35" s="788">
        <f t="shared" si="15"/>
      </c>
      <c r="AA35" s="57">
        <f t="shared" si="14"/>
      </c>
      <c r="AB35" s="3"/>
    </row>
    <row r="36" spans="1:28" ht="16.5" customHeight="1">
      <c r="A36" s="1"/>
      <c r="B36" s="2"/>
      <c r="C36" s="569"/>
      <c r="D36" s="569"/>
      <c r="E36" s="569"/>
      <c r="F36" s="570"/>
      <c r="G36" s="571"/>
      <c r="H36" s="572"/>
      <c r="I36" s="460">
        <f t="shared" si="0"/>
        <v>17.4305</v>
      </c>
      <c r="J36" s="577"/>
      <c r="K36" s="577"/>
      <c r="L36" s="15">
        <f t="shared" si="1"/>
      </c>
      <c r="M36" s="16">
        <f t="shared" si="2"/>
      </c>
      <c r="N36" s="578"/>
      <c r="O36" s="777">
        <f t="shared" si="3"/>
      </c>
      <c r="P36" s="778" t="str">
        <f t="shared" si="4"/>
        <v>--</v>
      </c>
      <c r="Q36" s="779" t="str">
        <f t="shared" si="5"/>
        <v>--</v>
      </c>
      <c r="R36" s="780" t="str">
        <f t="shared" si="6"/>
        <v>--</v>
      </c>
      <c r="S36" s="781" t="str">
        <f t="shared" si="7"/>
        <v>--</v>
      </c>
      <c r="T36" s="782" t="str">
        <f t="shared" si="8"/>
        <v>--</v>
      </c>
      <c r="U36" s="783" t="str">
        <f t="shared" si="9"/>
        <v>--</v>
      </c>
      <c r="V36" s="784" t="str">
        <f t="shared" si="10"/>
        <v>--</v>
      </c>
      <c r="W36" s="785" t="str">
        <f t="shared" si="11"/>
        <v>--</v>
      </c>
      <c r="X36" s="786" t="str">
        <f t="shared" si="12"/>
        <v>--</v>
      </c>
      <c r="Y36" s="787" t="str">
        <f t="shared" si="13"/>
        <v>--</v>
      </c>
      <c r="Z36" s="788">
        <f t="shared" si="15"/>
      </c>
      <c r="AA36" s="57">
        <f t="shared" si="14"/>
      </c>
      <c r="AB36" s="3"/>
    </row>
    <row r="37" spans="1:28" ht="16.5" customHeight="1">
      <c r="A37" s="1"/>
      <c r="B37" s="2"/>
      <c r="C37" s="569"/>
      <c r="D37" s="569"/>
      <c r="E37" s="569"/>
      <c r="F37" s="570"/>
      <c r="G37" s="571"/>
      <c r="H37" s="572"/>
      <c r="I37" s="460">
        <f t="shared" si="0"/>
        <v>17.4305</v>
      </c>
      <c r="J37" s="577"/>
      <c r="K37" s="577"/>
      <c r="L37" s="15">
        <f t="shared" si="1"/>
      </c>
      <c r="M37" s="16">
        <f t="shared" si="2"/>
      </c>
      <c r="N37" s="578"/>
      <c r="O37" s="777">
        <f t="shared" si="3"/>
      </c>
      <c r="P37" s="778" t="str">
        <f t="shared" si="4"/>
        <v>--</v>
      </c>
      <c r="Q37" s="779" t="str">
        <f t="shared" si="5"/>
        <v>--</v>
      </c>
      <c r="R37" s="780" t="str">
        <f t="shared" si="6"/>
        <v>--</v>
      </c>
      <c r="S37" s="781" t="str">
        <f t="shared" si="7"/>
        <v>--</v>
      </c>
      <c r="T37" s="782" t="str">
        <f t="shared" si="8"/>
        <v>--</v>
      </c>
      <c r="U37" s="783" t="str">
        <f t="shared" si="9"/>
        <v>--</v>
      </c>
      <c r="V37" s="784" t="str">
        <f t="shared" si="10"/>
        <v>--</v>
      </c>
      <c r="W37" s="785" t="str">
        <f t="shared" si="11"/>
        <v>--</v>
      </c>
      <c r="X37" s="786" t="str">
        <f t="shared" si="12"/>
        <v>--</v>
      </c>
      <c r="Y37" s="787" t="str">
        <f t="shared" si="13"/>
        <v>--</v>
      </c>
      <c r="Z37" s="788">
        <f t="shared" si="15"/>
      </c>
      <c r="AA37" s="57">
        <f t="shared" si="14"/>
      </c>
      <c r="AB37" s="3"/>
    </row>
    <row r="38" spans="2:28" ht="16.5" customHeight="1">
      <c r="B38" s="58"/>
      <c r="C38" s="569"/>
      <c r="D38" s="569"/>
      <c r="E38" s="569"/>
      <c r="F38" s="570"/>
      <c r="G38" s="571"/>
      <c r="H38" s="572"/>
      <c r="I38" s="460">
        <f t="shared" si="0"/>
        <v>17.4305</v>
      </c>
      <c r="J38" s="577"/>
      <c r="K38" s="577"/>
      <c r="L38" s="15">
        <f t="shared" si="1"/>
      </c>
      <c r="M38" s="16">
        <f t="shared" si="2"/>
      </c>
      <c r="N38" s="578"/>
      <c r="O38" s="777">
        <f t="shared" si="3"/>
      </c>
      <c r="P38" s="778" t="str">
        <f t="shared" si="4"/>
        <v>--</v>
      </c>
      <c r="Q38" s="779" t="str">
        <f t="shared" si="5"/>
        <v>--</v>
      </c>
      <c r="R38" s="780" t="str">
        <f t="shared" si="6"/>
        <v>--</v>
      </c>
      <c r="S38" s="781" t="str">
        <f t="shared" si="7"/>
        <v>--</v>
      </c>
      <c r="T38" s="782" t="str">
        <f t="shared" si="8"/>
        <v>--</v>
      </c>
      <c r="U38" s="783" t="str">
        <f t="shared" si="9"/>
        <v>--</v>
      </c>
      <c r="V38" s="784" t="str">
        <f t="shared" si="10"/>
        <v>--</v>
      </c>
      <c r="W38" s="785" t="str">
        <f t="shared" si="11"/>
        <v>--</v>
      </c>
      <c r="X38" s="786" t="str">
        <f t="shared" si="12"/>
        <v>--</v>
      </c>
      <c r="Y38" s="787" t="str">
        <f t="shared" si="13"/>
        <v>--</v>
      </c>
      <c r="Z38" s="788">
        <f t="shared" si="15"/>
      </c>
      <c r="AA38" s="57">
        <f t="shared" si="14"/>
      </c>
      <c r="AB38" s="3"/>
    </row>
    <row r="39" spans="2:28" ht="16.5" customHeight="1">
      <c r="B39" s="58"/>
      <c r="C39" s="569"/>
      <c r="D39" s="569"/>
      <c r="E39" s="569"/>
      <c r="F39" s="570"/>
      <c r="G39" s="571"/>
      <c r="H39" s="572"/>
      <c r="I39" s="460">
        <f t="shared" si="0"/>
        <v>17.4305</v>
      </c>
      <c r="J39" s="577"/>
      <c r="K39" s="577"/>
      <c r="L39" s="15">
        <f t="shared" si="1"/>
      </c>
      <c r="M39" s="16">
        <f t="shared" si="2"/>
      </c>
      <c r="N39" s="578"/>
      <c r="O39" s="777">
        <f t="shared" si="3"/>
      </c>
      <c r="P39" s="778" t="str">
        <f t="shared" si="4"/>
        <v>--</v>
      </c>
      <c r="Q39" s="779" t="str">
        <f t="shared" si="5"/>
        <v>--</v>
      </c>
      <c r="R39" s="780" t="str">
        <f t="shared" si="6"/>
        <v>--</v>
      </c>
      <c r="S39" s="781" t="str">
        <f t="shared" si="7"/>
        <v>--</v>
      </c>
      <c r="T39" s="782" t="str">
        <f t="shared" si="8"/>
        <v>--</v>
      </c>
      <c r="U39" s="783" t="str">
        <f t="shared" si="9"/>
        <v>--</v>
      </c>
      <c r="V39" s="784" t="str">
        <f t="shared" si="10"/>
        <v>--</v>
      </c>
      <c r="W39" s="785" t="str">
        <f t="shared" si="11"/>
        <v>--</v>
      </c>
      <c r="X39" s="786" t="str">
        <f t="shared" si="12"/>
        <v>--</v>
      </c>
      <c r="Y39" s="787" t="str">
        <f t="shared" si="13"/>
        <v>--</v>
      </c>
      <c r="Z39" s="788">
        <f t="shared" si="15"/>
      </c>
      <c r="AA39" s="57">
        <f t="shared" si="14"/>
      </c>
      <c r="AB39" s="3"/>
    </row>
    <row r="40" spans="2:28" ht="16.5" customHeight="1">
      <c r="B40" s="58"/>
      <c r="C40" s="569"/>
      <c r="D40" s="569"/>
      <c r="E40" s="569"/>
      <c r="F40" s="570"/>
      <c r="G40" s="571"/>
      <c r="H40" s="572"/>
      <c r="I40" s="460">
        <f t="shared" si="0"/>
        <v>17.4305</v>
      </c>
      <c r="J40" s="577"/>
      <c r="K40" s="577"/>
      <c r="L40" s="15">
        <f t="shared" si="1"/>
      </c>
      <c r="M40" s="16">
        <f t="shared" si="2"/>
      </c>
      <c r="N40" s="578"/>
      <c r="O40" s="777">
        <f t="shared" si="3"/>
      </c>
      <c r="P40" s="778" t="str">
        <f t="shared" si="4"/>
        <v>--</v>
      </c>
      <c r="Q40" s="779" t="str">
        <f t="shared" si="5"/>
        <v>--</v>
      </c>
      <c r="R40" s="780" t="str">
        <f t="shared" si="6"/>
        <v>--</v>
      </c>
      <c r="S40" s="781" t="str">
        <f t="shared" si="7"/>
        <v>--</v>
      </c>
      <c r="T40" s="782" t="str">
        <f t="shared" si="8"/>
        <v>--</v>
      </c>
      <c r="U40" s="783" t="str">
        <f t="shared" si="9"/>
        <v>--</v>
      </c>
      <c r="V40" s="784" t="str">
        <f t="shared" si="10"/>
        <v>--</v>
      </c>
      <c r="W40" s="785" t="str">
        <f t="shared" si="11"/>
        <v>--</v>
      </c>
      <c r="X40" s="786" t="str">
        <f t="shared" si="12"/>
        <v>--</v>
      </c>
      <c r="Y40" s="787" t="str">
        <f t="shared" si="13"/>
        <v>--</v>
      </c>
      <c r="Z40" s="788">
        <f t="shared" si="15"/>
      </c>
      <c r="AA40" s="57">
        <f t="shared" si="14"/>
      </c>
      <c r="AB40" s="3"/>
    </row>
    <row r="41" spans="2:28" ht="16.5" customHeight="1">
      <c r="B41" s="58"/>
      <c r="C41" s="569"/>
      <c r="D41" s="569"/>
      <c r="E41" s="569"/>
      <c r="F41" s="570"/>
      <c r="G41" s="571"/>
      <c r="H41" s="572"/>
      <c r="I41" s="460">
        <f t="shared" si="0"/>
        <v>17.4305</v>
      </c>
      <c r="J41" s="577"/>
      <c r="K41" s="577"/>
      <c r="L41" s="15">
        <f t="shared" si="1"/>
      </c>
      <c r="M41" s="16">
        <f t="shared" si="2"/>
      </c>
      <c r="N41" s="578"/>
      <c r="O41" s="777">
        <f t="shared" si="3"/>
      </c>
      <c r="P41" s="778" t="str">
        <f t="shared" si="4"/>
        <v>--</v>
      </c>
      <c r="Q41" s="779" t="str">
        <f t="shared" si="5"/>
        <v>--</v>
      </c>
      <c r="R41" s="780" t="str">
        <f t="shared" si="6"/>
        <v>--</v>
      </c>
      <c r="S41" s="781" t="str">
        <f t="shared" si="7"/>
        <v>--</v>
      </c>
      <c r="T41" s="782" t="str">
        <f t="shared" si="8"/>
        <v>--</v>
      </c>
      <c r="U41" s="783" t="str">
        <f t="shared" si="9"/>
        <v>--</v>
      </c>
      <c r="V41" s="784" t="str">
        <f t="shared" si="10"/>
        <v>--</v>
      </c>
      <c r="W41" s="785" t="str">
        <f t="shared" si="11"/>
        <v>--</v>
      </c>
      <c r="X41" s="786" t="str">
        <f t="shared" si="12"/>
        <v>--</v>
      </c>
      <c r="Y41" s="787" t="str">
        <f t="shared" si="13"/>
        <v>--</v>
      </c>
      <c r="Z41" s="788">
        <f t="shared" si="15"/>
      </c>
      <c r="AA41" s="57">
        <f t="shared" si="14"/>
      </c>
      <c r="AB41" s="3"/>
    </row>
    <row r="42" spans="1:28" ht="16.5" customHeight="1" thickBot="1">
      <c r="A42" s="1"/>
      <c r="B42" s="2"/>
      <c r="C42" s="573"/>
      <c r="D42" s="573"/>
      <c r="E42" s="573"/>
      <c r="F42" s="574"/>
      <c r="G42" s="575"/>
      <c r="H42" s="576"/>
      <c r="I42" s="461"/>
      <c r="J42" s="576"/>
      <c r="K42" s="576"/>
      <c r="L42" s="17"/>
      <c r="M42" s="17"/>
      <c r="N42" s="576"/>
      <c r="O42" s="579"/>
      <c r="P42" s="580"/>
      <c r="Q42" s="581"/>
      <c r="R42" s="582"/>
      <c r="S42" s="583"/>
      <c r="T42" s="584"/>
      <c r="U42" s="585"/>
      <c r="V42" s="586"/>
      <c r="W42" s="587"/>
      <c r="X42" s="588"/>
      <c r="Y42" s="589"/>
      <c r="Z42" s="590"/>
      <c r="AA42" s="59"/>
      <c r="AB42" s="3"/>
    </row>
    <row r="43" spans="1:28" ht="16.5" customHeight="1" thickBot="1" thickTop="1">
      <c r="A43" s="1"/>
      <c r="B43" s="2"/>
      <c r="C43" s="276" t="s">
        <v>70</v>
      </c>
      <c r="D43" s="888" t="s">
        <v>183</v>
      </c>
      <c r="E43" s="772"/>
      <c r="F43" s="277"/>
      <c r="G43" s="18"/>
      <c r="H43" s="19"/>
      <c r="I43" s="60"/>
      <c r="J43" s="60"/>
      <c r="K43" s="60"/>
      <c r="L43" s="60"/>
      <c r="M43" s="60"/>
      <c r="N43" s="60"/>
      <c r="O43" s="61"/>
      <c r="P43" s="366">
        <f aca="true" t="shared" si="16" ref="P43:Y43">ROUND(SUM(P20:P42),2)</f>
        <v>132.8</v>
      </c>
      <c r="Q43" s="367">
        <f t="shared" si="16"/>
        <v>0</v>
      </c>
      <c r="R43" s="368">
        <f t="shared" si="16"/>
        <v>0</v>
      </c>
      <c r="S43" s="368">
        <f t="shared" si="16"/>
        <v>0</v>
      </c>
      <c r="T43" s="369">
        <f t="shared" si="16"/>
        <v>0</v>
      </c>
      <c r="U43" s="370">
        <f t="shared" si="16"/>
        <v>0</v>
      </c>
      <c r="V43" s="370">
        <f t="shared" si="16"/>
        <v>0</v>
      </c>
      <c r="W43" s="371">
        <f t="shared" si="16"/>
        <v>0</v>
      </c>
      <c r="X43" s="372">
        <f t="shared" si="16"/>
        <v>0</v>
      </c>
      <c r="Y43" s="373">
        <f t="shared" si="16"/>
        <v>0</v>
      </c>
      <c r="Z43" s="62"/>
      <c r="AA43" s="776">
        <f>ROUND(SUM(AA20:AA42),2)</f>
        <v>132.8</v>
      </c>
      <c r="AB43" s="63"/>
    </row>
    <row r="44" spans="1:28" s="291" customFormat="1" ht="9.75" thickTop="1">
      <c r="A44" s="280"/>
      <c r="B44" s="281"/>
      <c r="C44" s="278"/>
      <c r="D44" s="278"/>
      <c r="E44" s="278"/>
      <c r="F44" s="279"/>
      <c r="G44" s="282"/>
      <c r="H44" s="283"/>
      <c r="I44" s="284"/>
      <c r="J44" s="284"/>
      <c r="K44" s="284"/>
      <c r="L44" s="284"/>
      <c r="M44" s="284"/>
      <c r="N44" s="284"/>
      <c r="O44" s="285"/>
      <c r="P44" s="286"/>
      <c r="Q44" s="286"/>
      <c r="R44" s="287"/>
      <c r="S44" s="287"/>
      <c r="T44" s="288"/>
      <c r="U44" s="288"/>
      <c r="V44" s="288"/>
      <c r="W44" s="288"/>
      <c r="X44" s="288"/>
      <c r="Y44" s="288"/>
      <c r="Z44" s="288"/>
      <c r="AA44" s="289"/>
      <c r="AB44" s="290"/>
    </row>
    <row r="45" spans="1:28" s="12" customFormat="1" ht="16.5" customHeight="1" thickBot="1">
      <c r="A45" s="10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AB91"/>
  <sheetViews>
    <sheetView zoomScale="70" zoomScaleNormal="70" workbookViewId="0" topLeftCell="E13">
      <selection activeCell="A28" sqref="A28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25" customFormat="1" ht="26.25">
      <c r="AB1" s="471"/>
    </row>
    <row r="2" spans="2:28" s="125" customFormat="1" ht="26.25">
      <c r="B2" s="126" t="str">
        <f>+'TOT-0410'!B2</f>
        <v>ANEXO IV al Memorandum  D.T.E.E.  N°   456 /2011 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="12" customFormat="1" ht="12.75"/>
    <row r="4" spans="1:4" s="128" customFormat="1" ht="11.25">
      <c r="A4" s="775" t="s">
        <v>21</v>
      </c>
      <c r="C4" s="774"/>
      <c r="D4" s="774"/>
    </row>
    <row r="5" spans="1:4" s="128" customFormat="1" ht="11.25">
      <c r="A5" s="775" t="s">
        <v>150</v>
      </c>
      <c r="C5" s="774"/>
      <c r="D5" s="774"/>
    </row>
    <row r="6" s="12" customFormat="1" ht="13.5" thickBot="1"/>
    <row r="7" spans="1:28" s="12" customFormat="1" ht="13.5" thickTop="1">
      <c r="A7" s="10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</row>
    <row r="8" spans="1:28" s="130" customFormat="1" ht="20.25">
      <c r="A8" s="47"/>
      <c r="B8" s="129"/>
      <c r="C8" s="47"/>
      <c r="D8" s="47"/>
      <c r="E8" s="47"/>
      <c r="F8" s="23" t="s">
        <v>46</v>
      </c>
      <c r="G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131"/>
    </row>
    <row r="9" spans="1:28" s="12" customFormat="1" ht="12.75">
      <c r="A9" s="10"/>
      <c r="B9" s="46"/>
      <c r="C9" s="10"/>
      <c r="D9" s="10"/>
      <c r="E9" s="10"/>
      <c r="F9" s="142"/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3"/>
    </row>
    <row r="10" spans="1:28" s="130" customFormat="1" ht="20.25">
      <c r="A10" s="47"/>
      <c r="B10" s="129"/>
      <c r="C10" s="47"/>
      <c r="D10" s="47"/>
      <c r="E10" s="47"/>
      <c r="F10" s="23" t="s">
        <v>147</v>
      </c>
      <c r="G10" s="23"/>
      <c r="H10" s="47"/>
      <c r="I10" s="132"/>
      <c r="J10" s="132"/>
      <c r="K10" s="132"/>
      <c r="L10" s="132"/>
      <c r="M10" s="132"/>
      <c r="N10" s="132"/>
      <c r="O10" s="132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131"/>
    </row>
    <row r="11" spans="1:28" s="12" customFormat="1" ht="12.75">
      <c r="A11" s="10"/>
      <c r="B11" s="46"/>
      <c r="C11" s="10"/>
      <c r="D11" s="10"/>
      <c r="E11" s="10"/>
      <c r="F11" s="141"/>
      <c r="G11" s="139"/>
      <c r="H11" s="10"/>
      <c r="I11" s="138"/>
      <c r="J11" s="138"/>
      <c r="K11" s="138"/>
      <c r="L11" s="138"/>
      <c r="M11" s="138"/>
      <c r="N11" s="138"/>
      <c r="O11" s="13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3"/>
    </row>
    <row r="12" spans="1:28" s="137" customFormat="1" ht="19.5">
      <c r="A12" s="49"/>
      <c r="B12" s="103" t="str">
        <f>+'TOT-0410'!B14</f>
        <v>Desde el 01 al 30 de abril de 2010</v>
      </c>
      <c r="C12" s="133"/>
      <c r="D12" s="133"/>
      <c r="E12" s="133"/>
      <c r="F12" s="133"/>
      <c r="G12" s="134"/>
      <c r="H12" s="134"/>
      <c r="I12" s="135"/>
      <c r="J12" s="135"/>
      <c r="K12" s="135"/>
      <c r="L12" s="135"/>
      <c r="M12" s="135"/>
      <c r="N12" s="135"/>
      <c r="O12" s="135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6"/>
    </row>
    <row r="13" spans="1:28" s="137" customFormat="1" ht="7.5" customHeight="1">
      <c r="A13" s="49"/>
      <c r="B13" s="103"/>
      <c r="C13" s="133"/>
      <c r="D13" s="133"/>
      <c r="E13" s="133"/>
      <c r="F13" s="133"/>
      <c r="G13" s="134"/>
      <c r="H13" s="134"/>
      <c r="I13" s="135"/>
      <c r="J13" s="135"/>
      <c r="K13" s="135"/>
      <c r="L13" s="135"/>
      <c r="M13" s="135"/>
      <c r="N13" s="135"/>
      <c r="O13" s="135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6"/>
    </row>
    <row r="14" spans="1:28" s="12" customFormat="1" ht="7.5" customHeight="1" thickBot="1">
      <c r="A14" s="10"/>
      <c r="B14" s="46"/>
      <c r="C14" s="10"/>
      <c r="D14" s="10"/>
      <c r="E14" s="10"/>
      <c r="F14" s="10"/>
      <c r="G14" s="139"/>
      <c r="H14" s="140"/>
      <c r="I14" s="138"/>
      <c r="J14" s="138"/>
      <c r="K14" s="138"/>
      <c r="L14" s="138"/>
      <c r="M14" s="138"/>
      <c r="N14" s="138"/>
      <c r="O14" s="13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3"/>
    </row>
    <row r="15" spans="1:28" s="111" customFormat="1" ht="16.5" customHeight="1" thickBot="1" thickTop="1">
      <c r="A15" s="107"/>
      <c r="B15" s="108"/>
      <c r="C15" s="107"/>
      <c r="D15" s="107"/>
      <c r="E15" s="107"/>
      <c r="F15" s="565" t="s">
        <v>49</v>
      </c>
      <c r="G15" s="566">
        <v>72.965</v>
      </c>
      <c r="H15" s="274"/>
      <c r="I15" s="112"/>
      <c r="J15" s="112"/>
      <c r="K15" s="112"/>
      <c r="L15" s="112"/>
      <c r="M15" s="112"/>
      <c r="N15" s="112"/>
      <c r="O15" s="112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10"/>
    </row>
    <row r="16" spans="1:28" s="111" customFormat="1" ht="16.5" customHeight="1" thickBot="1" thickTop="1">
      <c r="A16" s="107"/>
      <c r="B16" s="108"/>
      <c r="C16" s="107"/>
      <c r="D16" s="107"/>
      <c r="E16" s="107"/>
      <c r="F16" s="565" t="s">
        <v>50</v>
      </c>
      <c r="G16" s="566">
        <v>69.722</v>
      </c>
      <c r="H16" s="275"/>
      <c r="I16" s="107"/>
      <c r="K16" s="113" t="s">
        <v>51</v>
      </c>
      <c r="L16" s="114">
        <f>30*'TOT-0410'!B13</f>
        <v>30</v>
      </c>
      <c r="M16" s="271" t="str">
        <f>IF(L16=30," ",IF(L16=60,"Coeficiente duplicado por tasa de falla &gt;4 Sal. x año/100 km.","REVISAR COEFICIENTE"))</f>
        <v> 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10"/>
    </row>
    <row r="17" spans="1:28" s="111" customFormat="1" ht="7.5" customHeight="1" thickTop="1">
      <c r="A17" s="107"/>
      <c r="B17" s="108"/>
      <c r="C17" s="107"/>
      <c r="D17" s="107"/>
      <c r="E17" s="107"/>
      <c r="F17" s="763"/>
      <c r="G17" s="764"/>
      <c r="H17" s="765"/>
      <c r="I17" s="107"/>
      <c r="K17" s="113"/>
      <c r="L17" s="114"/>
      <c r="M17" s="271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10"/>
    </row>
    <row r="18" spans="1:28" s="803" customFormat="1" ht="15" customHeight="1" thickBot="1">
      <c r="A18" s="799"/>
      <c r="B18" s="800"/>
      <c r="C18" s="801">
        <v>3</v>
      </c>
      <c r="D18" s="801">
        <v>4</v>
      </c>
      <c r="E18" s="801">
        <v>5</v>
      </c>
      <c r="F18" s="801">
        <v>6</v>
      </c>
      <c r="G18" s="801">
        <v>7</v>
      </c>
      <c r="H18" s="801">
        <v>8</v>
      </c>
      <c r="I18" s="801">
        <v>9</v>
      </c>
      <c r="J18" s="801">
        <v>10</v>
      </c>
      <c r="K18" s="801">
        <v>11</v>
      </c>
      <c r="L18" s="801">
        <v>12</v>
      </c>
      <c r="M18" s="801">
        <v>13</v>
      </c>
      <c r="N18" s="801">
        <v>14</v>
      </c>
      <c r="O18" s="801">
        <v>15</v>
      </c>
      <c r="P18" s="801">
        <v>16</v>
      </c>
      <c r="Q18" s="801">
        <v>17</v>
      </c>
      <c r="R18" s="801">
        <v>18</v>
      </c>
      <c r="S18" s="801">
        <v>19</v>
      </c>
      <c r="T18" s="801">
        <v>20</v>
      </c>
      <c r="U18" s="801">
        <v>21</v>
      </c>
      <c r="V18" s="801">
        <v>22</v>
      </c>
      <c r="W18" s="801">
        <v>23</v>
      </c>
      <c r="X18" s="801">
        <v>24</v>
      </c>
      <c r="Y18" s="801">
        <v>25</v>
      </c>
      <c r="Z18" s="801">
        <v>26</v>
      </c>
      <c r="AA18" s="801">
        <v>27</v>
      </c>
      <c r="AB18" s="802"/>
    </row>
    <row r="19" spans="1:28" s="124" customFormat="1" ht="33.75" customHeight="1" thickBot="1" thickTop="1">
      <c r="A19" s="115"/>
      <c r="B19" s="116"/>
      <c r="C19" s="117" t="s">
        <v>52</v>
      </c>
      <c r="D19" s="117" t="s">
        <v>149</v>
      </c>
      <c r="E19" s="117" t="s">
        <v>148</v>
      </c>
      <c r="F19" s="118" t="s">
        <v>24</v>
      </c>
      <c r="G19" s="119" t="s">
        <v>53</v>
      </c>
      <c r="H19" s="120" t="s">
        <v>54</v>
      </c>
      <c r="I19" s="303" t="s">
        <v>55</v>
      </c>
      <c r="J19" s="118" t="s">
        <v>56</v>
      </c>
      <c r="K19" s="118" t="s">
        <v>57</v>
      </c>
      <c r="L19" s="119" t="s">
        <v>58</v>
      </c>
      <c r="M19" s="119" t="s">
        <v>59</v>
      </c>
      <c r="N19" s="121" t="s">
        <v>60</v>
      </c>
      <c r="O19" s="119" t="s">
        <v>61</v>
      </c>
      <c r="P19" s="333" t="s">
        <v>62</v>
      </c>
      <c r="Q19" s="336" t="s">
        <v>63</v>
      </c>
      <c r="R19" s="339" t="s">
        <v>64</v>
      </c>
      <c r="S19" s="340"/>
      <c r="T19" s="341"/>
      <c r="U19" s="350" t="s">
        <v>65</v>
      </c>
      <c r="V19" s="351"/>
      <c r="W19" s="352"/>
      <c r="X19" s="360" t="s">
        <v>66</v>
      </c>
      <c r="Y19" s="363" t="s">
        <v>67</v>
      </c>
      <c r="Z19" s="122" t="s">
        <v>68</v>
      </c>
      <c r="AA19" s="122" t="s">
        <v>69</v>
      </c>
      <c r="AB19" s="123"/>
    </row>
    <row r="20" spans="1:28" ht="16.5" customHeight="1" thickTop="1">
      <c r="A20" s="1"/>
      <c r="B20" s="2"/>
      <c r="C20" s="53"/>
      <c r="D20" s="104"/>
      <c r="E20" s="104"/>
      <c r="F20" s="54"/>
      <c r="G20" s="55"/>
      <c r="H20" s="55"/>
      <c r="I20" s="304"/>
      <c r="J20" s="55"/>
      <c r="K20" s="56"/>
      <c r="L20" s="56"/>
      <c r="M20" s="56"/>
      <c r="N20" s="54"/>
      <c r="O20" s="55"/>
      <c r="P20" s="334"/>
      <c r="Q20" s="337"/>
      <c r="R20" s="342"/>
      <c r="S20" s="343"/>
      <c r="T20" s="344"/>
      <c r="U20" s="353"/>
      <c r="V20" s="354"/>
      <c r="W20" s="355"/>
      <c r="X20" s="361"/>
      <c r="Y20" s="364"/>
      <c r="Z20" s="348"/>
      <c r="AA20" s="56"/>
      <c r="AB20" s="3"/>
    </row>
    <row r="21" spans="1:28" ht="16.5" customHeight="1">
      <c r="A21" s="1"/>
      <c r="B21" s="2"/>
      <c r="C21" s="53"/>
      <c r="D21" s="53"/>
      <c r="E21" s="53"/>
      <c r="F21" s="53"/>
      <c r="G21" s="105"/>
      <c r="H21" s="105"/>
      <c r="I21" s="305"/>
      <c r="J21" s="53"/>
      <c r="K21" s="106"/>
      <c r="L21" s="106"/>
      <c r="M21" s="106"/>
      <c r="N21" s="104"/>
      <c r="O21" s="53"/>
      <c r="P21" s="335"/>
      <c r="Q21" s="338"/>
      <c r="R21" s="345"/>
      <c r="S21" s="346"/>
      <c r="T21" s="347"/>
      <c r="U21" s="356"/>
      <c r="V21" s="357"/>
      <c r="W21" s="358"/>
      <c r="X21" s="362"/>
      <c r="Y21" s="365"/>
      <c r="Z21" s="349"/>
      <c r="AA21" s="106"/>
      <c r="AB21" s="3"/>
    </row>
    <row r="22" spans="1:28" ht="16.5" customHeight="1">
      <c r="A22" s="1"/>
      <c r="B22" s="2"/>
      <c r="C22" s="569">
        <v>3</v>
      </c>
      <c r="D22" s="569">
        <v>220595</v>
      </c>
      <c r="E22" s="569">
        <v>1636</v>
      </c>
      <c r="F22" s="570" t="s">
        <v>8</v>
      </c>
      <c r="G22" s="571">
        <v>132</v>
      </c>
      <c r="H22" s="572">
        <v>4.300000190734863</v>
      </c>
      <c r="I22" s="306">
        <f aca="true" t="shared" si="0" ref="I22:I41">IF(H22&gt;25,H22,25)*IF(G22=330,$G$15,$G$16)/100</f>
        <v>17.4305</v>
      </c>
      <c r="J22" s="577">
        <v>40273.54652777778</v>
      </c>
      <c r="K22" s="577">
        <v>40273.59722222222</v>
      </c>
      <c r="L22" s="15">
        <f aca="true" t="shared" si="1" ref="L22:L41">IF(F22="","",(K22-J22)*24)</f>
        <v>1.21666666661622</v>
      </c>
      <c r="M22" s="16">
        <f aca="true" t="shared" si="2" ref="M22:M41">IF(F22="","",ROUND((K22-J22)*24*60,0))</f>
        <v>73</v>
      </c>
      <c r="N22" s="578" t="s">
        <v>155</v>
      </c>
      <c r="O22" s="777" t="str">
        <f aca="true" t="shared" si="3" ref="O22:O41">IF(F22="","","--")</f>
        <v>--</v>
      </c>
      <c r="P22" s="778">
        <f aca="true" t="shared" si="4" ref="P22:P41">IF(N22="P",ROUND(M22/60,2)*I22*$L$16*0.01,"--")</f>
        <v>6.379562999999998</v>
      </c>
      <c r="Q22" s="779" t="str">
        <f aca="true" t="shared" si="5" ref="Q22:Q41">IF(N22="RP",ROUND(M22/60,2)*I22*$L$16*0.01*O22/100,"--")</f>
        <v>--</v>
      </c>
      <c r="R22" s="780" t="str">
        <f aca="true" t="shared" si="6" ref="R22:R41">IF(N22="F",I22*$L$16,"--")</f>
        <v>--</v>
      </c>
      <c r="S22" s="781" t="str">
        <f aca="true" t="shared" si="7" ref="S22:S41">IF(AND(M22&gt;10,N22="F"),I22*$L$16*IF(M22&gt;180,3,ROUND(M22/60,2)),"--")</f>
        <v>--</v>
      </c>
      <c r="T22" s="782" t="str">
        <f aca="true" t="shared" si="8" ref="T22:T41">IF(AND(M22&gt;180,N22="F"),(ROUND(M22/60,2)-3)*I22*$L$16*0.1,"--")</f>
        <v>--</v>
      </c>
      <c r="U22" s="783" t="str">
        <f aca="true" t="shared" si="9" ref="U22:U41">IF(N22="R",I22*$L$16*O22/100,"--")</f>
        <v>--</v>
      </c>
      <c r="V22" s="784" t="str">
        <f aca="true" t="shared" si="10" ref="V22:V41">IF(AND(M22&gt;10,N22="R"),I22*$L$16*O22/100*IF(M22&gt;180,3,ROUND(M22/60,2)),"--")</f>
        <v>--</v>
      </c>
      <c r="W22" s="785" t="str">
        <f aca="true" t="shared" si="11" ref="W22:W41">IF(AND(M22&gt;180,N22="R"),(ROUND(M22/60,2)-3)*O22/100*I22*$L$16*0.1,"--")</f>
        <v>--</v>
      </c>
      <c r="X22" s="786" t="str">
        <f aca="true" t="shared" si="12" ref="X22:X41">IF(N22="RF",ROUND(M22/60,2)*I22*$L$16*0.1,"--")</f>
        <v>--</v>
      </c>
      <c r="Y22" s="787" t="str">
        <f aca="true" t="shared" si="13" ref="Y22:Y41">IF(N22="RR",ROUND(M22/60,2)*O22/100*I22*$L$16*0.1,"--")</f>
        <v>--</v>
      </c>
      <c r="Z22" s="788" t="s">
        <v>156</v>
      </c>
      <c r="AA22" s="57">
        <f aca="true" t="shared" si="14" ref="AA22:AA41">IF(F22="","",SUM(P22:Y22)*IF(Z22="SI",1,2))</f>
        <v>6.379562999999998</v>
      </c>
      <c r="AB22" s="3"/>
    </row>
    <row r="23" spans="1:28" ht="16.5" customHeight="1">
      <c r="A23" s="1"/>
      <c r="B23" s="2"/>
      <c r="C23" s="569">
        <v>4</v>
      </c>
      <c r="D23" s="569">
        <v>220596</v>
      </c>
      <c r="E23" s="569">
        <v>1636</v>
      </c>
      <c r="F23" s="570" t="s">
        <v>8</v>
      </c>
      <c r="G23" s="571">
        <v>132</v>
      </c>
      <c r="H23" s="572">
        <v>4.300000190734863</v>
      </c>
      <c r="I23" s="306">
        <f t="shared" si="0"/>
        <v>17.4305</v>
      </c>
      <c r="J23" s="577">
        <v>40278.455555555556</v>
      </c>
      <c r="K23" s="577">
        <v>40278.51458333333</v>
      </c>
      <c r="L23" s="15">
        <f t="shared" si="1"/>
        <v>1.416666666569654</v>
      </c>
      <c r="M23" s="16">
        <f t="shared" si="2"/>
        <v>85</v>
      </c>
      <c r="N23" s="578" t="s">
        <v>158</v>
      </c>
      <c r="O23" s="777" t="str">
        <f t="shared" si="3"/>
        <v>--</v>
      </c>
      <c r="P23" s="778" t="str">
        <f t="shared" si="4"/>
        <v>--</v>
      </c>
      <c r="Q23" s="779" t="str">
        <f t="shared" si="5"/>
        <v>--</v>
      </c>
      <c r="R23" s="780">
        <f t="shared" si="6"/>
        <v>522.915</v>
      </c>
      <c r="S23" s="781">
        <f t="shared" si="7"/>
        <v>742.5392999999999</v>
      </c>
      <c r="T23" s="782" t="str">
        <f t="shared" si="8"/>
        <v>--</v>
      </c>
      <c r="U23" s="783" t="str">
        <f t="shared" si="9"/>
        <v>--</v>
      </c>
      <c r="V23" s="784" t="str">
        <f t="shared" si="10"/>
        <v>--</v>
      </c>
      <c r="W23" s="785" t="str">
        <f t="shared" si="11"/>
        <v>--</v>
      </c>
      <c r="X23" s="786" t="str">
        <f t="shared" si="12"/>
        <v>--</v>
      </c>
      <c r="Y23" s="787" t="str">
        <f t="shared" si="13"/>
        <v>--</v>
      </c>
      <c r="Z23" s="788" t="s">
        <v>156</v>
      </c>
      <c r="AA23" s="57">
        <f t="shared" si="14"/>
        <v>1265.4542999999999</v>
      </c>
      <c r="AB23" s="3"/>
    </row>
    <row r="24" spans="1:28" ht="16.5" customHeight="1">
      <c r="A24" s="1"/>
      <c r="B24" s="2"/>
      <c r="C24" s="569"/>
      <c r="D24" s="569"/>
      <c r="E24" s="569"/>
      <c r="F24" s="570"/>
      <c r="G24" s="571"/>
      <c r="H24" s="572"/>
      <c r="I24" s="306">
        <f t="shared" si="0"/>
        <v>17.4305</v>
      </c>
      <c r="J24" s="577"/>
      <c r="K24" s="577"/>
      <c r="L24" s="15">
        <f t="shared" si="1"/>
      </c>
      <c r="M24" s="16">
        <f t="shared" si="2"/>
      </c>
      <c r="N24" s="578"/>
      <c r="O24" s="777">
        <f t="shared" si="3"/>
      </c>
      <c r="P24" s="778" t="str">
        <f t="shared" si="4"/>
        <v>--</v>
      </c>
      <c r="Q24" s="779" t="str">
        <f t="shared" si="5"/>
        <v>--</v>
      </c>
      <c r="R24" s="780" t="str">
        <f t="shared" si="6"/>
        <v>--</v>
      </c>
      <c r="S24" s="781" t="str">
        <f t="shared" si="7"/>
        <v>--</v>
      </c>
      <c r="T24" s="782" t="str">
        <f t="shared" si="8"/>
        <v>--</v>
      </c>
      <c r="U24" s="783" t="str">
        <f t="shared" si="9"/>
        <v>--</v>
      </c>
      <c r="V24" s="784" t="str">
        <f t="shared" si="10"/>
        <v>--</v>
      </c>
      <c r="W24" s="785" t="str">
        <f t="shared" si="11"/>
        <v>--</v>
      </c>
      <c r="X24" s="786" t="str">
        <f t="shared" si="12"/>
        <v>--</v>
      </c>
      <c r="Y24" s="787" t="str">
        <f t="shared" si="13"/>
        <v>--</v>
      </c>
      <c r="Z24" s="788">
        <f aca="true" t="shared" si="15" ref="Z24:Z41">IF(F24="","","SI")</f>
      </c>
      <c r="AA24" s="57">
        <f t="shared" si="14"/>
      </c>
      <c r="AB24" s="3"/>
    </row>
    <row r="25" spans="1:28" ht="16.5" customHeight="1">
      <c r="A25" s="1"/>
      <c r="B25" s="2"/>
      <c r="C25" s="569"/>
      <c r="D25" s="569"/>
      <c r="E25" s="569"/>
      <c r="F25" s="570"/>
      <c r="G25" s="571"/>
      <c r="H25" s="572"/>
      <c r="I25" s="306">
        <f t="shared" si="0"/>
        <v>17.4305</v>
      </c>
      <c r="J25" s="577"/>
      <c r="K25" s="577"/>
      <c r="L25" s="15">
        <f t="shared" si="1"/>
      </c>
      <c r="M25" s="16">
        <f t="shared" si="2"/>
      </c>
      <c r="N25" s="578"/>
      <c r="O25" s="777">
        <f t="shared" si="3"/>
      </c>
      <c r="P25" s="778" t="str">
        <f t="shared" si="4"/>
        <v>--</v>
      </c>
      <c r="Q25" s="779" t="str">
        <f t="shared" si="5"/>
        <v>--</v>
      </c>
      <c r="R25" s="780" t="str">
        <f t="shared" si="6"/>
        <v>--</v>
      </c>
      <c r="S25" s="781" t="str">
        <f t="shared" si="7"/>
        <v>--</v>
      </c>
      <c r="T25" s="782" t="str">
        <f t="shared" si="8"/>
        <v>--</v>
      </c>
      <c r="U25" s="783" t="str">
        <f t="shared" si="9"/>
        <v>--</v>
      </c>
      <c r="V25" s="784" t="str">
        <f t="shared" si="10"/>
        <v>--</v>
      </c>
      <c r="W25" s="785" t="str">
        <f t="shared" si="11"/>
        <v>--</v>
      </c>
      <c r="X25" s="786" t="str">
        <f t="shared" si="12"/>
        <v>--</v>
      </c>
      <c r="Y25" s="787" t="str">
        <f t="shared" si="13"/>
        <v>--</v>
      </c>
      <c r="Z25" s="788">
        <f t="shared" si="15"/>
      </c>
      <c r="AA25" s="57">
        <f t="shared" si="14"/>
      </c>
      <c r="AB25" s="3"/>
    </row>
    <row r="26" spans="1:28" ht="16.5" customHeight="1">
      <c r="A26" s="1"/>
      <c r="B26" s="2"/>
      <c r="C26" s="569"/>
      <c r="D26" s="569"/>
      <c r="E26" s="569"/>
      <c r="F26" s="570"/>
      <c r="G26" s="571"/>
      <c r="H26" s="572"/>
      <c r="I26" s="306">
        <f t="shared" si="0"/>
        <v>17.4305</v>
      </c>
      <c r="J26" s="577"/>
      <c r="K26" s="577"/>
      <c r="L26" s="15">
        <f t="shared" si="1"/>
      </c>
      <c r="M26" s="16">
        <f t="shared" si="2"/>
      </c>
      <c r="N26" s="578"/>
      <c r="O26" s="777">
        <f t="shared" si="3"/>
      </c>
      <c r="P26" s="778" t="str">
        <f t="shared" si="4"/>
        <v>--</v>
      </c>
      <c r="Q26" s="779" t="str">
        <f t="shared" si="5"/>
        <v>--</v>
      </c>
      <c r="R26" s="780" t="str">
        <f t="shared" si="6"/>
        <v>--</v>
      </c>
      <c r="S26" s="781" t="str">
        <f t="shared" si="7"/>
        <v>--</v>
      </c>
      <c r="T26" s="782" t="str">
        <f t="shared" si="8"/>
        <v>--</v>
      </c>
      <c r="U26" s="783" t="str">
        <f t="shared" si="9"/>
        <v>--</v>
      </c>
      <c r="V26" s="784" t="str">
        <f t="shared" si="10"/>
        <v>--</v>
      </c>
      <c r="W26" s="785" t="str">
        <f t="shared" si="11"/>
        <v>--</v>
      </c>
      <c r="X26" s="786" t="str">
        <f t="shared" si="12"/>
        <v>--</v>
      </c>
      <c r="Y26" s="787" t="str">
        <f t="shared" si="13"/>
        <v>--</v>
      </c>
      <c r="Z26" s="788">
        <f t="shared" si="15"/>
      </c>
      <c r="AA26" s="57">
        <f t="shared" si="14"/>
      </c>
      <c r="AB26" s="3"/>
    </row>
    <row r="27" spans="1:28" ht="16.5" customHeight="1">
      <c r="A27" s="1"/>
      <c r="B27" s="2"/>
      <c r="C27" s="569"/>
      <c r="D27" s="569"/>
      <c r="E27" s="569"/>
      <c r="F27" s="570"/>
      <c r="G27" s="571"/>
      <c r="H27" s="572"/>
      <c r="I27" s="306">
        <f t="shared" si="0"/>
        <v>17.4305</v>
      </c>
      <c r="J27" s="577"/>
      <c r="K27" s="577"/>
      <c r="L27" s="15">
        <f t="shared" si="1"/>
      </c>
      <c r="M27" s="16">
        <f t="shared" si="2"/>
      </c>
      <c r="N27" s="578"/>
      <c r="O27" s="777">
        <f t="shared" si="3"/>
      </c>
      <c r="P27" s="778" t="str">
        <f t="shared" si="4"/>
        <v>--</v>
      </c>
      <c r="Q27" s="779" t="str">
        <f t="shared" si="5"/>
        <v>--</v>
      </c>
      <c r="R27" s="780" t="str">
        <f t="shared" si="6"/>
        <v>--</v>
      </c>
      <c r="S27" s="781" t="str">
        <f t="shared" si="7"/>
        <v>--</v>
      </c>
      <c r="T27" s="782" t="str">
        <f t="shared" si="8"/>
        <v>--</v>
      </c>
      <c r="U27" s="783" t="str">
        <f t="shared" si="9"/>
        <v>--</v>
      </c>
      <c r="V27" s="784" t="str">
        <f t="shared" si="10"/>
        <v>--</v>
      </c>
      <c r="W27" s="785" t="str">
        <f t="shared" si="11"/>
        <v>--</v>
      </c>
      <c r="X27" s="786" t="str">
        <f t="shared" si="12"/>
        <v>--</v>
      </c>
      <c r="Y27" s="787" t="str">
        <f t="shared" si="13"/>
        <v>--</v>
      </c>
      <c r="Z27" s="788">
        <f t="shared" si="15"/>
      </c>
      <c r="AA27" s="57">
        <f t="shared" si="14"/>
      </c>
      <c r="AB27" s="3"/>
    </row>
    <row r="28" spans="1:28" ht="16.5" customHeight="1">
      <c r="A28" s="1"/>
      <c r="B28" s="2"/>
      <c r="C28" s="569"/>
      <c r="D28" s="569"/>
      <c r="E28" s="569"/>
      <c r="F28" s="570"/>
      <c r="G28" s="571"/>
      <c r="H28" s="572"/>
      <c r="I28" s="306">
        <f t="shared" si="0"/>
        <v>17.4305</v>
      </c>
      <c r="J28" s="577"/>
      <c r="K28" s="577"/>
      <c r="L28" s="15">
        <f t="shared" si="1"/>
      </c>
      <c r="M28" s="16">
        <f t="shared" si="2"/>
      </c>
      <c r="N28" s="578"/>
      <c r="O28" s="777">
        <f t="shared" si="3"/>
      </c>
      <c r="P28" s="778" t="str">
        <f t="shared" si="4"/>
        <v>--</v>
      </c>
      <c r="Q28" s="779" t="str">
        <f t="shared" si="5"/>
        <v>--</v>
      </c>
      <c r="R28" s="780" t="str">
        <f t="shared" si="6"/>
        <v>--</v>
      </c>
      <c r="S28" s="781" t="str">
        <f t="shared" si="7"/>
        <v>--</v>
      </c>
      <c r="T28" s="782" t="str">
        <f t="shared" si="8"/>
        <v>--</v>
      </c>
      <c r="U28" s="783" t="str">
        <f t="shared" si="9"/>
        <v>--</v>
      </c>
      <c r="V28" s="784" t="str">
        <f t="shared" si="10"/>
        <v>--</v>
      </c>
      <c r="W28" s="785" t="str">
        <f t="shared" si="11"/>
        <v>--</v>
      </c>
      <c r="X28" s="786" t="str">
        <f t="shared" si="12"/>
        <v>--</v>
      </c>
      <c r="Y28" s="787" t="str">
        <f t="shared" si="13"/>
        <v>--</v>
      </c>
      <c r="Z28" s="788">
        <f t="shared" si="15"/>
      </c>
      <c r="AA28" s="57">
        <f t="shared" si="14"/>
      </c>
      <c r="AB28" s="3"/>
    </row>
    <row r="29" spans="1:28" ht="16.5" customHeight="1">
      <c r="A29" s="1"/>
      <c r="B29" s="2"/>
      <c r="C29" s="569"/>
      <c r="D29" s="569"/>
      <c r="E29" s="569"/>
      <c r="F29" s="570"/>
      <c r="G29" s="571"/>
      <c r="H29" s="572"/>
      <c r="I29" s="306">
        <f t="shared" si="0"/>
        <v>17.4305</v>
      </c>
      <c r="J29" s="577"/>
      <c r="K29" s="577"/>
      <c r="L29" s="15">
        <f t="shared" si="1"/>
      </c>
      <c r="M29" s="16">
        <f t="shared" si="2"/>
      </c>
      <c r="N29" s="578"/>
      <c r="O29" s="777">
        <f t="shared" si="3"/>
      </c>
      <c r="P29" s="778" t="str">
        <f t="shared" si="4"/>
        <v>--</v>
      </c>
      <c r="Q29" s="779" t="str">
        <f t="shared" si="5"/>
        <v>--</v>
      </c>
      <c r="R29" s="780" t="str">
        <f t="shared" si="6"/>
        <v>--</v>
      </c>
      <c r="S29" s="781" t="str">
        <f t="shared" si="7"/>
        <v>--</v>
      </c>
      <c r="T29" s="782" t="str">
        <f t="shared" si="8"/>
        <v>--</v>
      </c>
      <c r="U29" s="783" t="str">
        <f t="shared" si="9"/>
        <v>--</v>
      </c>
      <c r="V29" s="784" t="str">
        <f t="shared" si="10"/>
        <v>--</v>
      </c>
      <c r="W29" s="785" t="str">
        <f t="shared" si="11"/>
        <v>--</v>
      </c>
      <c r="X29" s="786" t="str">
        <f t="shared" si="12"/>
        <v>--</v>
      </c>
      <c r="Y29" s="787" t="str">
        <f t="shared" si="13"/>
        <v>--</v>
      </c>
      <c r="Z29" s="788">
        <f t="shared" si="15"/>
      </c>
      <c r="AA29" s="57">
        <f t="shared" si="14"/>
      </c>
      <c r="AB29" s="3"/>
    </row>
    <row r="30" spans="1:28" ht="16.5" customHeight="1">
      <c r="A30" s="1"/>
      <c r="B30" s="2"/>
      <c r="C30" s="569"/>
      <c r="D30" s="569"/>
      <c r="E30" s="569"/>
      <c r="F30" s="570"/>
      <c r="G30" s="571"/>
      <c r="H30" s="572"/>
      <c r="I30" s="306">
        <f t="shared" si="0"/>
        <v>17.4305</v>
      </c>
      <c r="J30" s="577"/>
      <c r="K30" s="577"/>
      <c r="L30" s="15">
        <f t="shared" si="1"/>
      </c>
      <c r="M30" s="16">
        <f t="shared" si="2"/>
      </c>
      <c r="N30" s="578"/>
      <c r="O30" s="777">
        <f t="shared" si="3"/>
      </c>
      <c r="P30" s="778" t="str">
        <f t="shared" si="4"/>
        <v>--</v>
      </c>
      <c r="Q30" s="779" t="str">
        <f t="shared" si="5"/>
        <v>--</v>
      </c>
      <c r="R30" s="780" t="str">
        <f t="shared" si="6"/>
        <v>--</v>
      </c>
      <c r="S30" s="781" t="str">
        <f t="shared" si="7"/>
        <v>--</v>
      </c>
      <c r="T30" s="782" t="str">
        <f t="shared" si="8"/>
        <v>--</v>
      </c>
      <c r="U30" s="783" t="str">
        <f t="shared" si="9"/>
        <v>--</v>
      </c>
      <c r="V30" s="784" t="str">
        <f t="shared" si="10"/>
        <v>--</v>
      </c>
      <c r="W30" s="785" t="str">
        <f t="shared" si="11"/>
        <v>--</v>
      </c>
      <c r="X30" s="786" t="str">
        <f t="shared" si="12"/>
        <v>--</v>
      </c>
      <c r="Y30" s="787" t="str">
        <f t="shared" si="13"/>
        <v>--</v>
      </c>
      <c r="Z30" s="788">
        <f t="shared" si="15"/>
      </c>
      <c r="AA30" s="57">
        <f t="shared" si="14"/>
      </c>
      <c r="AB30" s="3"/>
    </row>
    <row r="31" spans="1:28" ht="16.5" customHeight="1">
      <c r="A31" s="1"/>
      <c r="B31" s="2"/>
      <c r="C31" s="569"/>
      <c r="D31" s="569"/>
      <c r="E31" s="569"/>
      <c r="F31" s="570"/>
      <c r="G31" s="571"/>
      <c r="H31" s="572"/>
      <c r="I31" s="306">
        <f t="shared" si="0"/>
        <v>17.4305</v>
      </c>
      <c r="J31" s="577"/>
      <c r="K31" s="577"/>
      <c r="L31" s="15">
        <f t="shared" si="1"/>
      </c>
      <c r="M31" s="16">
        <f t="shared" si="2"/>
      </c>
      <c r="N31" s="578"/>
      <c r="O31" s="777">
        <f t="shared" si="3"/>
      </c>
      <c r="P31" s="778" t="str">
        <f t="shared" si="4"/>
        <v>--</v>
      </c>
      <c r="Q31" s="779" t="str">
        <f t="shared" si="5"/>
        <v>--</v>
      </c>
      <c r="R31" s="780" t="str">
        <f t="shared" si="6"/>
        <v>--</v>
      </c>
      <c r="S31" s="781" t="str">
        <f t="shared" si="7"/>
        <v>--</v>
      </c>
      <c r="T31" s="782" t="str">
        <f t="shared" si="8"/>
        <v>--</v>
      </c>
      <c r="U31" s="783" t="str">
        <f t="shared" si="9"/>
        <v>--</v>
      </c>
      <c r="V31" s="784" t="str">
        <f t="shared" si="10"/>
        <v>--</v>
      </c>
      <c r="W31" s="785" t="str">
        <f t="shared" si="11"/>
        <v>--</v>
      </c>
      <c r="X31" s="786" t="str">
        <f t="shared" si="12"/>
        <v>--</v>
      </c>
      <c r="Y31" s="787" t="str">
        <f t="shared" si="13"/>
        <v>--</v>
      </c>
      <c r="Z31" s="788">
        <f t="shared" si="15"/>
      </c>
      <c r="AA31" s="57">
        <f t="shared" si="14"/>
      </c>
      <c r="AB31" s="3"/>
    </row>
    <row r="32" spans="1:28" ht="16.5" customHeight="1">
      <c r="A32" s="1"/>
      <c r="B32" s="2"/>
      <c r="C32" s="569"/>
      <c r="D32" s="569"/>
      <c r="E32" s="569"/>
      <c r="F32" s="570"/>
      <c r="G32" s="571"/>
      <c r="H32" s="572"/>
      <c r="I32" s="306">
        <f t="shared" si="0"/>
        <v>17.4305</v>
      </c>
      <c r="J32" s="577"/>
      <c r="K32" s="577"/>
      <c r="L32" s="15">
        <f t="shared" si="1"/>
      </c>
      <c r="M32" s="16">
        <f t="shared" si="2"/>
      </c>
      <c r="N32" s="578"/>
      <c r="O32" s="777">
        <f t="shared" si="3"/>
      </c>
      <c r="P32" s="778" t="str">
        <f t="shared" si="4"/>
        <v>--</v>
      </c>
      <c r="Q32" s="779" t="str">
        <f t="shared" si="5"/>
        <v>--</v>
      </c>
      <c r="R32" s="780" t="str">
        <f t="shared" si="6"/>
        <v>--</v>
      </c>
      <c r="S32" s="781" t="str">
        <f t="shared" si="7"/>
        <v>--</v>
      </c>
      <c r="T32" s="782" t="str">
        <f t="shared" si="8"/>
        <v>--</v>
      </c>
      <c r="U32" s="783" t="str">
        <f t="shared" si="9"/>
        <v>--</v>
      </c>
      <c r="V32" s="784" t="str">
        <f t="shared" si="10"/>
        <v>--</v>
      </c>
      <c r="W32" s="785" t="str">
        <f t="shared" si="11"/>
        <v>--</v>
      </c>
      <c r="X32" s="786" t="str">
        <f t="shared" si="12"/>
        <v>--</v>
      </c>
      <c r="Y32" s="787" t="str">
        <f t="shared" si="13"/>
        <v>--</v>
      </c>
      <c r="Z32" s="788">
        <f t="shared" si="15"/>
      </c>
      <c r="AA32" s="57">
        <f t="shared" si="14"/>
      </c>
      <c r="AB32" s="3"/>
    </row>
    <row r="33" spans="1:28" ht="16.5" customHeight="1">
      <c r="A33" s="1"/>
      <c r="B33" s="2"/>
      <c r="C33" s="569"/>
      <c r="D33" s="569"/>
      <c r="E33" s="569"/>
      <c r="F33" s="570"/>
      <c r="G33" s="571"/>
      <c r="H33" s="572"/>
      <c r="I33" s="306">
        <f t="shared" si="0"/>
        <v>17.4305</v>
      </c>
      <c r="J33" s="577"/>
      <c r="K33" s="577"/>
      <c r="L33" s="15">
        <f t="shared" si="1"/>
      </c>
      <c r="M33" s="16">
        <f t="shared" si="2"/>
      </c>
      <c r="N33" s="578"/>
      <c r="O33" s="777">
        <f t="shared" si="3"/>
      </c>
      <c r="P33" s="778" t="str">
        <f t="shared" si="4"/>
        <v>--</v>
      </c>
      <c r="Q33" s="779" t="str">
        <f t="shared" si="5"/>
        <v>--</v>
      </c>
      <c r="R33" s="780" t="str">
        <f t="shared" si="6"/>
        <v>--</v>
      </c>
      <c r="S33" s="781" t="str">
        <f t="shared" si="7"/>
        <v>--</v>
      </c>
      <c r="T33" s="782" t="str">
        <f t="shared" si="8"/>
        <v>--</v>
      </c>
      <c r="U33" s="783" t="str">
        <f t="shared" si="9"/>
        <v>--</v>
      </c>
      <c r="V33" s="784" t="str">
        <f t="shared" si="10"/>
        <v>--</v>
      </c>
      <c r="W33" s="785" t="str">
        <f t="shared" si="11"/>
        <v>--</v>
      </c>
      <c r="X33" s="786" t="str">
        <f t="shared" si="12"/>
        <v>--</v>
      </c>
      <c r="Y33" s="787" t="str">
        <f t="shared" si="13"/>
        <v>--</v>
      </c>
      <c r="Z33" s="788">
        <f t="shared" si="15"/>
      </c>
      <c r="AA33" s="57">
        <f t="shared" si="14"/>
      </c>
      <c r="AB33" s="3"/>
    </row>
    <row r="34" spans="1:28" ht="16.5" customHeight="1">
      <c r="A34" s="1"/>
      <c r="B34" s="2"/>
      <c r="C34" s="569"/>
      <c r="D34" s="569"/>
      <c r="E34" s="569"/>
      <c r="F34" s="570"/>
      <c r="G34" s="571"/>
      <c r="H34" s="572"/>
      <c r="I34" s="306">
        <f t="shared" si="0"/>
        <v>17.4305</v>
      </c>
      <c r="J34" s="577"/>
      <c r="K34" s="577"/>
      <c r="L34" s="15">
        <f t="shared" si="1"/>
      </c>
      <c r="M34" s="16">
        <f t="shared" si="2"/>
      </c>
      <c r="N34" s="578"/>
      <c r="O34" s="777">
        <f t="shared" si="3"/>
      </c>
      <c r="P34" s="778" t="str">
        <f t="shared" si="4"/>
        <v>--</v>
      </c>
      <c r="Q34" s="779" t="str">
        <f t="shared" si="5"/>
        <v>--</v>
      </c>
      <c r="R34" s="780" t="str">
        <f t="shared" si="6"/>
        <v>--</v>
      </c>
      <c r="S34" s="781" t="str">
        <f t="shared" si="7"/>
        <v>--</v>
      </c>
      <c r="T34" s="782" t="str">
        <f t="shared" si="8"/>
        <v>--</v>
      </c>
      <c r="U34" s="783" t="str">
        <f t="shared" si="9"/>
        <v>--</v>
      </c>
      <c r="V34" s="784" t="str">
        <f t="shared" si="10"/>
        <v>--</v>
      </c>
      <c r="W34" s="785" t="str">
        <f t="shared" si="11"/>
        <v>--</v>
      </c>
      <c r="X34" s="786" t="str">
        <f t="shared" si="12"/>
        <v>--</v>
      </c>
      <c r="Y34" s="787" t="str">
        <f t="shared" si="13"/>
        <v>--</v>
      </c>
      <c r="Z34" s="788">
        <f t="shared" si="15"/>
      </c>
      <c r="AA34" s="57">
        <f t="shared" si="14"/>
      </c>
      <c r="AB34" s="3"/>
    </row>
    <row r="35" spans="1:28" ht="16.5" customHeight="1">
      <c r="A35" s="1"/>
      <c r="B35" s="2"/>
      <c r="C35" s="569"/>
      <c r="D35" s="569"/>
      <c r="E35" s="569"/>
      <c r="F35" s="570"/>
      <c r="G35" s="571"/>
      <c r="H35" s="572"/>
      <c r="I35" s="306">
        <f t="shared" si="0"/>
        <v>17.4305</v>
      </c>
      <c r="J35" s="577"/>
      <c r="K35" s="577"/>
      <c r="L35" s="15">
        <f t="shared" si="1"/>
      </c>
      <c r="M35" s="16">
        <f t="shared" si="2"/>
      </c>
      <c r="N35" s="578"/>
      <c r="O35" s="777">
        <f t="shared" si="3"/>
      </c>
      <c r="P35" s="778" t="str">
        <f t="shared" si="4"/>
        <v>--</v>
      </c>
      <c r="Q35" s="779" t="str">
        <f t="shared" si="5"/>
        <v>--</v>
      </c>
      <c r="R35" s="780" t="str">
        <f t="shared" si="6"/>
        <v>--</v>
      </c>
      <c r="S35" s="781" t="str">
        <f t="shared" si="7"/>
        <v>--</v>
      </c>
      <c r="T35" s="782" t="str">
        <f t="shared" si="8"/>
        <v>--</v>
      </c>
      <c r="U35" s="783" t="str">
        <f t="shared" si="9"/>
        <v>--</v>
      </c>
      <c r="V35" s="784" t="str">
        <f t="shared" si="10"/>
        <v>--</v>
      </c>
      <c r="W35" s="785" t="str">
        <f t="shared" si="11"/>
        <v>--</v>
      </c>
      <c r="X35" s="786" t="str">
        <f t="shared" si="12"/>
        <v>--</v>
      </c>
      <c r="Y35" s="787" t="str">
        <f t="shared" si="13"/>
        <v>--</v>
      </c>
      <c r="Z35" s="788">
        <f t="shared" si="15"/>
      </c>
      <c r="AA35" s="57">
        <f t="shared" si="14"/>
      </c>
      <c r="AB35" s="3"/>
    </row>
    <row r="36" spans="1:28" ht="16.5" customHeight="1">
      <c r="A36" s="1"/>
      <c r="B36" s="2"/>
      <c r="C36" s="569"/>
      <c r="D36" s="569"/>
      <c r="E36" s="569"/>
      <c r="F36" s="570"/>
      <c r="G36" s="571"/>
      <c r="H36" s="572"/>
      <c r="I36" s="306">
        <f t="shared" si="0"/>
        <v>17.4305</v>
      </c>
      <c r="J36" s="577"/>
      <c r="K36" s="577"/>
      <c r="L36" s="15">
        <f t="shared" si="1"/>
      </c>
      <c r="M36" s="16">
        <f t="shared" si="2"/>
      </c>
      <c r="N36" s="578"/>
      <c r="O36" s="777">
        <f t="shared" si="3"/>
      </c>
      <c r="P36" s="778" t="str">
        <f t="shared" si="4"/>
        <v>--</v>
      </c>
      <c r="Q36" s="779" t="str">
        <f t="shared" si="5"/>
        <v>--</v>
      </c>
      <c r="R36" s="780" t="str">
        <f t="shared" si="6"/>
        <v>--</v>
      </c>
      <c r="S36" s="781" t="str">
        <f t="shared" si="7"/>
        <v>--</v>
      </c>
      <c r="T36" s="782" t="str">
        <f t="shared" si="8"/>
        <v>--</v>
      </c>
      <c r="U36" s="783" t="str">
        <f t="shared" si="9"/>
        <v>--</v>
      </c>
      <c r="V36" s="784" t="str">
        <f t="shared" si="10"/>
        <v>--</v>
      </c>
      <c r="W36" s="785" t="str">
        <f t="shared" si="11"/>
        <v>--</v>
      </c>
      <c r="X36" s="786" t="str">
        <f t="shared" si="12"/>
        <v>--</v>
      </c>
      <c r="Y36" s="787" t="str">
        <f t="shared" si="13"/>
        <v>--</v>
      </c>
      <c r="Z36" s="788">
        <f t="shared" si="15"/>
      </c>
      <c r="AA36" s="57">
        <f t="shared" si="14"/>
      </c>
      <c r="AB36" s="3"/>
    </row>
    <row r="37" spans="1:28" ht="16.5" customHeight="1">
      <c r="A37" s="1"/>
      <c r="B37" s="2"/>
      <c r="C37" s="569"/>
      <c r="D37" s="569"/>
      <c r="E37" s="569"/>
      <c r="F37" s="570"/>
      <c r="G37" s="571"/>
      <c r="H37" s="572"/>
      <c r="I37" s="306">
        <f t="shared" si="0"/>
        <v>17.4305</v>
      </c>
      <c r="J37" s="577"/>
      <c r="K37" s="577"/>
      <c r="L37" s="15">
        <f t="shared" si="1"/>
      </c>
      <c r="M37" s="16">
        <f t="shared" si="2"/>
      </c>
      <c r="N37" s="578"/>
      <c r="O37" s="777">
        <f t="shared" si="3"/>
      </c>
      <c r="P37" s="778" t="str">
        <f t="shared" si="4"/>
        <v>--</v>
      </c>
      <c r="Q37" s="779" t="str">
        <f t="shared" si="5"/>
        <v>--</v>
      </c>
      <c r="R37" s="780" t="str">
        <f t="shared" si="6"/>
        <v>--</v>
      </c>
      <c r="S37" s="781" t="str">
        <f t="shared" si="7"/>
        <v>--</v>
      </c>
      <c r="T37" s="782" t="str">
        <f t="shared" si="8"/>
        <v>--</v>
      </c>
      <c r="U37" s="783" t="str">
        <f t="shared" si="9"/>
        <v>--</v>
      </c>
      <c r="V37" s="784" t="str">
        <f t="shared" si="10"/>
        <v>--</v>
      </c>
      <c r="W37" s="785" t="str">
        <f t="shared" si="11"/>
        <v>--</v>
      </c>
      <c r="X37" s="786" t="str">
        <f t="shared" si="12"/>
        <v>--</v>
      </c>
      <c r="Y37" s="787" t="str">
        <f t="shared" si="13"/>
        <v>--</v>
      </c>
      <c r="Z37" s="788">
        <f t="shared" si="15"/>
      </c>
      <c r="AA37" s="57">
        <f t="shared" si="14"/>
      </c>
      <c r="AB37" s="3"/>
    </row>
    <row r="38" spans="2:28" ht="16.5" customHeight="1">
      <c r="B38" s="58"/>
      <c r="C38" s="569"/>
      <c r="D38" s="569"/>
      <c r="E38" s="569"/>
      <c r="F38" s="570"/>
      <c r="G38" s="571"/>
      <c r="H38" s="572"/>
      <c r="I38" s="306">
        <f t="shared" si="0"/>
        <v>17.4305</v>
      </c>
      <c r="J38" s="577"/>
      <c r="K38" s="577"/>
      <c r="L38" s="15">
        <f t="shared" si="1"/>
      </c>
      <c r="M38" s="16">
        <f t="shared" si="2"/>
      </c>
      <c r="N38" s="578"/>
      <c r="O38" s="777">
        <f t="shared" si="3"/>
      </c>
      <c r="P38" s="778" t="str">
        <f t="shared" si="4"/>
        <v>--</v>
      </c>
      <c r="Q38" s="779" t="str">
        <f t="shared" si="5"/>
        <v>--</v>
      </c>
      <c r="R38" s="780" t="str">
        <f t="shared" si="6"/>
        <v>--</v>
      </c>
      <c r="S38" s="781" t="str">
        <f t="shared" si="7"/>
        <v>--</v>
      </c>
      <c r="T38" s="782" t="str">
        <f t="shared" si="8"/>
        <v>--</v>
      </c>
      <c r="U38" s="783" t="str">
        <f t="shared" si="9"/>
        <v>--</v>
      </c>
      <c r="V38" s="784" t="str">
        <f t="shared" si="10"/>
        <v>--</v>
      </c>
      <c r="W38" s="785" t="str">
        <f t="shared" si="11"/>
        <v>--</v>
      </c>
      <c r="X38" s="786" t="str">
        <f t="shared" si="12"/>
        <v>--</v>
      </c>
      <c r="Y38" s="787" t="str">
        <f t="shared" si="13"/>
        <v>--</v>
      </c>
      <c r="Z38" s="788">
        <f t="shared" si="15"/>
      </c>
      <c r="AA38" s="57">
        <f t="shared" si="14"/>
      </c>
      <c r="AB38" s="3"/>
    </row>
    <row r="39" spans="2:28" ht="16.5" customHeight="1">
      <c r="B39" s="58"/>
      <c r="C39" s="569"/>
      <c r="D39" s="569"/>
      <c r="E39" s="569"/>
      <c r="F39" s="570"/>
      <c r="G39" s="571"/>
      <c r="H39" s="572"/>
      <c r="I39" s="306">
        <f t="shared" si="0"/>
        <v>17.4305</v>
      </c>
      <c r="J39" s="577"/>
      <c r="K39" s="577"/>
      <c r="L39" s="15">
        <f t="shared" si="1"/>
      </c>
      <c r="M39" s="16">
        <f t="shared" si="2"/>
      </c>
      <c r="N39" s="578"/>
      <c r="O39" s="777">
        <f t="shared" si="3"/>
      </c>
      <c r="P39" s="778" t="str">
        <f t="shared" si="4"/>
        <v>--</v>
      </c>
      <c r="Q39" s="779" t="str">
        <f t="shared" si="5"/>
        <v>--</v>
      </c>
      <c r="R39" s="780" t="str">
        <f t="shared" si="6"/>
        <v>--</v>
      </c>
      <c r="S39" s="781" t="str">
        <f t="shared" si="7"/>
        <v>--</v>
      </c>
      <c r="T39" s="782" t="str">
        <f t="shared" si="8"/>
        <v>--</v>
      </c>
      <c r="U39" s="783" t="str">
        <f t="shared" si="9"/>
        <v>--</v>
      </c>
      <c r="V39" s="784" t="str">
        <f t="shared" si="10"/>
        <v>--</v>
      </c>
      <c r="W39" s="785" t="str">
        <f t="shared" si="11"/>
        <v>--</v>
      </c>
      <c r="X39" s="786" t="str">
        <f t="shared" si="12"/>
        <v>--</v>
      </c>
      <c r="Y39" s="787" t="str">
        <f t="shared" si="13"/>
        <v>--</v>
      </c>
      <c r="Z39" s="788">
        <f t="shared" si="15"/>
      </c>
      <c r="AA39" s="57">
        <f t="shared" si="14"/>
      </c>
      <c r="AB39" s="3"/>
    </row>
    <row r="40" spans="2:28" ht="16.5" customHeight="1">
      <c r="B40" s="58"/>
      <c r="C40" s="569"/>
      <c r="D40" s="569"/>
      <c r="E40" s="569"/>
      <c r="F40" s="570"/>
      <c r="G40" s="571"/>
      <c r="H40" s="572"/>
      <c r="I40" s="306">
        <f t="shared" si="0"/>
        <v>17.4305</v>
      </c>
      <c r="J40" s="577"/>
      <c r="K40" s="577"/>
      <c r="L40" s="15">
        <f t="shared" si="1"/>
      </c>
      <c r="M40" s="16">
        <f t="shared" si="2"/>
      </c>
      <c r="N40" s="578"/>
      <c r="O40" s="777">
        <f t="shared" si="3"/>
      </c>
      <c r="P40" s="778" t="str">
        <f t="shared" si="4"/>
        <v>--</v>
      </c>
      <c r="Q40" s="779" t="str">
        <f t="shared" si="5"/>
        <v>--</v>
      </c>
      <c r="R40" s="780" t="str">
        <f t="shared" si="6"/>
        <v>--</v>
      </c>
      <c r="S40" s="781" t="str">
        <f t="shared" si="7"/>
        <v>--</v>
      </c>
      <c r="T40" s="782" t="str">
        <f t="shared" si="8"/>
        <v>--</v>
      </c>
      <c r="U40" s="783" t="str">
        <f t="shared" si="9"/>
        <v>--</v>
      </c>
      <c r="V40" s="784" t="str">
        <f t="shared" si="10"/>
        <v>--</v>
      </c>
      <c r="W40" s="785" t="str">
        <f t="shared" si="11"/>
        <v>--</v>
      </c>
      <c r="X40" s="786" t="str">
        <f t="shared" si="12"/>
        <v>--</v>
      </c>
      <c r="Y40" s="787" t="str">
        <f t="shared" si="13"/>
        <v>--</v>
      </c>
      <c r="Z40" s="788">
        <f t="shared" si="15"/>
      </c>
      <c r="AA40" s="57">
        <f t="shared" si="14"/>
      </c>
      <c r="AB40" s="3"/>
    </row>
    <row r="41" spans="2:28" ht="16.5" customHeight="1">
      <c r="B41" s="58"/>
      <c r="C41" s="569"/>
      <c r="D41" s="569"/>
      <c r="E41" s="569"/>
      <c r="F41" s="570"/>
      <c r="G41" s="571"/>
      <c r="H41" s="572"/>
      <c r="I41" s="306">
        <f t="shared" si="0"/>
        <v>17.4305</v>
      </c>
      <c r="J41" s="577"/>
      <c r="K41" s="577"/>
      <c r="L41" s="15">
        <f t="shared" si="1"/>
      </c>
      <c r="M41" s="16">
        <f t="shared" si="2"/>
      </c>
      <c r="N41" s="578"/>
      <c r="O41" s="777">
        <f t="shared" si="3"/>
      </c>
      <c r="P41" s="778" t="str">
        <f t="shared" si="4"/>
        <v>--</v>
      </c>
      <c r="Q41" s="779" t="str">
        <f t="shared" si="5"/>
        <v>--</v>
      </c>
      <c r="R41" s="780" t="str">
        <f t="shared" si="6"/>
        <v>--</v>
      </c>
      <c r="S41" s="781" t="str">
        <f t="shared" si="7"/>
        <v>--</v>
      </c>
      <c r="T41" s="782" t="str">
        <f t="shared" si="8"/>
        <v>--</v>
      </c>
      <c r="U41" s="783" t="str">
        <f t="shared" si="9"/>
        <v>--</v>
      </c>
      <c r="V41" s="784" t="str">
        <f t="shared" si="10"/>
        <v>--</v>
      </c>
      <c r="W41" s="785" t="str">
        <f t="shared" si="11"/>
        <v>--</v>
      </c>
      <c r="X41" s="786" t="str">
        <f t="shared" si="12"/>
        <v>--</v>
      </c>
      <c r="Y41" s="787" t="str">
        <f t="shared" si="13"/>
        <v>--</v>
      </c>
      <c r="Z41" s="788">
        <f t="shared" si="15"/>
      </c>
      <c r="AA41" s="57">
        <f t="shared" si="14"/>
      </c>
      <c r="AB41" s="3"/>
    </row>
    <row r="42" spans="1:28" ht="16.5" customHeight="1" thickBot="1">
      <c r="A42" s="1"/>
      <c r="B42" s="2"/>
      <c r="C42" s="573"/>
      <c r="D42" s="573"/>
      <c r="E42" s="573"/>
      <c r="F42" s="574"/>
      <c r="G42" s="575"/>
      <c r="H42" s="576"/>
      <c r="I42" s="307"/>
      <c r="J42" s="576"/>
      <c r="K42" s="576"/>
      <c r="L42" s="17"/>
      <c r="M42" s="17"/>
      <c r="N42" s="576"/>
      <c r="O42" s="579"/>
      <c r="P42" s="580"/>
      <c r="Q42" s="581"/>
      <c r="R42" s="582"/>
      <c r="S42" s="583"/>
      <c r="T42" s="584"/>
      <c r="U42" s="585"/>
      <c r="V42" s="586"/>
      <c r="W42" s="587"/>
      <c r="X42" s="588"/>
      <c r="Y42" s="589"/>
      <c r="Z42" s="590"/>
      <c r="AA42" s="59"/>
      <c r="AB42" s="3"/>
    </row>
    <row r="43" spans="1:28" ht="16.5" customHeight="1" thickBot="1" thickTop="1">
      <c r="A43" s="1"/>
      <c r="B43" s="2"/>
      <c r="C43" s="276" t="s">
        <v>70</v>
      </c>
      <c r="D43" s="888" t="s">
        <v>184</v>
      </c>
      <c r="E43" s="772"/>
      <c r="F43" s="277"/>
      <c r="G43" s="18"/>
      <c r="H43" s="19"/>
      <c r="I43" s="60"/>
      <c r="J43" s="60"/>
      <c r="K43" s="60"/>
      <c r="L43" s="60"/>
      <c r="M43" s="60"/>
      <c r="N43" s="60"/>
      <c r="O43" s="61"/>
      <c r="P43" s="366">
        <f aca="true" t="shared" si="16" ref="P43:Y43">ROUND(SUM(P20:P42),2)</f>
        <v>6.38</v>
      </c>
      <c r="Q43" s="367">
        <f t="shared" si="16"/>
        <v>0</v>
      </c>
      <c r="R43" s="368">
        <f t="shared" si="16"/>
        <v>522.92</v>
      </c>
      <c r="S43" s="368">
        <f t="shared" si="16"/>
        <v>742.54</v>
      </c>
      <c r="T43" s="369">
        <f t="shared" si="16"/>
        <v>0</v>
      </c>
      <c r="U43" s="370">
        <f t="shared" si="16"/>
        <v>0</v>
      </c>
      <c r="V43" s="370">
        <f t="shared" si="16"/>
        <v>0</v>
      </c>
      <c r="W43" s="371">
        <f t="shared" si="16"/>
        <v>0</v>
      </c>
      <c r="X43" s="372">
        <f t="shared" si="16"/>
        <v>0</v>
      </c>
      <c r="Y43" s="373">
        <f t="shared" si="16"/>
        <v>0</v>
      </c>
      <c r="Z43" s="62"/>
      <c r="AA43" s="776">
        <f>ROUND(SUM(AA20:AA42),2)</f>
        <v>1271.83</v>
      </c>
      <c r="AB43" s="63"/>
    </row>
    <row r="44" spans="1:28" s="291" customFormat="1" ht="9.75" thickTop="1">
      <c r="A44" s="280"/>
      <c r="B44" s="281"/>
      <c r="C44" s="278"/>
      <c r="D44" s="278"/>
      <c r="E44" s="278"/>
      <c r="F44" s="279"/>
      <c r="G44" s="282"/>
      <c r="H44" s="283"/>
      <c r="I44" s="284"/>
      <c r="J44" s="284"/>
      <c r="K44" s="284"/>
      <c r="L44" s="284"/>
      <c r="M44" s="284"/>
      <c r="N44" s="284"/>
      <c r="O44" s="285"/>
      <c r="P44" s="286"/>
      <c r="Q44" s="286"/>
      <c r="R44" s="287"/>
      <c r="S44" s="287"/>
      <c r="T44" s="288"/>
      <c r="U44" s="288"/>
      <c r="V44" s="288"/>
      <c r="W44" s="288"/>
      <c r="X44" s="288"/>
      <c r="Y44" s="288"/>
      <c r="Z44" s="288"/>
      <c r="AA44" s="289"/>
      <c r="AB44" s="290"/>
    </row>
    <row r="45" spans="1:28" s="12" customFormat="1" ht="16.5" customHeight="1" thickBot="1">
      <c r="A45" s="10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B91"/>
  <sheetViews>
    <sheetView zoomScale="70" zoomScaleNormal="70" workbookViewId="0" topLeftCell="E4">
      <selection activeCell="A28" sqref="A28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25" customFormat="1" ht="26.25">
      <c r="AB1" s="471"/>
    </row>
    <row r="2" spans="2:28" s="125" customFormat="1" ht="26.25">
      <c r="B2" s="126" t="str">
        <f>+'TOT-0410'!B2</f>
        <v>ANEXO IV al Memorandum  D.T.E.E.  N°   456 /2011 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="12" customFormat="1" ht="12.75"/>
    <row r="4" spans="1:4" s="128" customFormat="1" ht="11.25">
      <c r="A4" s="775" t="s">
        <v>21</v>
      </c>
      <c r="C4" s="774"/>
      <c r="D4" s="774"/>
    </row>
    <row r="5" spans="1:4" s="128" customFormat="1" ht="11.25">
      <c r="A5" s="775" t="s">
        <v>150</v>
      </c>
      <c r="C5" s="774"/>
      <c r="D5" s="774"/>
    </row>
    <row r="6" s="12" customFormat="1" ht="13.5" thickBot="1"/>
    <row r="7" spans="1:28" s="12" customFormat="1" ht="13.5" thickTop="1">
      <c r="A7" s="10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</row>
    <row r="8" spans="1:28" s="130" customFormat="1" ht="20.25">
      <c r="A8" s="47"/>
      <c r="B8" s="129"/>
      <c r="C8" s="47"/>
      <c r="D8" s="47"/>
      <c r="E8" s="47"/>
      <c r="F8" s="23" t="s">
        <v>46</v>
      </c>
      <c r="G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131"/>
    </row>
    <row r="9" spans="1:28" s="12" customFormat="1" ht="12.75">
      <c r="A9" s="10"/>
      <c r="B9" s="46"/>
      <c r="C9" s="10"/>
      <c r="D9" s="10"/>
      <c r="E9" s="10"/>
      <c r="F9" s="142"/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3"/>
    </row>
    <row r="10" spans="1:28" s="130" customFormat="1" ht="20.25">
      <c r="A10" s="47"/>
      <c r="B10" s="129"/>
      <c r="C10" s="47"/>
      <c r="D10" s="47"/>
      <c r="E10" s="47"/>
      <c r="F10" s="23" t="s">
        <v>146</v>
      </c>
      <c r="G10" s="23"/>
      <c r="H10" s="47"/>
      <c r="I10" s="132"/>
      <c r="J10" s="132"/>
      <c r="K10" s="132"/>
      <c r="L10" s="132"/>
      <c r="M10" s="132"/>
      <c r="N10" s="132"/>
      <c r="O10" s="132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131"/>
    </row>
    <row r="11" spans="1:28" s="12" customFormat="1" ht="12.75">
      <c r="A11" s="10"/>
      <c r="B11" s="46"/>
      <c r="C11" s="10"/>
      <c r="D11" s="10"/>
      <c r="E11" s="10"/>
      <c r="F11" s="141"/>
      <c r="G11" s="139"/>
      <c r="H11" s="10"/>
      <c r="I11" s="138"/>
      <c r="J11" s="138"/>
      <c r="K11" s="138"/>
      <c r="L11" s="138"/>
      <c r="M11" s="138"/>
      <c r="N11" s="138"/>
      <c r="O11" s="13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3"/>
    </row>
    <row r="12" spans="1:28" s="137" customFormat="1" ht="19.5">
      <c r="A12" s="49"/>
      <c r="B12" s="103" t="str">
        <f>+'TOT-0410'!B14</f>
        <v>Desde el 01 al 30 de abril de 2010</v>
      </c>
      <c r="C12" s="133"/>
      <c r="D12" s="133"/>
      <c r="E12" s="133"/>
      <c r="F12" s="133"/>
      <c r="G12" s="134"/>
      <c r="H12" s="134"/>
      <c r="I12" s="135"/>
      <c r="J12" s="135"/>
      <c r="K12" s="135"/>
      <c r="L12" s="135"/>
      <c r="M12" s="135"/>
      <c r="N12" s="135"/>
      <c r="O12" s="135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6"/>
    </row>
    <row r="13" spans="1:28" s="137" customFormat="1" ht="7.5" customHeight="1">
      <c r="A13" s="49"/>
      <c r="B13" s="103"/>
      <c r="C13" s="133"/>
      <c r="D13" s="133"/>
      <c r="E13" s="133"/>
      <c r="F13" s="133"/>
      <c r="G13" s="134"/>
      <c r="H13" s="134"/>
      <c r="I13" s="135"/>
      <c r="J13" s="135"/>
      <c r="K13" s="135"/>
      <c r="L13" s="135"/>
      <c r="M13" s="135"/>
      <c r="N13" s="135"/>
      <c r="O13" s="135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6"/>
    </row>
    <row r="14" spans="1:28" s="12" customFormat="1" ht="7.5" customHeight="1" thickBot="1">
      <c r="A14" s="10"/>
      <c r="B14" s="46"/>
      <c r="C14" s="10"/>
      <c r="D14" s="10"/>
      <c r="E14" s="10"/>
      <c r="F14" s="10"/>
      <c r="G14" s="139"/>
      <c r="H14" s="140"/>
      <c r="I14" s="138"/>
      <c r="J14" s="138"/>
      <c r="K14" s="138"/>
      <c r="L14" s="138"/>
      <c r="M14" s="138"/>
      <c r="N14" s="138"/>
      <c r="O14" s="13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3"/>
    </row>
    <row r="15" spans="1:28" s="111" customFormat="1" ht="16.5" customHeight="1" thickBot="1" thickTop="1">
      <c r="A15" s="107"/>
      <c r="B15" s="108"/>
      <c r="C15" s="107"/>
      <c r="D15" s="107"/>
      <c r="E15" s="107"/>
      <c r="F15" s="565" t="s">
        <v>49</v>
      </c>
      <c r="G15" s="566">
        <v>72.965</v>
      </c>
      <c r="H15" s="274"/>
      <c r="I15" s="112"/>
      <c r="J15" s="112"/>
      <c r="K15" s="112"/>
      <c r="L15" s="112"/>
      <c r="M15" s="112"/>
      <c r="N15" s="112"/>
      <c r="O15" s="112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10"/>
    </row>
    <row r="16" spans="1:28" s="111" customFormat="1" ht="16.5" customHeight="1" thickBot="1" thickTop="1">
      <c r="A16" s="107"/>
      <c r="B16" s="108"/>
      <c r="C16" s="107"/>
      <c r="D16" s="107"/>
      <c r="E16" s="107"/>
      <c r="F16" s="565" t="s">
        <v>50</v>
      </c>
      <c r="G16" s="566">
        <v>69.722</v>
      </c>
      <c r="H16" s="275"/>
      <c r="I16" s="107"/>
      <c r="K16" s="113" t="s">
        <v>51</v>
      </c>
      <c r="L16" s="114">
        <f>30*'TOT-0410'!B13</f>
        <v>30</v>
      </c>
      <c r="M16" s="271" t="str">
        <f>IF(L16=30," ",IF(L16=60,"Coeficiente duplicado por tasa de falla &gt;4 Sal. x año/100 km.","REVISAR COEFICIENTE"))</f>
        <v> 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10"/>
    </row>
    <row r="17" spans="1:28" s="111" customFormat="1" ht="7.5" customHeight="1" thickTop="1">
      <c r="A17" s="107"/>
      <c r="B17" s="108"/>
      <c r="C17" s="107"/>
      <c r="D17" s="107"/>
      <c r="E17" s="107"/>
      <c r="F17" s="763"/>
      <c r="G17" s="764"/>
      <c r="H17" s="765"/>
      <c r="I17" s="107"/>
      <c r="K17" s="113"/>
      <c r="L17" s="114"/>
      <c r="M17" s="271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10"/>
    </row>
    <row r="18" spans="1:28" s="803" customFormat="1" ht="15" customHeight="1" thickBot="1">
      <c r="A18" s="799"/>
      <c r="B18" s="800"/>
      <c r="C18" s="801">
        <v>3</v>
      </c>
      <c r="D18" s="801">
        <v>4</v>
      </c>
      <c r="E18" s="801">
        <v>5</v>
      </c>
      <c r="F18" s="801">
        <v>6</v>
      </c>
      <c r="G18" s="801">
        <v>7</v>
      </c>
      <c r="H18" s="801">
        <v>8</v>
      </c>
      <c r="I18" s="801">
        <v>9</v>
      </c>
      <c r="J18" s="801">
        <v>10</v>
      </c>
      <c r="K18" s="801">
        <v>11</v>
      </c>
      <c r="L18" s="801">
        <v>12</v>
      </c>
      <c r="M18" s="801">
        <v>13</v>
      </c>
      <c r="N18" s="801">
        <v>14</v>
      </c>
      <c r="O18" s="801">
        <v>15</v>
      </c>
      <c r="P18" s="801">
        <v>16</v>
      </c>
      <c r="Q18" s="801">
        <v>17</v>
      </c>
      <c r="R18" s="801">
        <v>18</v>
      </c>
      <c r="S18" s="801">
        <v>19</v>
      </c>
      <c r="T18" s="801">
        <v>20</v>
      </c>
      <c r="U18" s="801">
        <v>21</v>
      </c>
      <c r="V18" s="801">
        <v>22</v>
      </c>
      <c r="W18" s="801">
        <v>23</v>
      </c>
      <c r="X18" s="801">
        <v>24</v>
      </c>
      <c r="Y18" s="801">
        <v>25</v>
      </c>
      <c r="Z18" s="801">
        <v>26</v>
      </c>
      <c r="AA18" s="801">
        <v>27</v>
      </c>
      <c r="AB18" s="802"/>
    </row>
    <row r="19" spans="1:28" s="124" customFormat="1" ht="33.75" customHeight="1" thickBot="1" thickTop="1">
      <c r="A19" s="115"/>
      <c r="B19" s="116"/>
      <c r="C19" s="117" t="s">
        <v>52</v>
      </c>
      <c r="D19" s="117" t="s">
        <v>149</v>
      </c>
      <c r="E19" s="117" t="s">
        <v>148</v>
      </c>
      <c r="F19" s="118" t="s">
        <v>24</v>
      </c>
      <c r="G19" s="119" t="s">
        <v>53</v>
      </c>
      <c r="H19" s="120" t="s">
        <v>54</v>
      </c>
      <c r="I19" s="303" t="s">
        <v>55</v>
      </c>
      <c r="J19" s="118" t="s">
        <v>56</v>
      </c>
      <c r="K19" s="118" t="s">
        <v>57</v>
      </c>
      <c r="L19" s="119" t="s">
        <v>58</v>
      </c>
      <c r="M19" s="119" t="s">
        <v>59</v>
      </c>
      <c r="N19" s="121" t="s">
        <v>60</v>
      </c>
      <c r="O19" s="119" t="s">
        <v>61</v>
      </c>
      <c r="P19" s="333" t="s">
        <v>62</v>
      </c>
      <c r="Q19" s="336" t="s">
        <v>63</v>
      </c>
      <c r="R19" s="339" t="s">
        <v>64</v>
      </c>
      <c r="S19" s="340"/>
      <c r="T19" s="341"/>
      <c r="U19" s="350" t="s">
        <v>65</v>
      </c>
      <c r="V19" s="351"/>
      <c r="W19" s="352"/>
      <c r="X19" s="360" t="s">
        <v>66</v>
      </c>
      <c r="Y19" s="363" t="s">
        <v>67</v>
      </c>
      <c r="Z19" s="122" t="s">
        <v>68</v>
      </c>
      <c r="AA19" s="122" t="s">
        <v>69</v>
      </c>
      <c r="AB19" s="123"/>
    </row>
    <row r="20" spans="1:28" ht="16.5" customHeight="1" thickTop="1">
      <c r="A20" s="1"/>
      <c r="B20" s="2"/>
      <c r="C20" s="53"/>
      <c r="D20" s="104"/>
      <c r="E20" s="104"/>
      <c r="F20" s="54"/>
      <c r="G20" s="55"/>
      <c r="H20" s="55"/>
      <c r="I20" s="304"/>
      <c r="J20" s="55"/>
      <c r="K20" s="56"/>
      <c r="L20" s="56"/>
      <c r="M20" s="56"/>
      <c r="N20" s="54"/>
      <c r="O20" s="55"/>
      <c r="P20" s="334"/>
      <c r="Q20" s="337"/>
      <c r="R20" s="342"/>
      <c r="S20" s="343"/>
      <c r="T20" s="344"/>
      <c r="U20" s="353"/>
      <c r="V20" s="354"/>
      <c r="W20" s="355"/>
      <c r="X20" s="361"/>
      <c r="Y20" s="364"/>
      <c r="Z20" s="348"/>
      <c r="AA20" s="56"/>
      <c r="AB20" s="3"/>
    </row>
    <row r="21" spans="1:28" ht="16.5" customHeight="1">
      <c r="A21" s="1"/>
      <c r="B21" s="2"/>
      <c r="C21" s="53"/>
      <c r="D21" s="53"/>
      <c r="E21" s="53"/>
      <c r="F21" s="53"/>
      <c r="G21" s="105"/>
      <c r="H21" s="105"/>
      <c r="I21" s="305"/>
      <c r="J21" s="53"/>
      <c r="K21" s="106"/>
      <c r="L21" s="106"/>
      <c r="M21" s="106"/>
      <c r="N21" s="104"/>
      <c r="O21" s="53"/>
      <c r="P21" s="335"/>
      <c r="Q21" s="338"/>
      <c r="R21" s="345"/>
      <c r="S21" s="346"/>
      <c r="T21" s="347"/>
      <c r="U21" s="356"/>
      <c r="V21" s="357"/>
      <c r="W21" s="358"/>
      <c r="X21" s="362"/>
      <c r="Y21" s="365"/>
      <c r="Z21" s="349"/>
      <c r="AA21" s="106"/>
      <c r="AB21" s="3"/>
    </row>
    <row r="22" spans="1:28" ht="16.5" customHeight="1">
      <c r="A22" s="1"/>
      <c r="B22" s="2"/>
      <c r="C22" s="569">
        <v>5</v>
      </c>
      <c r="D22" s="569">
        <v>220597</v>
      </c>
      <c r="E22" s="569">
        <v>4658</v>
      </c>
      <c r="F22" s="570" t="s">
        <v>167</v>
      </c>
      <c r="G22" s="571">
        <v>132</v>
      </c>
      <c r="H22" s="572">
        <v>207.5</v>
      </c>
      <c r="I22" s="306">
        <f aca="true" t="shared" si="0" ref="I22:I41">IF(H22&gt;25,H22,25)*IF(G22=330,$G$15,$G$16)/100</f>
        <v>144.67315</v>
      </c>
      <c r="J22" s="577">
        <v>40278.541666666664</v>
      </c>
      <c r="K22" s="577">
        <v>40278.71319444444</v>
      </c>
      <c r="L22" s="15">
        <f aca="true" t="shared" si="1" ref="L22:L41">IF(F22="","",(K22-J22)*24)</f>
        <v>4.116666666639503</v>
      </c>
      <c r="M22" s="16">
        <f aca="true" t="shared" si="2" ref="M22:M41">IF(F22="","",ROUND((K22-J22)*24*60,0))</f>
        <v>247</v>
      </c>
      <c r="N22" s="578" t="s">
        <v>155</v>
      </c>
      <c r="O22" s="777" t="str">
        <f aca="true" t="shared" si="3" ref="O22:O41">IF(F22="","","--")</f>
        <v>--</v>
      </c>
      <c r="P22" s="778">
        <f aca="true" t="shared" si="4" ref="P22:P41">IF(N22="P",ROUND(M22/60,2)*I22*$L$16*0.01,"--")</f>
        <v>178.81601339999997</v>
      </c>
      <c r="Q22" s="779" t="str">
        <f aca="true" t="shared" si="5" ref="Q22:Q41">IF(N22="RP",ROUND(M22/60,2)*I22*$L$16*0.01*O22/100,"--")</f>
        <v>--</v>
      </c>
      <c r="R22" s="780" t="str">
        <f aca="true" t="shared" si="6" ref="R22:R41">IF(N22="F",I22*$L$16,"--")</f>
        <v>--</v>
      </c>
      <c r="S22" s="781" t="str">
        <f aca="true" t="shared" si="7" ref="S22:S41">IF(AND(M22&gt;10,N22="F"),I22*$L$16*IF(M22&gt;180,3,ROUND(M22/60,2)),"--")</f>
        <v>--</v>
      </c>
      <c r="T22" s="782" t="str">
        <f aca="true" t="shared" si="8" ref="T22:T41">IF(AND(M22&gt;180,N22="F"),(ROUND(M22/60,2)-3)*I22*$L$16*0.1,"--")</f>
        <v>--</v>
      </c>
      <c r="U22" s="783" t="str">
        <f aca="true" t="shared" si="9" ref="U22:U41">IF(N22="R",I22*$L$16*O22/100,"--")</f>
        <v>--</v>
      </c>
      <c r="V22" s="784" t="str">
        <f aca="true" t="shared" si="10" ref="V22:V41">IF(AND(M22&gt;10,N22="R"),I22*$L$16*O22/100*IF(M22&gt;180,3,ROUND(M22/60,2)),"--")</f>
        <v>--</v>
      </c>
      <c r="W22" s="785" t="str">
        <f aca="true" t="shared" si="11" ref="W22:W41">IF(AND(M22&gt;180,N22="R"),(ROUND(M22/60,2)-3)*O22/100*I22*$L$16*0.1,"--")</f>
        <v>--</v>
      </c>
      <c r="X22" s="786" t="str">
        <f aca="true" t="shared" si="12" ref="X22:X41">IF(N22="RF",ROUND(M22/60,2)*I22*$L$16*0.1,"--")</f>
        <v>--</v>
      </c>
      <c r="Y22" s="787" t="str">
        <f aca="true" t="shared" si="13" ref="Y22:Y41">IF(N22="RR",ROUND(M22/60,2)*O22/100*I22*$L$16*0.1,"--")</f>
        <v>--</v>
      </c>
      <c r="Z22" s="788" t="s">
        <v>156</v>
      </c>
      <c r="AA22" s="57">
        <f aca="true" t="shared" si="14" ref="AA22:AA41">IF(F22="","",SUM(P22:Y22)*IF(Z22="SI",1,2))</f>
        <v>178.81601339999997</v>
      </c>
      <c r="AB22" s="3"/>
    </row>
    <row r="23" spans="1:28" ht="16.5" customHeight="1">
      <c r="A23" s="1"/>
      <c r="B23" s="2"/>
      <c r="C23" s="569"/>
      <c r="D23" s="569"/>
      <c r="E23" s="569"/>
      <c r="F23" s="570"/>
      <c r="G23" s="571"/>
      <c r="H23" s="572"/>
      <c r="I23" s="306">
        <f t="shared" si="0"/>
        <v>17.4305</v>
      </c>
      <c r="J23" s="577"/>
      <c r="K23" s="577"/>
      <c r="L23" s="15">
        <f t="shared" si="1"/>
      </c>
      <c r="M23" s="16">
        <f t="shared" si="2"/>
      </c>
      <c r="N23" s="578"/>
      <c r="O23" s="777">
        <f t="shared" si="3"/>
      </c>
      <c r="P23" s="778" t="str">
        <f t="shared" si="4"/>
        <v>--</v>
      </c>
      <c r="Q23" s="779" t="str">
        <f t="shared" si="5"/>
        <v>--</v>
      </c>
      <c r="R23" s="780" t="str">
        <f t="shared" si="6"/>
        <v>--</v>
      </c>
      <c r="S23" s="781" t="str">
        <f t="shared" si="7"/>
        <v>--</v>
      </c>
      <c r="T23" s="782" t="str">
        <f t="shared" si="8"/>
        <v>--</v>
      </c>
      <c r="U23" s="783" t="str">
        <f t="shared" si="9"/>
        <v>--</v>
      </c>
      <c r="V23" s="784" t="str">
        <f t="shared" si="10"/>
        <v>--</v>
      </c>
      <c r="W23" s="785" t="str">
        <f t="shared" si="11"/>
        <v>--</v>
      </c>
      <c r="X23" s="786" t="str">
        <f t="shared" si="12"/>
        <v>--</v>
      </c>
      <c r="Y23" s="787" t="str">
        <f t="shared" si="13"/>
        <v>--</v>
      </c>
      <c r="Z23" s="788">
        <f aca="true" t="shared" si="15" ref="Z23:Z41">IF(F23="","","SI")</f>
      </c>
      <c r="AA23" s="57">
        <f t="shared" si="14"/>
      </c>
      <c r="AB23" s="3"/>
    </row>
    <row r="24" spans="1:28" ht="16.5" customHeight="1">
      <c r="A24" s="1"/>
      <c r="B24" s="2"/>
      <c r="C24" s="569"/>
      <c r="D24" s="569"/>
      <c r="E24" s="569"/>
      <c r="F24" s="570"/>
      <c r="G24" s="571"/>
      <c r="H24" s="572"/>
      <c r="I24" s="306">
        <f t="shared" si="0"/>
        <v>17.4305</v>
      </c>
      <c r="J24" s="577"/>
      <c r="K24" s="577"/>
      <c r="L24" s="15">
        <f t="shared" si="1"/>
      </c>
      <c r="M24" s="16">
        <f t="shared" si="2"/>
      </c>
      <c r="N24" s="578"/>
      <c r="O24" s="777">
        <f t="shared" si="3"/>
      </c>
      <c r="P24" s="778" t="str">
        <f t="shared" si="4"/>
        <v>--</v>
      </c>
      <c r="Q24" s="779" t="str">
        <f t="shared" si="5"/>
        <v>--</v>
      </c>
      <c r="R24" s="780" t="str">
        <f t="shared" si="6"/>
        <v>--</v>
      </c>
      <c r="S24" s="781" t="str">
        <f t="shared" si="7"/>
        <v>--</v>
      </c>
      <c r="T24" s="782" t="str">
        <f t="shared" si="8"/>
        <v>--</v>
      </c>
      <c r="U24" s="783" t="str">
        <f t="shared" si="9"/>
        <v>--</v>
      </c>
      <c r="V24" s="784" t="str">
        <f t="shared" si="10"/>
        <v>--</v>
      </c>
      <c r="W24" s="785" t="str">
        <f t="shared" si="11"/>
        <v>--</v>
      </c>
      <c r="X24" s="786" t="str">
        <f t="shared" si="12"/>
        <v>--</v>
      </c>
      <c r="Y24" s="787" t="str">
        <f t="shared" si="13"/>
        <v>--</v>
      </c>
      <c r="Z24" s="788">
        <f t="shared" si="15"/>
      </c>
      <c r="AA24" s="57">
        <f t="shared" si="14"/>
      </c>
      <c r="AB24" s="3"/>
    </row>
    <row r="25" spans="1:28" ht="16.5" customHeight="1">
      <c r="A25" s="1"/>
      <c r="B25" s="2"/>
      <c r="C25" s="569"/>
      <c r="D25" s="569"/>
      <c r="E25" s="569"/>
      <c r="F25" s="570"/>
      <c r="G25" s="571"/>
      <c r="H25" s="572"/>
      <c r="I25" s="306">
        <f t="shared" si="0"/>
        <v>17.4305</v>
      </c>
      <c r="J25" s="577"/>
      <c r="K25" s="577"/>
      <c r="L25" s="15">
        <f t="shared" si="1"/>
      </c>
      <c r="M25" s="16">
        <f t="shared" si="2"/>
      </c>
      <c r="N25" s="578"/>
      <c r="O25" s="777">
        <f t="shared" si="3"/>
      </c>
      <c r="P25" s="778" t="str">
        <f t="shared" si="4"/>
        <v>--</v>
      </c>
      <c r="Q25" s="779" t="str">
        <f t="shared" si="5"/>
        <v>--</v>
      </c>
      <c r="R25" s="780" t="str">
        <f t="shared" si="6"/>
        <v>--</v>
      </c>
      <c r="S25" s="781" t="str">
        <f t="shared" si="7"/>
        <v>--</v>
      </c>
      <c r="T25" s="782" t="str">
        <f t="shared" si="8"/>
        <v>--</v>
      </c>
      <c r="U25" s="783" t="str">
        <f t="shared" si="9"/>
        <v>--</v>
      </c>
      <c r="V25" s="784" t="str">
        <f t="shared" si="10"/>
        <v>--</v>
      </c>
      <c r="W25" s="785" t="str">
        <f t="shared" si="11"/>
        <v>--</v>
      </c>
      <c r="X25" s="786" t="str">
        <f t="shared" si="12"/>
        <v>--</v>
      </c>
      <c r="Y25" s="787" t="str">
        <f t="shared" si="13"/>
        <v>--</v>
      </c>
      <c r="Z25" s="788">
        <f t="shared" si="15"/>
      </c>
      <c r="AA25" s="57">
        <f t="shared" si="14"/>
      </c>
      <c r="AB25" s="3"/>
    </row>
    <row r="26" spans="1:28" ht="16.5" customHeight="1">
      <c r="A26" s="1"/>
      <c r="B26" s="2"/>
      <c r="C26" s="569"/>
      <c r="D26" s="569"/>
      <c r="E26" s="569"/>
      <c r="F26" s="570"/>
      <c r="G26" s="571"/>
      <c r="H26" s="572"/>
      <c r="I26" s="306">
        <f t="shared" si="0"/>
        <v>17.4305</v>
      </c>
      <c r="J26" s="577"/>
      <c r="K26" s="577"/>
      <c r="L26" s="15">
        <f t="shared" si="1"/>
      </c>
      <c r="M26" s="16">
        <f t="shared" si="2"/>
      </c>
      <c r="N26" s="578"/>
      <c r="O26" s="777">
        <f t="shared" si="3"/>
      </c>
      <c r="P26" s="778" t="str">
        <f t="shared" si="4"/>
        <v>--</v>
      </c>
      <c r="Q26" s="779" t="str">
        <f t="shared" si="5"/>
        <v>--</v>
      </c>
      <c r="R26" s="780" t="str">
        <f t="shared" si="6"/>
        <v>--</v>
      </c>
      <c r="S26" s="781" t="str">
        <f t="shared" si="7"/>
        <v>--</v>
      </c>
      <c r="T26" s="782" t="str">
        <f t="shared" si="8"/>
        <v>--</v>
      </c>
      <c r="U26" s="783" t="str">
        <f t="shared" si="9"/>
        <v>--</v>
      </c>
      <c r="V26" s="784" t="str">
        <f t="shared" si="10"/>
        <v>--</v>
      </c>
      <c r="W26" s="785" t="str">
        <f t="shared" si="11"/>
        <v>--</v>
      </c>
      <c r="X26" s="786" t="str">
        <f t="shared" si="12"/>
        <v>--</v>
      </c>
      <c r="Y26" s="787" t="str">
        <f t="shared" si="13"/>
        <v>--</v>
      </c>
      <c r="Z26" s="788">
        <f t="shared" si="15"/>
      </c>
      <c r="AA26" s="57">
        <f t="shared" si="14"/>
      </c>
      <c r="AB26" s="3"/>
    </row>
    <row r="27" spans="1:28" ht="16.5" customHeight="1">
      <c r="A27" s="1"/>
      <c r="B27" s="2"/>
      <c r="C27" s="569"/>
      <c r="D27" s="569"/>
      <c r="E27" s="569"/>
      <c r="F27" s="570"/>
      <c r="G27" s="571"/>
      <c r="H27" s="572"/>
      <c r="I27" s="306">
        <f t="shared" si="0"/>
        <v>17.4305</v>
      </c>
      <c r="J27" s="577"/>
      <c r="K27" s="577"/>
      <c r="L27" s="15">
        <f t="shared" si="1"/>
      </c>
      <c r="M27" s="16">
        <f t="shared" si="2"/>
      </c>
      <c r="N27" s="578"/>
      <c r="O27" s="777">
        <f t="shared" si="3"/>
      </c>
      <c r="P27" s="778" t="str">
        <f t="shared" si="4"/>
        <v>--</v>
      </c>
      <c r="Q27" s="779" t="str">
        <f t="shared" si="5"/>
        <v>--</v>
      </c>
      <c r="R27" s="780" t="str">
        <f t="shared" si="6"/>
        <v>--</v>
      </c>
      <c r="S27" s="781" t="str">
        <f t="shared" si="7"/>
        <v>--</v>
      </c>
      <c r="T27" s="782" t="str">
        <f t="shared" si="8"/>
        <v>--</v>
      </c>
      <c r="U27" s="783" t="str">
        <f t="shared" si="9"/>
        <v>--</v>
      </c>
      <c r="V27" s="784" t="str">
        <f t="shared" si="10"/>
        <v>--</v>
      </c>
      <c r="W27" s="785" t="str">
        <f t="shared" si="11"/>
        <v>--</v>
      </c>
      <c r="X27" s="786" t="str">
        <f t="shared" si="12"/>
        <v>--</v>
      </c>
      <c r="Y27" s="787" t="str">
        <f t="shared" si="13"/>
        <v>--</v>
      </c>
      <c r="Z27" s="788">
        <f t="shared" si="15"/>
      </c>
      <c r="AA27" s="57">
        <f t="shared" si="14"/>
      </c>
      <c r="AB27" s="3"/>
    </row>
    <row r="28" spans="1:28" ht="16.5" customHeight="1">
      <c r="A28" s="1"/>
      <c r="B28" s="2"/>
      <c r="C28" s="569"/>
      <c r="D28" s="569"/>
      <c r="E28" s="569"/>
      <c r="F28" s="570"/>
      <c r="G28" s="571"/>
      <c r="H28" s="572"/>
      <c r="I28" s="306">
        <f t="shared" si="0"/>
        <v>17.4305</v>
      </c>
      <c r="J28" s="577"/>
      <c r="K28" s="577"/>
      <c r="L28" s="15">
        <f t="shared" si="1"/>
      </c>
      <c r="M28" s="16">
        <f t="shared" si="2"/>
      </c>
      <c r="N28" s="578"/>
      <c r="O28" s="777">
        <f t="shared" si="3"/>
      </c>
      <c r="P28" s="778" t="str">
        <f t="shared" si="4"/>
        <v>--</v>
      </c>
      <c r="Q28" s="779" t="str">
        <f t="shared" si="5"/>
        <v>--</v>
      </c>
      <c r="R28" s="780" t="str">
        <f t="shared" si="6"/>
        <v>--</v>
      </c>
      <c r="S28" s="781" t="str">
        <f t="shared" si="7"/>
        <v>--</v>
      </c>
      <c r="T28" s="782" t="str">
        <f t="shared" si="8"/>
        <v>--</v>
      </c>
      <c r="U28" s="783" t="str">
        <f t="shared" si="9"/>
        <v>--</v>
      </c>
      <c r="V28" s="784" t="str">
        <f t="shared" si="10"/>
        <v>--</v>
      </c>
      <c r="W28" s="785" t="str">
        <f t="shared" si="11"/>
        <v>--</v>
      </c>
      <c r="X28" s="786" t="str">
        <f t="shared" si="12"/>
        <v>--</v>
      </c>
      <c r="Y28" s="787" t="str">
        <f t="shared" si="13"/>
        <v>--</v>
      </c>
      <c r="Z28" s="788">
        <f t="shared" si="15"/>
      </c>
      <c r="AA28" s="57">
        <f t="shared" si="14"/>
      </c>
      <c r="AB28" s="3"/>
    </row>
    <row r="29" spans="1:28" ht="16.5" customHeight="1">
      <c r="A29" s="1"/>
      <c r="B29" s="2"/>
      <c r="C29" s="569"/>
      <c r="D29" s="569"/>
      <c r="E29" s="569"/>
      <c r="F29" s="570"/>
      <c r="G29" s="571"/>
      <c r="H29" s="572"/>
      <c r="I29" s="306">
        <f t="shared" si="0"/>
        <v>17.4305</v>
      </c>
      <c r="J29" s="577"/>
      <c r="K29" s="577"/>
      <c r="L29" s="15">
        <f t="shared" si="1"/>
      </c>
      <c r="M29" s="16">
        <f t="shared" si="2"/>
      </c>
      <c r="N29" s="578"/>
      <c r="O29" s="777">
        <f t="shared" si="3"/>
      </c>
      <c r="P29" s="778" t="str">
        <f t="shared" si="4"/>
        <v>--</v>
      </c>
      <c r="Q29" s="779" t="str">
        <f t="shared" si="5"/>
        <v>--</v>
      </c>
      <c r="R29" s="780" t="str">
        <f t="shared" si="6"/>
        <v>--</v>
      </c>
      <c r="S29" s="781" t="str">
        <f t="shared" si="7"/>
        <v>--</v>
      </c>
      <c r="T29" s="782" t="str">
        <f t="shared" si="8"/>
        <v>--</v>
      </c>
      <c r="U29" s="783" t="str">
        <f t="shared" si="9"/>
        <v>--</v>
      </c>
      <c r="V29" s="784" t="str">
        <f t="shared" si="10"/>
        <v>--</v>
      </c>
      <c r="W29" s="785" t="str">
        <f t="shared" si="11"/>
        <v>--</v>
      </c>
      <c r="X29" s="786" t="str">
        <f t="shared" si="12"/>
        <v>--</v>
      </c>
      <c r="Y29" s="787" t="str">
        <f t="shared" si="13"/>
        <v>--</v>
      </c>
      <c r="Z29" s="788">
        <f t="shared" si="15"/>
      </c>
      <c r="AA29" s="57">
        <f t="shared" si="14"/>
      </c>
      <c r="AB29" s="3"/>
    </row>
    <row r="30" spans="1:28" ht="16.5" customHeight="1">
      <c r="A30" s="1"/>
      <c r="B30" s="2"/>
      <c r="C30" s="569"/>
      <c r="D30" s="569"/>
      <c r="E30" s="569"/>
      <c r="F30" s="570"/>
      <c r="G30" s="571"/>
      <c r="H30" s="572"/>
      <c r="I30" s="306">
        <f t="shared" si="0"/>
        <v>17.4305</v>
      </c>
      <c r="J30" s="577"/>
      <c r="K30" s="577"/>
      <c r="L30" s="15">
        <f t="shared" si="1"/>
      </c>
      <c r="M30" s="16">
        <f t="shared" si="2"/>
      </c>
      <c r="N30" s="578"/>
      <c r="O30" s="777">
        <f t="shared" si="3"/>
      </c>
      <c r="P30" s="778" t="str">
        <f t="shared" si="4"/>
        <v>--</v>
      </c>
      <c r="Q30" s="779" t="str">
        <f t="shared" si="5"/>
        <v>--</v>
      </c>
      <c r="R30" s="780" t="str">
        <f t="shared" si="6"/>
        <v>--</v>
      </c>
      <c r="S30" s="781" t="str">
        <f t="shared" si="7"/>
        <v>--</v>
      </c>
      <c r="T30" s="782" t="str">
        <f t="shared" si="8"/>
        <v>--</v>
      </c>
      <c r="U30" s="783" t="str">
        <f t="shared" si="9"/>
        <v>--</v>
      </c>
      <c r="V30" s="784" t="str">
        <f t="shared" si="10"/>
        <v>--</v>
      </c>
      <c r="W30" s="785" t="str">
        <f t="shared" si="11"/>
        <v>--</v>
      </c>
      <c r="X30" s="786" t="str">
        <f t="shared" si="12"/>
        <v>--</v>
      </c>
      <c r="Y30" s="787" t="str">
        <f t="shared" si="13"/>
        <v>--</v>
      </c>
      <c r="Z30" s="788">
        <f t="shared" si="15"/>
      </c>
      <c r="AA30" s="57">
        <f t="shared" si="14"/>
      </c>
      <c r="AB30" s="3"/>
    </row>
    <row r="31" spans="1:28" ht="16.5" customHeight="1">
      <c r="A31" s="1"/>
      <c r="B31" s="2"/>
      <c r="C31" s="569"/>
      <c r="D31" s="569"/>
      <c r="E31" s="569"/>
      <c r="F31" s="570"/>
      <c r="G31" s="571"/>
      <c r="H31" s="572"/>
      <c r="I31" s="306">
        <f t="shared" si="0"/>
        <v>17.4305</v>
      </c>
      <c r="J31" s="577"/>
      <c r="K31" s="577"/>
      <c r="L31" s="15">
        <f t="shared" si="1"/>
      </c>
      <c r="M31" s="16">
        <f t="shared" si="2"/>
      </c>
      <c r="N31" s="578"/>
      <c r="O31" s="777">
        <f t="shared" si="3"/>
      </c>
      <c r="P31" s="778" t="str">
        <f t="shared" si="4"/>
        <v>--</v>
      </c>
      <c r="Q31" s="779" t="str">
        <f t="shared" si="5"/>
        <v>--</v>
      </c>
      <c r="R31" s="780" t="str">
        <f t="shared" si="6"/>
        <v>--</v>
      </c>
      <c r="S31" s="781" t="str">
        <f t="shared" si="7"/>
        <v>--</v>
      </c>
      <c r="T31" s="782" t="str">
        <f t="shared" si="8"/>
        <v>--</v>
      </c>
      <c r="U31" s="783" t="str">
        <f t="shared" si="9"/>
        <v>--</v>
      </c>
      <c r="V31" s="784" t="str">
        <f t="shared" si="10"/>
        <v>--</v>
      </c>
      <c r="W31" s="785" t="str">
        <f t="shared" si="11"/>
        <v>--</v>
      </c>
      <c r="X31" s="786" t="str">
        <f t="shared" si="12"/>
        <v>--</v>
      </c>
      <c r="Y31" s="787" t="str">
        <f t="shared" si="13"/>
        <v>--</v>
      </c>
      <c r="Z31" s="788">
        <f t="shared" si="15"/>
      </c>
      <c r="AA31" s="57">
        <f t="shared" si="14"/>
      </c>
      <c r="AB31" s="3"/>
    </row>
    <row r="32" spans="1:28" ht="16.5" customHeight="1">
      <c r="A32" s="1"/>
      <c r="B32" s="2"/>
      <c r="C32" s="569"/>
      <c r="D32" s="569"/>
      <c r="E32" s="569"/>
      <c r="F32" s="570"/>
      <c r="G32" s="571"/>
      <c r="H32" s="572"/>
      <c r="I32" s="306">
        <f t="shared" si="0"/>
        <v>17.4305</v>
      </c>
      <c r="J32" s="577"/>
      <c r="K32" s="577"/>
      <c r="L32" s="15">
        <f t="shared" si="1"/>
      </c>
      <c r="M32" s="16">
        <f t="shared" si="2"/>
      </c>
      <c r="N32" s="578"/>
      <c r="O32" s="777">
        <f t="shared" si="3"/>
      </c>
      <c r="P32" s="778" t="str">
        <f t="shared" si="4"/>
        <v>--</v>
      </c>
      <c r="Q32" s="779" t="str">
        <f t="shared" si="5"/>
        <v>--</v>
      </c>
      <c r="R32" s="780" t="str">
        <f t="shared" si="6"/>
        <v>--</v>
      </c>
      <c r="S32" s="781" t="str">
        <f t="shared" si="7"/>
        <v>--</v>
      </c>
      <c r="T32" s="782" t="str">
        <f t="shared" si="8"/>
        <v>--</v>
      </c>
      <c r="U32" s="783" t="str">
        <f t="shared" si="9"/>
        <v>--</v>
      </c>
      <c r="V32" s="784" t="str">
        <f t="shared" si="10"/>
        <v>--</v>
      </c>
      <c r="W32" s="785" t="str">
        <f t="shared" si="11"/>
        <v>--</v>
      </c>
      <c r="X32" s="786" t="str">
        <f t="shared" si="12"/>
        <v>--</v>
      </c>
      <c r="Y32" s="787" t="str">
        <f t="shared" si="13"/>
        <v>--</v>
      </c>
      <c r="Z32" s="788">
        <f t="shared" si="15"/>
      </c>
      <c r="AA32" s="57">
        <f t="shared" si="14"/>
      </c>
      <c r="AB32" s="3"/>
    </row>
    <row r="33" spans="1:28" ht="16.5" customHeight="1">
      <c r="A33" s="1"/>
      <c r="B33" s="2"/>
      <c r="C33" s="569"/>
      <c r="D33" s="569"/>
      <c r="E33" s="569"/>
      <c r="F33" s="570"/>
      <c r="G33" s="571"/>
      <c r="H33" s="572"/>
      <c r="I33" s="306">
        <f t="shared" si="0"/>
        <v>17.4305</v>
      </c>
      <c r="J33" s="577"/>
      <c r="K33" s="577"/>
      <c r="L33" s="15">
        <f t="shared" si="1"/>
      </c>
      <c r="M33" s="16">
        <f t="shared" si="2"/>
      </c>
      <c r="N33" s="578"/>
      <c r="O33" s="777">
        <f t="shared" si="3"/>
      </c>
      <c r="P33" s="778" t="str">
        <f t="shared" si="4"/>
        <v>--</v>
      </c>
      <c r="Q33" s="779" t="str">
        <f t="shared" si="5"/>
        <v>--</v>
      </c>
      <c r="R33" s="780" t="str">
        <f t="shared" si="6"/>
        <v>--</v>
      </c>
      <c r="S33" s="781" t="str">
        <f t="shared" si="7"/>
        <v>--</v>
      </c>
      <c r="T33" s="782" t="str">
        <f t="shared" si="8"/>
        <v>--</v>
      </c>
      <c r="U33" s="783" t="str">
        <f t="shared" si="9"/>
        <v>--</v>
      </c>
      <c r="V33" s="784" t="str">
        <f t="shared" si="10"/>
        <v>--</v>
      </c>
      <c r="W33" s="785" t="str">
        <f t="shared" si="11"/>
        <v>--</v>
      </c>
      <c r="X33" s="786" t="str">
        <f t="shared" si="12"/>
        <v>--</v>
      </c>
      <c r="Y33" s="787" t="str">
        <f t="shared" si="13"/>
        <v>--</v>
      </c>
      <c r="Z33" s="788">
        <f t="shared" si="15"/>
      </c>
      <c r="AA33" s="57">
        <f t="shared" si="14"/>
      </c>
      <c r="AB33" s="3"/>
    </row>
    <row r="34" spans="1:28" ht="16.5" customHeight="1">
      <c r="A34" s="1"/>
      <c r="B34" s="2"/>
      <c r="C34" s="569"/>
      <c r="D34" s="569"/>
      <c r="E34" s="569"/>
      <c r="F34" s="570"/>
      <c r="G34" s="571"/>
      <c r="H34" s="572"/>
      <c r="I34" s="306">
        <f t="shared" si="0"/>
        <v>17.4305</v>
      </c>
      <c r="J34" s="577"/>
      <c r="K34" s="577"/>
      <c r="L34" s="15">
        <f t="shared" si="1"/>
      </c>
      <c r="M34" s="16">
        <f t="shared" si="2"/>
      </c>
      <c r="N34" s="578"/>
      <c r="O34" s="777">
        <f t="shared" si="3"/>
      </c>
      <c r="P34" s="778" t="str">
        <f t="shared" si="4"/>
        <v>--</v>
      </c>
      <c r="Q34" s="779" t="str">
        <f t="shared" si="5"/>
        <v>--</v>
      </c>
      <c r="R34" s="780" t="str">
        <f t="shared" si="6"/>
        <v>--</v>
      </c>
      <c r="S34" s="781" t="str">
        <f t="shared" si="7"/>
        <v>--</v>
      </c>
      <c r="T34" s="782" t="str">
        <f t="shared" si="8"/>
        <v>--</v>
      </c>
      <c r="U34" s="783" t="str">
        <f t="shared" si="9"/>
        <v>--</v>
      </c>
      <c r="V34" s="784" t="str">
        <f t="shared" si="10"/>
        <v>--</v>
      </c>
      <c r="W34" s="785" t="str">
        <f t="shared" si="11"/>
        <v>--</v>
      </c>
      <c r="X34" s="786" t="str">
        <f t="shared" si="12"/>
        <v>--</v>
      </c>
      <c r="Y34" s="787" t="str">
        <f t="shared" si="13"/>
        <v>--</v>
      </c>
      <c r="Z34" s="788">
        <f t="shared" si="15"/>
      </c>
      <c r="AA34" s="57">
        <f t="shared" si="14"/>
      </c>
      <c r="AB34" s="3"/>
    </row>
    <row r="35" spans="1:28" ht="16.5" customHeight="1">
      <c r="A35" s="1"/>
      <c r="B35" s="2"/>
      <c r="C35" s="569"/>
      <c r="D35" s="569"/>
      <c r="E35" s="569"/>
      <c r="F35" s="570"/>
      <c r="G35" s="571"/>
      <c r="H35" s="572"/>
      <c r="I35" s="306">
        <f t="shared" si="0"/>
        <v>17.4305</v>
      </c>
      <c r="J35" s="577"/>
      <c r="K35" s="577"/>
      <c r="L35" s="15">
        <f t="shared" si="1"/>
      </c>
      <c r="M35" s="16">
        <f t="shared" si="2"/>
      </c>
      <c r="N35" s="578"/>
      <c r="O35" s="777">
        <f t="shared" si="3"/>
      </c>
      <c r="P35" s="778" t="str">
        <f t="shared" si="4"/>
        <v>--</v>
      </c>
      <c r="Q35" s="779" t="str">
        <f t="shared" si="5"/>
        <v>--</v>
      </c>
      <c r="R35" s="780" t="str">
        <f t="shared" si="6"/>
        <v>--</v>
      </c>
      <c r="S35" s="781" t="str">
        <f t="shared" si="7"/>
        <v>--</v>
      </c>
      <c r="T35" s="782" t="str">
        <f t="shared" si="8"/>
        <v>--</v>
      </c>
      <c r="U35" s="783" t="str">
        <f t="shared" si="9"/>
        <v>--</v>
      </c>
      <c r="V35" s="784" t="str">
        <f t="shared" si="10"/>
        <v>--</v>
      </c>
      <c r="W35" s="785" t="str">
        <f t="shared" si="11"/>
        <v>--</v>
      </c>
      <c r="X35" s="786" t="str">
        <f t="shared" si="12"/>
        <v>--</v>
      </c>
      <c r="Y35" s="787" t="str">
        <f t="shared" si="13"/>
        <v>--</v>
      </c>
      <c r="Z35" s="788">
        <f t="shared" si="15"/>
      </c>
      <c r="AA35" s="57">
        <f t="shared" si="14"/>
      </c>
      <c r="AB35" s="3"/>
    </row>
    <row r="36" spans="1:28" ht="16.5" customHeight="1">
      <c r="A36" s="1"/>
      <c r="B36" s="2"/>
      <c r="C36" s="569"/>
      <c r="D36" s="569"/>
      <c r="E36" s="569"/>
      <c r="F36" s="570"/>
      <c r="G36" s="571"/>
      <c r="H36" s="572"/>
      <c r="I36" s="306">
        <f t="shared" si="0"/>
        <v>17.4305</v>
      </c>
      <c r="J36" s="577"/>
      <c r="K36" s="577"/>
      <c r="L36" s="15">
        <f t="shared" si="1"/>
      </c>
      <c r="M36" s="16">
        <f t="shared" si="2"/>
      </c>
      <c r="N36" s="578"/>
      <c r="O36" s="777">
        <f t="shared" si="3"/>
      </c>
      <c r="P36" s="778" t="str">
        <f t="shared" si="4"/>
        <v>--</v>
      </c>
      <c r="Q36" s="779" t="str">
        <f t="shared" si="5"/>
        <v>--</v>
      </c>
      <c r="R36" s="780" t="str">
        <f t="shared" si="6"/>
        <v>--</v>
      </c>
      <c r="S36" s="781" t="str">
        <f t="shared" si="7"/>
        <v>--</v>
      </c>
      <c r="T36" s="782" t="str">
        <f t="shared" si="8"/>
        <v>--</v>
      </c>
      <c r="U36" s="783" t="str">
        <f t="shared" si="9"/>
        <v>--</v>
      </c>
      <c r="V36" s="784" t="str">
        <f t="shared" si="10"/>
        <v>--</v>
      </c>
      <c r="W36" s="785" t="str">
        <f t="shared" si="11"/>
        <v>--</v>
      </c>
      <c r="X36" s="786" t="str">
        <f t="shared" si="12"/>
        <v>--</v>
      </c>
      <c r="Y36" s="787" t="str">
        <f t="shared" si="13"/>
        <v>--</v>
      </c>
      <c r="Z36" s="788">
        <f t="shared" si="15"/>
      </c>
      <c r="AA36" s="57">
        <f t="shared" si="14"/>
      </c>
      <c r="AB36" s="3"/>
    </row>
    <row r="37" spans="1:28" ht="16.5" customHeight="1">
      <c r="A37" s="1"/>
      <c r="B37" s="2"/>
      <c r="C37" s="569"/>
      <c r="D37" s="569"/>
      <c r="E37" s="569"/>
      <c r="F37" s="570"/>
      <c r="G37" s="571"/>
      <c r="H37" s="572"/>
      <c r="I37" s="306">
        <f t="shared" si="0"/>
        <v>17.4305</v>
      </c>
      <c r="J37" s="577"/>
      <c r="K37" s="577"/>
      <c r="L37" s="15">
        <f t="shared" si="1"/>
      </c>
      <c r="M37" s="16">
        <f t="shared" si="2"/>
      </c>
      <c r="N37" s="578"/>
      <c r="O37" s="777">
        <f t="shared" si="3"/>
      </c>
      <c r="P37" s="778" t="str">
        <f t="shared" si="4"/>
        <v>--</v>
      </c>
      <c r="Q37" s="779" t="str">
        <f t="shared" si="5"/>
        <v>--</v>
      </c>
      <c r="R37" s="780" t="str">
        <f t="shared" si="6"/>
        <v>--</v>
      </c>
      <c r="S37" s="781" t="str">
        <f t="shared" si="7"/>
        <v>--</v>
      </c>
      <c r="T37" s="782" t="str">
        <f t="shared" si="8"/>
        <v>--</v>
      </c>
      <c r="U37" s="783" t="str">
        <f t="shared" si="9"/>
        <v>--</v>
      </c>
      <c r="V37" s="784" t="str">
        <f t="shared" si="10"/>
        <v>--</v>
      </c>
      <c r="W37" s="785" t="str">
        <f t="shared" si="11"/>
        <v>--</v>
      </c>
      <c r="X37" s="786" t="str">
        <f t="shared" si="12"/>
        <v>--</v>
      </c>
      <c r="Y37" s="787" t="str">
        <f t="shared" si="13"/>
        <v>--</v>
      </c>
      <c r="Z37" s="788">
        <f t="shared" si="15"/>
      </c>
      <c r="AA37" s="57">
        <f t="shared" si="14"/>
      </c>
      <c r="AB37" s="3"/>
    </row>
    <row r="38" spans="2:28" ht="16.5" customHeight="1">
      <c r="B38" s="58"/>
      <c r="C38" s="569"/>
      <c r="D38" s="569"/>
      <c r="E38" s="569"/>
      <c r="F38" s="570"/>
      <c r="G38" s="571"/>
      <c r="H38" s="572"/>
      <c r="I38" s="306">
        <f t="shared" si="0"/>
        <v>17.4305</v>
      </c>
      <c r="J38" s="577"/>
      <c r="K38" s="577"/>
      <c r="L38" s="15">
        <f t="shared" si="1"/>
      </c>
      <c r="M38" s="16">
        <f t="shared" si="2"/>
      </c>
      <c r="N38" s="578"/>
      <c r="O38" s="777">
        <f t="shared" si="3"/>
      </c>
      <c r="P38" s="778" t="str">
        <f t="shared" si="4"/>
        <v>--</v>
      </c>
      <c r="Q38" s="779" t="str">
        <f t="shared" si="5"/>
        <v>--</v>
      </c>
      <c r="R38" s="780" t="str">
        <f t="shared" si="6"/>
        <v>--</v>
      </c>
      <c r="S38" s="781" t="str">
        <f t="shared" si="7"/>
        <v>--</v>
      </c>
      <c r="T38" s="782" t="str">
        <f t="shared" si="8"/>
        <v>--</v>
      </c>
      <c r="U38" s="783" t="str">
        <f t="shared" si="9"/>
        <v>--</v>
      </c>
      <c r="V38" s="784" t="str">
        <f t="shared" si="10"/>
        <v>--</v>
      </c>
      <c r="W38" s="785" t="str">
        <f t="shared" si="11"/>
        <v>--</v>
      </c>
      <c r="X38" s="786" t="str">
        <f t="shared" si="12"/>
        <v>--</v>
      </c>
      <c r="Y38" s="787" t="str">
        <f t="shared" si="13"/>
        <v>--</v>
      </c>
      <c r="Z38" s="788">
        <f t="shared" si="15"/>
      </c>
      <c r="AA38" s="57">
        <f t="shared" si="14"/>
      </c>
      <c r="AB38" s="3"/>
    </row>
    <row r="39" spans="2:28" ht="16.5" customHeight="1">
      <c r="B39" s="58"/>
      <c r="C39" s="569"/>
      <c r="D39" s="569"/>
      <c r="E39" s="569"/>
      <c r="F39" s="570"/>
      <c r="G39" s="571"/>
      <c r="H39" s="572"/>
      <c r="I39" s="306">
        <f t="shared" si="0"/>
        <v>17.4305</v>
      </c>
      <c r="J39" s="577"/>
      <c r="K39" s="577"/>
      <c r="L39" s="15">
        <f t="shared" si="1"/>
      </c>
      <c r="M39" s="16">
        <f t="shared" si="2"/>
      </c>
      <c r="N39" s="578"/>
      <c r="O39" s="777">
        <f t="shared" si="3"/>
      </c>
      <c r="P39" s="778" t="str">
        <f t="shared" si="4"/>
        <v>--</v>
      </c>
      <c r="Q39" s="779" t="str">
        <f t="shared" si="5"/>
        <v>--</v>
      </c>
      <c r="R39" s="780" t="str">
        <f t="shared" si="6"/>
        <v>--</v>
      </c>
      <c r="S39" s="781" t="str">
        <f t="shared" si="7"/>
        <v>--</v>
      </c>
      <c r="T39" s="782" t="str">
        <f t="shared" si="8"/>
        <v>--</v>
      </c>
      <c r="U39" s="783" t="str">
        <f t="shared" si="9"/>
        <v>--</v>
      </c>
      <c r="V39" s="784" t="str">
        <f t="shared" si="10"/>
        <v>--</v>
      </c>
      <c r="W39" s="785" t="str">
        <f t="shared" si="11"/>
        <v>--</v>
      </c>
      <c r="X39" s="786" t="str">
        <f t="shared" si="12"/>
        <v>--</v>
      </c>
      <c r="Y39" s="787" t="str">
        <f t="shared" si="13"/>
        <v>--</v>
      </c>
      <c r="Z39" s="788">
        <f t="shared" si="15"/>
      </c>
      <c r="AA39" s="57">
        <f t="shared" si="14"/>
      </c>
      <c r="AB39" s="3"/>
    </row>
    <row r="40" spans="2:28" ht="16.5" customHeight="1">
      <c r="B40" s="58"/>
      <c r="C40" s="569"/>
      <c r="D40" s="569"/>
      <c r="E40" s="569"/>
      <c r="F40" s="570"/>
      <c r="G40" s="571"/>
      <c r="H40" s="572"/>
      <c r="I40" s="306">
        <f t="shared" si="0"/>
        <v>17.4305</v>
      </c>
      <c r="J40" s="577"/>
      <c r="K40" s="577"/>
      <c r="L40" s="15">
        <f t="shared" si="1"/>
      </c>
      <c r="M40" s="16">
        <f t="shared" si="2"/>
      </c>
      <c r="N40" s="578"/>
      <c r="O40" s="777">
        <f t="shared" si="3"/>
      </c>
      <c r="P40" s="778" t="str">
        <f t="shared" si="4"/>
        <v>--</v>
      </c>
      <c r="Q40" s="779" t="str">
        <f t="shared" si="5"/>
        <v>--</v>
      </c>
      <c r="R40" s="780" t="str">
        <f t="shared" si="6"/>
        <v>--</v>
      </c>
      <c r="S40" s="781" t="str">
        <f t="shared" si="7"/>
        <v>--</v>
      </c>
      <c r="T40" s="782" t="str">
        <f t="shared" si="8"/>
        <v>--</v>
      </c>
      <c r="U40" s="783" t="str">
        <f t="shared" si="9"/>
        <v>--</v>
      </c>
      <c r="V40" s="784" t="str">
        <f t="shared" si="10"/>
        <v>--</v>
      </c>
      <c r="W40" s="785" t="str">
        <f t="shared" si="11"/>
        <v>--</v>
      </c>
      <c r="X40" s="786" t="str">
        <f t="shared" si="12"/>
        <v>--</v>
      </c>
      <c r="Y40" s="787" t="str">
        <f t="shared" si="13"/>
        <v>--</v>
      </c>
      <c r="Z40" s="788">
        <f t="shared" si="15"/>
      </c>
      <c r="AA40" s="57">
        <f t="shared" si="14"/>
      </c>
      <c r="AB40" s="3"/>
    </row>
    <row r="41" spans="2:28" ht="16.5" customHeight="1">
      <c r="B41" s="58"/>
      <c r="C41" s="569"/>
      <c r="D41" s="569"/>
      <c r="E41" s="569"/>
      <c r="F41" s="570"/>
      <c r="G41" s="571"/>
      <c r="H41" s="572"/>
      <c r="I41" s="306">
        <f t="shared" si="0"/>
        <v>17.4305</v>
      </c>
      <c r="J41" s="577"/>
      <c r="K41" s="577"/>
      <c r="L41" s="15">
        <f t="shared" si="1"/>
      </c>
      <c r="M41" s="16">
        <f t="shared" si="2"/>
      </c>
      <c r="N41" s="578"/>
      <c r="O41" s="777">
        <f t="shared" si="3"/>
      </c>
      <c r="P41" s="778" t="str">
        <f t="shared" si="4"/>
        <v>--</v>
      </c>
      <c r="Q41" s="779" t="str">
        <f t="shared" si="5"/>
        <v>--</v>
      </c>
      <c r="R41" s="780" t="str">
        <f t="shared" si="6"/>
        <v>--</v>
      </c>
      <c r="S41" s="781" t="str">
        <f t="shared" si="7"/>
        <v>--</v>
      </c>
      <c r="T41" s="782" t="str">
        <f t="shared" si="8"/>
        <v>--</v>
      </c>
      <c r="U41" s="783" t="str">
        <f t="shared" si="9"/>
        <v>--</v>
      </c>
      <c r="V41" s="784" t="str">
        <f t="shared" si="10"/>
        <v>--</v>
      </c>
      <c r="W41" s="785" t="str">
        <f t="shared" si="11"/>
        <v>--</v>
      </c>
      <c r="X41" s="786" t="str">
        <f t="shared" si="12"/>
        <v>--</v>
      </c>
      <c r="Y41" s="787" t="str">
        <f t="shared" si="13"/>
        <v>--</v>
      </c>
      <c r="Z41" s="788">
        <f t="shared" si="15"/>
      </c>
      <c r="AA41" s="57">
        <f t="shared" si="14"/>
      </c>
      <c r="AB41" s="3"/>
    </row>
    <row r="42" spans="1:28" ht="16.5" customHeight="1" thickBot="1">
      <c r="A42" s="1"/>
      <c r="B42" s="2"/>
      <c r="C42" s="573"/>
      <c r="D42" s="573"/>
      <c r="E42" s="573"/>
      <c r="F42" s="574"/>
      <c r="G42" s="575"/>
      <c r="H42" s="576"/>
      <c r="I42" s="307"/>
      <c r="J42" s="576"/>
      <c r="K42" s="576"/>
      <c r="L42" s="17"/>
      <c r="M42" s="17"/>
      <c r="N42" s="576"/>
      <c r="O42" s="579"/>
      <c r="P42" s="580"/>
      <c r="Q42" s="581"/>
      <c r="R42" s="582"/>
      <c r="S42" s="583"/>
      <c r="T42" s="584"/>
      <c r="U42" s="585"/>
      <c r="V42" s="586"/>
      <c r="W42" s="587"/>
      <c r="X42" s="588"/>
      <c r="Y42" s="589"/>
      <c r="Z42" s="590"/>
      <c r="AA42" s="59"/>
      <c r="AB42" s="3"/>
    </row>
    <row r="43" spans="1:28" ht="16.5" customHeight="1" thickBot="1" thickTop="1">
      <c r="A43" s="1"/>
      <c r="B43" s="2"/>
      <c r="C43" s="276" t="s">
        <v>70</v>
      </c>
      <c r="D43" s="888" t="s">
        <v>183</v>
      </c>
      <c r="E43" s="772"/>
      <c r="F43" s="277"/>
      <c r="G43" s="18"/>
      <c r="H43" s="19"/>
      <c r="I43" s="60"/>
      <c r="J43" s="60"/>
      <c r="K43" s="60"/>
      <c r="L43" s="60"/>
      <c r="M43" s="60"/>
      <c r="N43" s="60"/>
      <c r="O43" s="61"/>
      <c r="P43" s="366">
        <f aca="true" t="shared" si="16" ref="P43:Y43">ROUND(SUM(P20:P42),2)</f>
        <v>178.82</v>
      </c>
      <c r="Q43" s="367">
        <f t="shared" si="16"/>
        <v>0</v>
      </c>
      <c r="R43" s="368">
        <f t="shared" si="16"/>
        <v>0</v>
      </c>
      <c r="S43" s="368">
        <f t="shared" si="16"/>
        <v>0</v>
      </c>
      <c r="T43" s="369">
        <f t="shared" si="16"/>
        <v>0</v>
      </c>
      <c r="U43" s="370">
        <f t="shared" si="16"/>
        <v>0</v>
      </c>
      <c r="V43" s="370">
        <f t="shared" si="16"/>
        <v>0</v>
      </c>
      <c r="W43" s="371">
        <f t="shared" si="16"/>
        <v>0</v>
      </c>
      <c r="X43" s="372">
        <f t="shared" si="16"/>
        <v>0</v>
      </c>
      <c r="Y43" s="373">
        <f t="shared" si="16"/>
        <v>0</v>
      </c>
      <c r="Z43" s="62"/>
      <c r="AA43" s="776">
        <f>ROUND(SUM(AA20:AA42),2)</f>
        <v>178.82</v>
      </c>
      <c r="AB43" s="63"/>
    </row>
    <row r="44" spans="1:28" s="291" customFormat="1" ht="9.75" thickTop="1">
      <c r="A44" s="280"/>
      <c r="B44" s="281"/>
      <c r="C44" s="278"/>
      <c r="D44" s="278"/>
      <c r="E44" s="278"/>
      <c r="F44" s="279"/>
      <c r="G44" s="282"/>
      <c r="H44" s="283"/>
      <c r="I44" s="284"/>
      <c r="J44" s="284"/>
      <c r="K44" s="284"/>
      <c r="L44" s="284"/>
      <c r="M44" s="284"/>
      <c r="N44" s="284"/>
      <c r="O44" s="285"/>
      <c r="P44" s="286"/>
      <c r="Q44" s="286"/>
      <c r="R44" s="287"/>
      <c r="S44" s="287"/>
      <c r="T44" s="288"/>
      <c r="U44" s="288"/>
      <c r="V44" s="288"/>
      <c r="W44" s="288"/>
      <c r="X44" s="288"/>
      <c r="Y44" s="288"/>
      <c r="Z44" s="288"/>
      <c r="AA44" s="289"/>
      <c r="AB44" s="290"/>
    </row>
    <row r="45" spans="1:28" s="12" customFormat="1" ht="16.5" customHeight="1" thickBot="1">
      <c r="A45" s="10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48"/>
  <sheetViews>
    <sheetView zoomScale="70" zoomScaleNormal="70" workbookViewId="0" topLeftCell="A1">
      <selection activeCell="A28" sqref="A28"/>
    </sheetView>
  </sheetViews>
  <sheetFormatPr defaultColWidth="11.421875" defaultRowHeight="12.75"/>
  <cols>
    <col min="1" max="2" width="4.140625" style="702" customWidth="1"/>
    <col min="3" max="3" width="5.57421875" style="702" customWidth="1"/>
    <col min="4" max="5" width="13.7109375" style="702" customWidth="1"/>
    <col min="6" max="6" width="28.421875" style="702" customWidth="1"/>
    <col min="7" max="7" width="22.00390625" style="702" customWidth="1"/>
    <col min="8" max="8" width="7.7109375" style="702" customWidth="1"/>
    <col min="9" max="9" width="12.7109375" style="702" customWidth="1"/>
    <col min="10" max="10" width="11.8515625" style="702" hidden="1" customWidth="1"/>
    <col min="11" max="12" width="15.7109375" style="702" customWidth="1"/>
    <col min="13" max="15" width="9.7109375" style="702" customWidth="1"/>
    <col min="16" max="16" width="5.8515625" style="702" customWidth="1"/>
    <col min="17" max="18" width="7.00390625" style="702" customWidth="1"/>
    <col min="19" max="19" width="11.7109375" style="702" hidden="1" customWidth="1"/>
    <col min="20" max="21" width="14.00390625" style="702" hidden="1" customWidth="1"/>
    <col min="22" max="22" width="14.28125" style="702" hidden="1" customWidth="1"/>
    <col min="23" max="27" width="14.140625" style="702" hidden="1" customWidth="1"/>
    <col min="28" max="28" width="9.00390625" style="702" customWidth="1"/>
    <col min="29" max="29" width="15.7109375" style="702" customWidth="1"/>
    <col min="30" max="30" width="4.140625" style="702" customWidth="1"/>
    <col min="31" max="16384" width="11.421875" style="702" customWidth="1"/>
  </cols>
  <sheetData>
    <row r="1" spans="1:30" s="608" customFormat="1" ht="26.25">
      <c r="A1" s="125"/>
      <c r="B1" s="125"/>
      <c r="C1" s="125"/>
      <c r="D1" s="125"/>
      <c r="E1" s="125"/>
      <c r="F1" s="125"/>
      <c r="G1" s="125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7"/>
    </row>
    <row r="2" spans="1:30" s="608" customFormat="1" ht="26.25">
      <c r="A2" s="125"/>
      <c r="B2" s="126" t="str">
        <f>+'TOT-0410'!B2</f>
        <v>ANEXO IV al Memorandum  D.T.E.E.  N°   456 /2011 </v>
      </c>
      <c r="C2" s="127"/>
      <c r="D2" s="127"/>
      <c r="E2" s="127"/>
      <c r="F2" s="127"/>
      <c r="G2" s="127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</row>
    <row r="3" spans="1:30" s="611" customFormat="1" ht="12.75">
      <c r="A3" s="12"/>
      <c r="B3" s="12"/>
      <c r="C3" s="12"/>
      <c r="D3" s="12"/>
      <c r="E3" s="12"/>
      <c r="F3" s="12"/>
      <c r="G3" s="12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</row>
    <row r="4" spans="1:30" s="613" customFormat="1" ht="11.25">
      <c r="A4" s="775" t="s">
        <v>21</v>
      </c>
      <c r="B4" s="128"/>
      <c r="C4" s="774"/>
      <c r="D4" s="774"/>
      <c r="E4" s="774"/>
      <c r="F4" s="128"/>
      <c r="G4" s="128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</row>
    <row r="5" spans="1:30" s="613" customFormat="1" ht="11.25">
      <c r="A5" s="775" t="s">
        <v>150</v>
      </c>
      <c r="B5" s="128"/>
      <c r="C5" s="774"/>
      <c r="D5" s="774"/>
      <c r="E5" s="774"/>
      <c r="F5" s="128"/>
      <c r="G5" s="128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  <c r="X5" s="612"/>
      <c r="Y5" s="612"/>
      <c r="Z5" s="612"/>
      <c r="AA5" s="612"/>
      <c r="AB5" s="612"/>
      <c r="AC5" s="612"/>
      <c r="AD5" s="612"/>
    </row>
    <row r="6" spans="1:30" s="611" customFormat="1" ht="13.5" thickBot="1">
      <c r="A6" s="610"/>
      <c r="B6" s="610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0"/>
      <c r="AD6" s="610"/>
    </row>
    <row r="7" spans="1:30" s="611" customFormat="1" ht="13.5" thickTop="1">
      <c r="A7" s="610"/>
      <c r="B7" s="614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6"/>
    </row>
    <row r="8" spans="1:30" s="620" customFormat="1" ht="20.25">
      <c r="A8" s="617"/>
      <c r="B8" s="618"/>
      <c r="C8" s="209"/>
      <c r="D8" s="209"/>
      <c r="E8" s="209"/>
      <c r="F8" s="619" t="s">
        <v>46</v>
      </c>
      <c r="H8" s="209"/>
      <c r="I8" s="617"/>
      <c r="J8" s="617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621"/>
    </row>
    <row r="9" spans="1:30" s="611" customFormat="1" ht="12.75">
      <c r="A9" s="610"/>
      <c r="B9" s="622"/>
      <c r="C9" s="196"/>
      <c r="D9" s="196"/>
      <c r="E9" s="196"/>
      <c r="F9" s="196"/>
      <c r="G9" s="196"/>
      <c r="H9" s="196"/>
      <c r="I9" s="610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623"/>
    </row>
    <row r="10" spans="1:30" s="620" customFormat="1" ht="20.25">
      <c r="A10" s="617"/>
      <c r="B10" s="618"/>
      <c r="C10" s="209"/>
      <c r="D10" s="209"/>
      <c r="E10" s="209"/>
      <c r="F10" s="619" t="s">
        <v>71</v>
      </c>
      <c r="G10" s="209"/>
      <c r="H10" s="209"/>
      <c r="I10" s="617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621"/>
    </row>
    <row r="11" spans="1:30" s="611" customFormat="1" ht="12.75">
      <c r="A11" s="610"/>
      <c r="B11" s="622"/>
      <c r="C11" s="196"/>
      <c r="D11" s="196"/>
      <c r="E11" s="196"/>
      <c r="F11" s="624"/>
      <c r="G11" s="196"/>
      <c r="H11" s="196"/>
      <c r="I11" s="610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623"/>
    </row>
    <row r="12" spans="1:30" s="620" customFormat="1" ht="20.25">
      <c r="A12" s="617"/>
      <c r="B12" s="618"/>
      <c r="C12" s="209"/>
      <c r="D12" s="209"/>
      <c r="E12" s="209"/>
      <c r="F12" s="619" t="s">
        <v>72</v>
      </c>
      <c r="G12" s="625"/>
      <c r="H12" s="617"/>
      <c r="I12" s="617"/>
      <c r="J12" s="209"/>
      <c r="K12" s="209"/>
      <c r="L12" s="617"/>
      <c r="M12" s="617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621"/>
    </row>
    <row r="13" spans="1:30" s="611" customFormat="1" ht="12.75">
      <c r="A13" s="610"/>
      <c r="B13" s="622"/>
      <c r="C13" s="196"/>
      <c r="D13" s="196"/>
      <c r="E13" s="196"/>
      <c r="F13" s="626"/>
      <c r="G13" s="627"/>
      <c r="H13" s="610"/>
      <c r="I13" s="610"/>
      <c r="J13" s="196"/>
      <c r="K13" s="196"/>
      <c r="L13" s="610"/>
      <c r="M13" s="610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623"/>
    </row>
    <row r="14" spans="1:30" s="620" customFormat="1" ht="20.25">
      <c r="A14" s="617"/>
      <c r="B14" s="618"/>
      <c r="C14" s="209"/>
      <c r="D14" s="209"/>
      <c r="E14" s="209"/>
      <c r="F14" s="619" t="s">
        <v>73</v>
      </c>
      <c r="G14" s="210"/>
      <c r="H14" s="210"/>
      <c r="I14" s="211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621"/>
    </row>
    <row r="15" spans="1:30" s="611" customFormat="1" ht="12.75">
      <c r="A15" s="610"/>
      <c r="B15" s="622"/>
      <c r="C15" s="196"/>
      <c r="D15" s="196"/>
      <c r="E15" s="196"/>
      <c r="F15" s="628"/>
      <c r="G15" s="197"/>
      <c r="H15" s="197"/>
      <c r="I15" s="198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623"/>
    </row>
    <row r="16" spans="1:30" s="634" customFormat="1" ht="19.5">
      <c r="A16" s="629"/>
      <c r="B16" s="103" t="str">
        <f>+'TOT-0410'!B14</f>
        <v>Desde el 01 al 30 de abril de 2010</v>
      </c>
      <c r="C16" s="630"/>
      <c r="D16" s="630"/>
      <c r="E16" s="630"/>
      <c r="F16" s="630"/>
      <c r="G16" s="630"/>
      <c r="H16" s="630"/>
      <c r="I16" s="631"/>
      <c r="J16" s="630"/>
      <c r="K16" s="632"/>
      <c r="L16" s="632"/>
      <c r="M16" s="630"/>
      <c r="N16" s="630"/>
      <c r="O16" s="630"/>
      <c r="P16" s="630"/>
      <c r="Q16" s="630"/>
      <c r="R16" s="630"/>
      <c r="S16" s="630"/>
      <c r="T16" s="630"/>
      <c r="U16" s="630"/>
      <c r="V16" s="630"/>
      <c r="W16" s="630"/>
      <c r="X16" s="630"/>
      <c r="Y16" s="630"/>
      <c r="Z16" s="630"/>
      <c r="AA16" s="630"/>
      <c r="AB16" s="630"/>
      <c r="AC16" s="630"/>
      <c r="AD16" s="633"/>
    </row>
    <row r="17" spans="1:30" s="611" customFormat="1" ht="14.25" thickBot="1">
      <c r="A17" s="610"/>
      <c r="B17" s="622"/>
      <c r="C17" s="196"/>
      <c r="D17" s="196"/>
      <c r="E17" s="196"/>
      <c r="F17" s="196"/>
      <c r="G17" s="196"/>
      <c r="H17" s="196"/>
      <c r="I17" s="39"/>
      <c r="J17" s="196"/>
      <c r="K17" s="635"/>
      <c r="L17" s="63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623"/>
    </row>
    <row r="18" spans="1:30" s="611" customFormat="1" ht="16.5" customHeight="1" thickBot="1" thickTop="1">
      <c r="A18" s="610"/>
      <c r="B18" s="622"/>
      <c r="C18" s="196"/>
      <c r="D18" s="196"/>
      <c r="E18" s="196"/>
      <c r="F18" s="216" t="s">
        <v>74</v>
      </c>
      <c r="G18" s="217"/>
      <c r="H18" s="637"/>
      <c r="I18" s="638">
        <v>0.243</v>
      </c>
      <c r="J18" s="610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623"/>
    </row>
    <row r="19" spans="1:30" s="611" customFormat="1" ht="16.5" customHeight="1" thickBot="1" thickTop="1">
      <c r="A19" s="610"/>
      <c r="B19" s="622"/>
      <c r="C19" s="196"/>
      <c r="D19" s="196"/>
      <c r="E19" s="196"/>
      <c r="F19" s="220" t="s">
        <v>75</v>
      </c>
      <c r="G19" s="221"/>
      <c r="H19" s="221"/>
      <c r="I19" s="222">
        <v>30</v>
      </c>
      <c r="J19" s="196"/>
      <c r="K19" s="271" t="str">
        <f>IF(I19=30," ",IF(I19=60,"Coeficiente duplicado por tasa de falla &gt;4 Sal. x año/100 km.","REVISAR COEFICIENTE"))</f>
        <v> </v>
      </c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639"/>
      <c r="X19" s="639"/>
      <c r="Y19" s="639"/>
      <c r="Z19" s="639"/>
      <c r="AA19" s="639"/>
      <c r="AB19" s="639"/>
      <c r="AC19" s="639"/>
      <c r="AD19" s="623"/>
    </row>
    <row r="20" spans="1:30" s="808" customFormat="1" ht="16.5" customHeight="1" thickBot="1" thickTop="1">
      <c r="A20" s="804"/>
      <c r="B20" s="805"/>
      <c r="C20" s="806">
        <v>3</v>
      </c>
      <c r="D20" s="806">
        <v>4</v>
      </c>
      <c r="E20" s="806">
        <v>5</v>
      </c>
      <c r="F20" s="806">
        <v>6</v>
      </c>
      <c r="G20" s="806">
        <v>7</v>
      </c>
      <c r="H20" s="806">
        <v>8</v>
      </c>
      <c r="I20" s="806">
        <v>9</v>
      </c>
      <c r="J20" s="806">
        <v>10</v>
      </c>
      <c r="K20" s="806">
        <v>11</v>
      </c>
      <c r="L20" s="806">
        <v>12</v>
      </c>
      <c r="M20" s="806">
        <v>13</v>
      </c>
      <c r="N20" s="806">
        <v>14</v>
      </c>
      <c r="O20" s="806">
        <v>15</v>
      </c>
      <c r="P20" s="806">
        <v>16</v>
      </c>
      <c r="Q20" s="806">
        <v>17</v>
      </c>
      <c r="R20" s="806">
        <v>18</v>
      </c>
      <c r="S20" s="806">
        <v>19</v>
      </c>
      <c r="T20" s="806">
        <v>20</v>
      </c>
      <c r="U20" s="806">
        <v>21</v>
      </c>
      <c r="V20" s="806">
        <v>22</v>
      </c>
      <c r="W20" s="806">
        <v>23</v>
      </c>
      <c r="X20" s="806">
        <v>24</v>
      </c>
      <c r="Y20" s="806">
        <v>25</v>
      </c>
      <c r="Z20" s="806">
        <v>26</v>
      </c>
      <c r="AA20" s="806">
        <v>27</v>
      </c>
      <c r="AB20" s="806">
        <v>28</v>
      </c>
      <c r="AC20" s="806">
        <v>29</v>
      </c>
      <c r="AD20" s="807"/>
    </row>
    <row r="21" spans="1:30" s="649" customFormat="1" ht="33.75" customHeight="1" thickBot="1" thickTop="1">
      <c r="A21" s="640"/>
      <c r="B21" s="641"/>
      <c r="C21" s="232" t="s">
        <v>52</v>
      </c>
      <c r="D21" s="117" t="s">
        <v>149</v>
      </c>
      <c r="E21" s="117" t="s">
        <v>148</v>
      </c>
      <c r="F21" s="231" t="s">
        <v>76</v>
      </c>
      <c r="G21" s="227" t="s">
        <v>19</v>
      </c>
      <c r="H21" s="228" t="s">
        <v>77</v>
      </c>
      <c r="I21" s="231" t="s">
        <v>53</v>
      </c>
      <c r="J21" s="303" t="s">
        <v>55</v>
      </c>
      <c r="K21" s="230" t="s">
        <v>78</v>
      </c>
      <c r="L21" s="230" t="s">
        <v>79</v>
      </c>
      <c r="M21" s="231" t="s">
        <v>80</v>
      </c>
      <c r="N21" s="231" t="s">
        <v>81</v>
      </c>
      <c r="O21" s="121" t="s">
        <v>60</v>
      </c>
      <c r="P21" s="232" t="s">
        <v>82</v>
      </c>
      <c r="Q21" s="231" t="s">
        <v>83</v>
      </c>
      <c r="R21" s="227" t="s">
        <v>84</v>
      </c>
      <c r="S21" s="374" t="s">
        <v>85</v>
      </c>
      <c r="T21" s="642" t="s">
        <v>62</v>
      </c>
      <c r="U21" s="643" t="s">
        <v>63</v>
      </c>
      <c r="V21" s="390" t="s">
        <v>86</v>
      </c>
      <c r="W21" s="644"/>
      <c r="X21" s="399" t="s">
        <v>86</v>
      </c>
      <c r="Y21" s="645"/>
      <c r="Z21" s="646" t="s">
        <v>66</v>
      </c>
      <c r="AA21" s="647" t="s">
        <v>67</v>
      </c>
      <c r="AB21" s="231" t="s">
        <v>68</v>
      </c>
      <c r="AC21" s="231" t="s">
        <v>69</v>
      </c>
      <c r="AD21" s="648"/>
    </row>
    <row r="22" spans="1:30" s="611" customFormat="1" ht="16.5" customHeight="1" thickTop="1">
      <c r="A22" s="610"/>
      <c r="B22" s="622"/>
      <c r="C22" s="650"/>
      <c r="D22" s="650"/>
      <c r="E22" s="650"/>
      <c r="F22" s="651"/>
      <c r="G22" s="652"/>
      <c r="H22" s="652"/>
      <c r="I22" s="652"/>
      <c r="J22" s="653"/>
      <c r="K22" s="651"/>
      <c r="L22" s="652"/>
      <c r="M22" s="651"/>
      <c r="N22" s="651"/>
      <c r="O22" s="652"/>
      <c r="P22" s="652"/>
      <c r="Q22" s="652"/>
      <c r="R22" s="652"/>
      <c r="S22" s="654"/>
      <c r="T22" s="655"/>
      <c r="U22" s="656"/>
      <c r="V22" s="657"/>
      <c r="W22" s="658"/>
      <c r="X22" s="659"/>
      <c r="Y22" s="660"/>
      <c r="Z22" s="661"/>
      <c r="AA22" s="662"/>
      <c r="AB22" s="652"/>
      <c r="AC22" s="663"/>
      <c r="AD22" s="623"/>
    </row>
    <row r="23" spans="1:30" s="611" customFormat="1" ht="16.5" customHeight="1">
      <c r="A23" s="610"/>
      <c r="B23" s="622"/>
      <c r="C23" s="650"/>
      <c r="D23" s="650"/>
      <c r="E23" s="650"/>
      <c r="F23" s="664"/>
      <c r="G23" s="664"/>
      <c r="H23" s="664"/>
      <c r="I23" s="664"/>
      <c r="J23" s="665"/>
      <c r="K23" s="666"/>
      <c r="L23" s="664"/>
      <c r="M23" s="666"/>
      <c r="N23" s="666"/>
      <c r="O23" s="664"/>
      <c r="P23" s="664"/>
      <c r="Q23" s="664"/>
      <c r="R23" s="664"/>
      <c r="S23" s="667"/>
      <c r="T23" s="668"/>
      <c r="U23" s="669"/>
      <c r="V23" s="670"/>
      <c r="W23" s="671"/>
      <c r="X23" s="672"/>
      <c r="Y23" s="673"/>
      <c r="Z23" s="674"/>
      <c r="AA23" s="675"/>
      <c r="AB23" s="664"/>
      <c r="AC23" s="676"/>
      <c r="AD23" s="623"/>
    </row>
    <row r="24" spans="1:30" s="611" customFormat="1" ht="16.5" customHeight="1">
      <c r="A24" s="610"/>
      <c r="B24" s="622"/>
      <c r="C24" s="814">
        <v>6</v>
      </c>
      <c r="D24" s="814">
        <v>220594</v>
      </c>
      <c r="E24" s="814">
        <v>1811</v>
      </c>
      <c r="F24" s="814" t="s">
        <v>162</v>
      </c>
      <c r="G24" s="814" t="s">
        <v>164</v>
      </c>
      <c r="H24" s="815">
        <v>15</v>
      </c>
      <c r="I24" s="768" t="s">
        <v>161</v>
      </c>
      <c r="J24" s="306">
        <f>H24*$I$18</f>
        <v>3.645</v>
      </c>
      <c r="K24" s="709">
        <v>40276.375</v>
      </c>
      <c r="L24" s="709">
        <v>40276.41180555556</v>
      </c>
      <c r="M24" s="28">
        <f>IF(F24="","",(L24-K24)*24)</f>
        <v>0.8833333334187046</v>
      </c>
      <c r="N24" s="29">
        <f>IF(F24="","",ROUND((L24-K24)*24*60,0))</f>
        <v>53</v>
      </c>
      <c r="O24" s="814" t="s">
        <v>155</v>
      </c>
      <c r="P24" s="27" t="str">
        <f>IF(F24="","",IF(OR(O24="P",O24="RP"),"--","NO"))</f>
        <v>--</v>
      </c>
      <c r="Q24" s="789" t="str">
        <f>IF(F24="","","--")</f>
        <v>--</v>
      </c>
      <c r="R24" s="27" t="s">
        <v>169</v>
      </c>
      <c r="S24" s="377">
        <f>$I$19*IF(OR(O24="P",O24="RP"),0.1,1)*IF(R24="SI",1,0.1)</f>
        <v>0.30000000000000004</v>
      </c>
      <c r="T24" s="790">
        <f>IF(O24="P",J24*S24*ROUND(N24/60,2),"--")</f>
        <v>0.9622800000000001</v>
      </c>
      <c r="U24" s="791" t="str">
        <f>IF(O24="RP",J24*S24*ROUND(N24/60,2)*Q24/100,"--")</f>
        <v>--</v>
      </c>
      <c r="V24" s="396" t="str">
        <f>IF(AND(O24="F",P24="NO"),J24*S24,"--")</f>
        <v>--</v>
      </c>
      <c r="W24" s="397" t="str">
        <f>IF(O24="F",J24*S24*ROUND(N24/60,2),"--")</f>
        <v>--</v>
      </c>
      <c r="X24" s="405" t="str">
        <f>IF(AND(O24="R",P24="NO"),J24*S24*Q24/100,"--")</f>
        <v>--</v>
      </c>
      <c r="Y24" s="406" t="str">
        <f>IF(O24="R",J24*S24*ROUND(N24/60,2)*Q24/100,"--")</f>
        <v>--</v>
      </c>
      <c r="Z24" s="411" t="str">
        <f>IF(O24="RF",J24*S24*ROUND(N24/60,2),"--")</f>
        <v>--</v>
      </c>
      <c r="AA24" s="417" t="str">
        <f>IF(O24="RR",J24*S24*ROUND(N24/60,2)*Q24/100,"--")</f>
        <v>--</v>
      </c>
      <c r="AB24" s="27" t="s">
        <v>156</v>
      </c>
      <c r="AC24" s="677">
        <f>IF(F24="","",SUM(T24:AA24)*IF(AB24="SI",1,2))</f>
        <v>0.9622800000000001</v>
      </c>
      <c r="AD24" s="678"/>
    </row>
    <row r="25" spans="1:30" s="611" customFormat="1" ht="16.5" customHeight="1">
      <c r="A25" s="610"/>
      <c r="B25" s="622"/>
      <c r="C25" s="705">
        <v>7</v>
      </c>
      <c r="D25" s="705">
        <v>221261</v>
      </c>
      <c r="E25" s="705">
        <v>1788</v>
      </c>
      <c r="F25" s="570" t="s">
        <v>159</v>
      </c>
      <c r="G25" s="569" t="s">
        <v>160</v>
      </c>
      <c r="H25" s="706">
        <v>30</v>
      </c>
      <c r="I25" s="768" t="s">
        <v>161</v>
      </c>
      <c r="J25" s="306">
        <f>H25*$I$18</f>
        <v>7.29</v>
      </c>
      <c r="K25" s="709">
        <v>40288.583333333336</v>
      </c>
      <c r="L25" s="709">
        <v>40288.58611111111</v>
      </c>
      <c r="M25" s="28">
        <f>IF(F25="","",(L25-K25)*24)</f>
        <v>0.0666666665347293</v>
      </c>
      <c r="N25" s="29">
        <f>IF(F25="","",ROUND((L25-K25)*24*60,0))</f>
        <v>4</v>
      </c>
      <c r="O25" s="710" t="s">
        <v>158</v>
      </c>
      <c r="P25" s="27" t="str">
        <f>IF(F25="","",IF(OR(O25="P",O25="RP"),"--","NO"))</f>
        <v>NO</v>
      </c>
      <c r="Q25" s="789" t="str">
        <f>IF(F25="","","--")</f>
        <v>--</v>
      </c>
      <c r="R25" s="27" t="s">
        <v>156</v>
      </c>
      <c r="S25" s="377">
        <f>$I$19*IF(OR(O25="P",O25="RP"),0.1,1)*IF(R25="SI",1,0.1)</f>
        <v>30</v>
      </c>
      <c r="T25" s="790" t="str">
        <f>IF(O25="P",J25*S25*ROUND(N25/60,2),"--")</f>
        <v>--</v>
      </c>
      <c r="U25" s="791" t="str">
        <f>IF(O25="RP",J25*S25*ROUND(N25/60,2)*Q25/100,"--")</f>
        <v>--</v>
      </c>
      <c r="V25" s="396">
        <f>IF(AND(O25="F",P25="NO"),J25*S25,"--")</f>
        <v>218.7</v>
      </c>
      <c r="W25" s="397">
        <f>IF(O25="F",J25*S25*ROUND(N25/60,2),"--")</f>
        <v>15.309000000000001</v>
      </c>
      <c r="X25" s="405" t="str">
        <f>IF(AND(O25="R",P25="NO"),J25*S25*Q25/100,"--")</f>
        <v>--</v>
      </c>
      <c r="Y25" s="406" t="str">
        <f>IF(O25="R",J25*S25*ROUND(N25/60,2)*Q25/100,"--")</f>
        <v>--</v>
      </c>
      <c r="Z25" s="411" t="str">
        <f>IF(O25="RF",J25*S25*ROUND(N25/60,2),"--")</f>
        <v>--</v>
      </c>
      <c r="AA25" s="417" t="str">
        <f>IF(O25="RR",J25*S25*ROUND(N25/60,2)*Q25/100,"--")</f>
        <v>--</v>
      </c>
      <c r="AB25" s="27" t="s">
        <v>156</v>
      </c>
      <c r="AC25" s="677">
        <f>IF(F25="","",SUM(T25:AA25)*IF(AB25="SI",1,2))</f>
        <v>234.009</v>
      </c>
      <c r="AD25" s="678"/>
    </row>
    <row r="26" spans="1:30" s="611" customFormat="1" ht="16.5" customHeight="1">
      <c r="A26" s="610"/>
      <c r="B26" s="622"/>
      <c r="C26" s="705">
        <v>8</v>
      </c>
      <c r="D26" s="705">
        <v>221418</v>
      </c>
      <c r="E26" s="705">
        <v>1809</v>
      </c>
      <c r="F26" s="570" t="s">
        <v>162</v>
      </c>
      <c r="G26" s="569" t="s">
        <v>163</v>
      </c>
      <c r="H26" s="706">
        <v>30</v>
      </c>
      <c r="I26" s="768" t="s">
        <v>161</v>
      </c>
      <c r="J26" s="306">
        <f>H26*$I$18</f>
        <v>7.29</v>
      </c>
      <c r="K26" s="709">
        <v>40297.611805555556</v>
      </c>
      <c r="L26" s="709">
        <v>40297.638194444444</v>
      </c>
      <c r="M26" s="28">
        <f>IF(F26="","",(L26-K26)*24)</f>
        <v>0.6333333333022892</v>
      </c>
      <c r="N26" s="29">
        <f>IF(F26="","",ROUND((L26-K26)*24*60,0))</f>
        <v>38</v>
      </c>
      <c r="O26" s="710" t="s">
        <v>158</v>
      </c>
      <c r="P26" s="27" t="str">
        <f>IF(F26="","",IF(OR(O26="P",O26="RP"),"--","NO"))</f>
        <v>NO</v>
      </c>
      <c r="Q26" s="789" t="str">
        <f>IF(F26="","","--")</f>
        <v>--</v>
      </c>
      <c r="R26" s="27" t="str">
        <f>IF(F26="","","NO")</f>
        <v>NO</v>
      </c>
      <c r="S26" s="377">
        <f>$I$19*IF(OR(O26="P",O26="RP"),0.1,1)*IF(R26="SI",1,0.1)</f>
        <v>3</v>
      </c>
      <c r="T26" s="790" t="str">
        <f>IF(O26="P",J26*S26*ROUND(N26/60,2),"--")</f>
        <v>--</v>
      </c>
      <c r="U26" s="791" t="str">
        <f>IF(O26="RP",J26*S26*ROUND(N26/60,2)*Q26/100,"--")</f>
        <v>--</v>
      </c>
      <c r="V26" s="396">
        <f>IF(AND(O26="F",P26="NO"),J26*S26,"--")</f>
        <v>21.87</v>
      </c>
      <c r="W26" s="397">
        <f>IF(O26="F",J26*S26*ROUND(N26/60,2),"--")</f>
        <v>13.7781</v>
      </c>
      <c r="X26" s="405" t="str">
        <f>IF(AND(O26="R",P26="NO"),J26*S26*Q26/100,"--")</f>
        <v>--</v>
      </c>
      <c r="Y26" s="406" t="str">
        <f>IF(O26="R",J26*S26*ROUND(N26/60,2)*Q26/100,"--")</f>
        <v>--</v>
      </c>
      <c r="Z26" s="411" t="str">
        <f>IF(O26="RF",J26*S26*ROUND(N26/60,2),"--")</f>
        <v>--</v>
      </c>
      <c r="AA26" s="417" t="str">
        <f>IF(O26="RR",J26*S26*ROUND(N26/60,2)*Q26/100,"--")</f>
        <v>--</v>
      </c>
      <c r="AB26" s="27" t="s">
        <v>156</v>
      </c>
      <c r="AC26" s="677">
        <f>IF(F26="","",SUM(T26:AA26)*IF(AB26="SI",1,2))</f>
        <v>35.6481</v>
      </c>
      <c r="AD26" s="678"/>
    </row>
    <row r="27" spans="1:30" s="611" customFormat="1" ht="16.5" customHeight="1">
      <c r="A27" s="610"/>
      <c r="B27" s="622"/>
      <c r="C27" s="705">
        <v>9</v>
      </c>
      <c r="D27" s="705">
        <v>221419</v>
      </c>
      <c r="E27" s="705">
        <v>1811</v>
      </c>
      <c r="F27" s="570" t="s">
        <v>162</v>
      </c>
      <c r="G27" s="569" t="s">
        <v>164</v>
      </c>
      <c r="H27" s="706">
        <v>15</v>
      </c>
      <c r="I27" s="768" t="s">
        <v>161</v>
      </c>
      <c r="J27" s="306">
        <f>H27*$I$18</f>
        <v>3.645</v>
      </c>
      <c r="K27" s="709">
        <v>40298.36944444444</v>
      </c>
      <c r="L27" s="709">
        <v>40298.4875</v>
      </c>
      <c r="M27" s="28">
        <f>IF(F27="","",(L27-K27)*24)</f>
        <v>2.8333333334885538</v>
      </c>
      <c r="N27" s="29">
        <f>IF(F27="","",ROUND((L27-K27)*24*60,0))</f>
        <v>170</v>
      </c>
      <c r="O27" s="710" t="s">
        <v>155</v>
      </c>
      <c r="P27" s="27" t="str">
        <f>IF(F27="","",IF(OR(O27="P",O27="RP"),"--","NO"))</f>
        <v>--</v>
      </c>
      <c r="Q27" s="789" t="str">
        <f>IF(F27="","","--")</f>
        <v>--</v>
      </c>
      <c r="R27" s="27" t="str">
        <f>IF(F27="","","NO")</f>
        <v>NO</v>
      </c>
      <c r="S27" s="377">
        <f>$I$19*IF(OR(O27="P",O27="RP"),0.1,1)*IF(R27="SI",1,0.1)</f>
        <v>0.30000000000000004</v>
      </c>
      <c r="T27" s="790">
        <f>IF(O27="P",J27*S27*ROUND(N27/60,2),"--")</f>
        <v>3.0946050000000005</v>
      </c>
      <c r="U27" s="791" t="str">
        <f>IF(O27="RP",J27*S27*ROUND(N27/60,2)*Q27/100,"--")</f>
        <v>--</v>
      </c>
      <c r="V27" s="396" t="str">
        <f>IF(AND(O27="F",P27="NO"),J27*S27,"--")</f>
        <v>--</v>
      </c>
      <c r="W27" s="397" t="str">
        <f>IF(O27="F",J27*S27*ROUND(N27/60,2),"--")</f>
        <v>--</v>
      </c>
      <c r="X27" s="405" t="str">
        <f>IF(AND(O27="R",P27="NO"),J27*S27*Q27/100,"--")</f>
        <v>--</v>
      </c>
      <c r="Y27" s="406" t="str">
        <f>IF(O27="R",J27*S27*ROUND(N27/60,2)*Q27/100,"--")</f>
        <v>--</v>
      </c>
      <c r="Z27" s="411" t="str">
        <f>IF(O27="RF",J27*S27*ROUND(N27/60,2),"--")</f>
        <v>--</v>
      </c>
      <c r="AA27" s="417" t="str">
        <f>IF(O27="RR",J27*S27*ROUND(N27/60,2)*Q27/100,"--")</f>
        <v>--</v>
      </c>
      <c r="AB27" s="27" t="s">
        <v>156</v>
      </c>
      <c r="AC27" s="677">
        <f>IF(F27="","",SUM(T27:AA27)*IF(AB27="SI",1,2))</f>
        <v>3.0946050000000005</v>
      </c>
      <c r="AD27" s="678"/>
    </row>
    <row r="28" spans="1:30" s="611" customFormat="1" ht="16.5" customHeight="1">
      <c r="A28" s="610"/>
      <c r="B28" s="622"/>
      <c r="C28" s="705"/>
      <c r="D28" s="705"/>
      <c r="E28" s="705"/>
      <c r="F28" s="570"/>
      <c r="G28" s="569"/>
      <c r="H28" s="706"/>
      <c r="I28" s="707"/>
      <c r="J28" s="306">
        <f>H28*$I$18</f>
        <v>0</v>
      </c>
      <c r="K28" s="709"/>
      <c r="L28" s="709"/>
      <c r="M28" s="28">
        <f>IF(F28="","",(L28-K28)*24)</f>
      </c>
      <c r="N28" s="29">
        <f>IF(F28="","",ROUND((L28-K28)*24*60,0))</f>
      </c>
      <c r="O28" s="710"/>
      <c r="P28" s="27">
        <f>IF(F28="","",IF(OR(O28="P",O28="RP"),"--","NO"))</f>
      </c>
      <c r="Q28" s="789">
        <f>IF(F28="","","--")</f>
      </c>
      <c r="R28" s="27">
        <f>IF(F28="","","NO")</f>
      </c>
      <c r="S28" s="377">
        <f>$I$19*IF(OR(O28="P",O28="RP"),0.1,1)*IF(R28="SI",1,0.1)</f>
        <v>3</v>
      </c>
      <c r="T28" s="790" t="str">
        <f>IF(O28="P",J28*S28*ROUND(N28/60,2),"--")</f>
        <v>--</v>
      </c>
      <c r="U28" s="791" t="str">
        <f>IF(O28="RP",J28*S28*ROUND(N28/60,2)*Q28/100,"--")</f>
        <v>--</v>
      </c>
      <c r="V28" s="396" t="str">
        <f>IF(AND(O28="F",P28="NO"),J28*S28,"--")</f>
        <v>--</v>
      </c>
      <c r="W28" s="397" t="str">
        <f>IF(O28="F",J28*S28*ROUND(N28/60,2),"--")</f>
        <v>--</v>
      </c>
      <c r="X28" s="405" t="str">
        <f>IF(AND(O28="R",P28="NO"),J28*S28*Q28/100,"--")</f>
        <v>--</v>
      </c>
      <c r="Y28" s="406" t="str">
        <f>IF(O28="R",J28*S28*ROUND(N28/60,2)*Q28/100,"--")</f>
        <v>--</v>
      </c>
      <c r="Z28" s="411" t="str">
        <f>IF(O28="RF",J28*S28*ROUND(N28/60,2),"--")</f>
        <v>--</v>
      </c>
      <c r="AA28" s="417" t="str">
        <f>IF(O28="RR",J28*S28*ROUND(N28/60,2)*Q28/100,"--")</f>
        <v>--</v>
      </c>
      <c r="AB28" s="27">
        <f>IF(F28="","","SI")</f>
      </c>
      <c r="AC28" s="677">
        <f>IF(F28="","",SUM(T28:AA28)*IF(AB28="SI",1,2))</f>
      </c>
      <c r="AD28" s="678"/>
    </row>
    <row r="29" spans="1:30" s="611" customFormat="1" ht="16.5" customHeight="1">
      <c r="A29" s="610"/>
      <c r="B29" s="622"/>
      <c r="C29" s="705"/>
      <c r="D29" s="705"/>
      <c r="E29" s="705"/>
      <c r="F29" s="570"/>
      <c r="G29" s="569"/>
      <c r="H29" s="706"/>
      <c r="I29" s="707"/>
      <c r="J29" s="306">
        <f aca="true" t="shared" si="0" ref="J29:J43">H29*$I$18</f>
        <v>0</v>
      </c>
      <c r="K29" s="709"/>
      <c r="L29" s="709"/>
      <c r="M29" s="28">
        <f aca="true" t="shared" si="1" ref="M29:M43">IF(F29="","",(L29-K29)*24)</f>
      </c>
      <c r="N29" s="29">
        <f aca="true" t="shared" si="2" ref="N29:N43">IF(F29="","",ROUND((L29-K29)*24*60,0))</f>
      </c>
      <c r="O29" s="710"/>
      <c r="P29" s="27">
        <f aca="true" t="shared" si="3" ref="P29:P43">IF(F29="","",IF(OR(O29="P",O29="RP"),"--","NO"))</f>
      </c>
      <c r="Q29" s="789">
        <f aca="true" t="shared" si="4" ref="Q29:Q43">IF(F29="","","--")</f>
      </c>
      <c r="R29" s="27">
        <f aca="true" t="shared" si="5" ref="R29:R43">IF(F29="","","NO")</f>
      </c>
      <c r="S29" s="377">
        <f aca="true" t="shared" si="6" ref="S29:S43">$I$19*IF(OR(O29="P",O29="RP"),0.1,1)*IF(R29="SI",1,0.1)</f>
        <v>3</v>
      </c>
      <c r="T29" s="790" t="str">
        <f aca="true" t="shared" si="7" ref="T29:T43">IF(O29="P",J29*S29*ROUND(N29/60,2),"--")</f>
        <v>--</v>
      </c>
      <c r="U29" s="791" t="str">
        <f aca="true" t="shared" si="8" ref="U29:U43">IF(O29="RP",J29*S29*ROUND(N29/60,2)*Q29/100,"--")</f>
        <v>--</v>
      </c>
      <c r="V29" s="396" t="str">
        <f aca="true" t="shared" si="9" ref="V29:V43">IF(AND(O29="F",P29="NO"),J29*S29,"--")</f>
        <v>--</v>
      </c>
      <c r="W29" s="397" t="str">
        <f aca="true" t="shared" si="10" ref="W29:W43">IF(O29="F",J29*S29*ROUND(N29/60,2),"--")</f>
        <v>--</v>
      </c>
      <c r="X29" s="405" t="str">
        <f aca="true" t="shared" si="11" ref="X29:X43">IF(AND(O29="R",P29="NO"),J29*S29*Q29/100,"--")</f>
        <v>--</v>
      </c>
      <c r="Y29" s="406" t="str">
        <f aca="true" t="shared" si="12" ref="Y29:Y43">IF(O29="R",J29*S29*ROUND(N29/60,2)*Q29/100,"--")</f>
        <v>--</v>
      </c>
      <c r="Z29" s="411" t="str">
        <f aca="true" t="shared" si="13" ref="Z29:Z43">IF(O29="RF",J29*S29*ROUND(N29/60,2),"--")</f>
        <v>--</v>
      </c>
      <c r="AA29" s="417" t="str">
        <f aca="true" t="shared" si="14" ref="AA29:AA43">IF(O29="RR",J29*S29*ROUND(N29/60,2)*Q29/100,"--")</f>
        <v>--</v>
      </c>
      <c r="AB29" s="27">
        <f aca="true" t="shared" si="15" ref="AB29:AB43">IF(F29="","","SI")</f>
      </c>
      <c r="AC29" s="677">
        <f aca="true" t="shared" si="16" ref="AC29:AC43">IF(F29="","",SUM(T29:AA29)*IF(AB29="SI",1,2))</f>
      </c>
      <c r="AD29" s="678"/>
    </row>
    <row r="30" spans="1:30" s="611" customFormat="1" ht="16.5" customHeight="1">
      <c r="A30" s="610"/>
      <c r="B30" s="622"/>
      <c r="C30" s="705"/>
      <c r="D30" s="705"/>
      <c r="E30" s="705"/>
      <c r="F30" s="570"/>
      <c r="G30" s="569"/>
      <c r="H30" s="706"/>
      <c r="I30" s="768"/>
      <c r="J30" s="306">
        <f t="shared" si="0"/>
        <v>0</v>
      </c>
      <c r="K30" s="709"/>
      <c r="L30" s="709"/>
      <c r="M30" s="28">
        <f t="shared" si="1"/>
      </c>
      <c r="N30" s="29">
        <f t="shared" si="2"/>
      </c>
      <c r="O30" s="710"/>
      <c r="P30" s="27">
        <f t="shared" si="3"/>
      </c>
      <c r="Q30" s="789">
        <f t="shared" si="4"/>
      </c>
      <c r="R30" s="27">
        <f t="shared" si="5"/>
      </c>
      <c r="S30" s="377">
        <f t="shared" si="6"/>
        <v>3</v>
      </c>
      <c r="T30" s="790" t="str">
        <f t="shared" si="7"/>
        <v>--</v>
      </c>
      <c r="U30" s="791" t="str">
        <f t="shared" si="8"/>
        <v>--</v>
      </c>
      <c r="V30" s="396" t="str">
        <f t="shared" si="9"/>
        <v>--</v>
      </c>
      <c r="W30" s="397" t="str">
        <f t="shared" si="10"/>
        <v>--</v>
      </c>
      <c r="X30" s="405" t="str">
        <f t="shared" si="11"/>
        <v>--</v>
      </c>
      <c r="Y30" s="406" t="str">
        <f t="shared" si="12"/>
        <v>--</v>
      </c>
      <c r="Z30" s="411" t="str">
        <f t="shared" si="13"/>
        <v>--</v>
      </c>
      <c r="AA30" s="417" t="str">
        <f t="shared" si="14"/>
        <v>--</v>
      </c>
      <c r="AB30" s="27">
        <f t="shared" si="15"/>
      </c>
      <c r="AC30" s="677">
        <f t="shared" si="16"/>
      </c>
      <c r="AD30" s="678"/>
    </row>
    <row r="31" spans="1:30" s="611" customFormat="1" ht="16.5" customHeight="1">
      <c r="A31" s="610"/>
      <c r="B31" s="622"/>
      <c r="C31" s="705"/>
      <c r="D31" s="705"/>
      <c r="E31" s="705"/>
      <c r="F31" s="570"/>
      <c r="G31" s="569"/>
      <c r="H31" s="706"/>
      <c r="I31" s="707"/>
      <c r="J31" s="306">
        <f t="shared" si="0"/>
        <v>0</v>
      </c>
      <c r="K31" s="709"/>
      <c r="L31" s="709"/>
      <c r="M31" s="28">
        <f t="shared" si="1"/>
      </c>
      <c r="N31" s="29">
        <f t="shared" si="2"/>
      </c>
      <c r="O31" s="710"/>
      <c r="P31" s="27">
        <f t="shared" si="3"/>
      </c>
      <c r="Q31" s="789">
        <f t="shared" si="4"/>
      </c>
      <c r="R31" s="27">
        <f t="shared" si="5"/>
      </c>
      <c r="S31" s="377">
        <f t="shared" si="6"/>
        <v>3</v>
      </c>
      <c r="T31" s="790" t="str">
        <f t="shared" si="7"/>
        <v>--</v>
      </c>
      <c r="U31" s="791" t="str">
        <f t="shared" si="8"/>
        <v>--</v>
      </c>
      <c r="V31" s="396" t="str">
        <f t="shared" si="9"/>
        <v>--</v>
      </c>
      <c r="W31" s="397" t="str">
        <f t="shared" si="10"/>
        <v>--</v>
      </c>
      <c r="X31" s="405" t="str">
        <f t="shared" si="11"/>
        <v>--</v>
      </c>
      <c r="Y31" s="406" t="str">
        <f t="shared" si="12"/>
        <v>--</v>
      </c>
      <c r="Z31" s="411" t="str">
        <f t="shared" si="13"/>
        <v>--</v>
      </c>
      <c r="AA31" s="417" t="str">
        <f t="shared" si="14"/>
        <v>--</v>
      </c>
      <c r="AB31" s="27">
        <f t="shared" si="15"/>
      </c>
      <c r="AC31" s="677">
        <f t="shared" si="16"/>
      </c>
      <c r="AD31" s="678"/>
    </row>
    <row r="32" spans="1:30" s="611" customFormat="1" ht="16.5" customHeight="1">
      <c r="A32" s="610"/>
      <c r="B32" s="622"/>
      <c r="C32" s="705"/>
      <c r="D32" s="705"/>
      <c r="E32" s="705"/>
      <c r="F32" s="570"/>
      <c r="G32" s="569"/>
      <c r="H32" s="706"/>
      <c r="I32" s="707"/>
      <c r="J32" s="306">
        <f t="shared" si="0"/>
        <v>0</v>
      </c>
      <c r="K32" s="709"/>
      <c r="L32" s="709"/>
      <c r="M32" s="28">
        <f t="shared" si="1"/>
      </c>
      <c r="N32" s="29">
        <f t="shared" si="2"/>
      </c>
      <c r="O32" s="710"/>
      <c r="P32" s="27">
        <f t="shared" si="3"/>
      </c>
      <c r="Q32" s="789">
        <f t="shared" si="4"/>
      </c>
      <c r="R32" s="27">
        <f t="shared" si="5"/>
      </c>
      <c r="S32" s="377">
        <f t="shared" si="6"/>
        <v>3</v>
      </c>
      <c r="T32" s="790" t="str">
        <f t="shared" si="7"/>
        <v>--</v>
      </c>
      <c r="U32" s="791" t="str">
        <f t="shared" si="8"/>
        <v>--</v>
      </c>
      <c r="V32" s="396" t="str">
        <f t="shared" si="9"/>
        <v>--</v>
      </c>
      <c r="W32" s="397" t="str">
        <f t="shared" si="10"/>
        <v>--</v>
      </c>
      <c r="X32" s="405" t="str">
        <f t="shared" si="11"/>
        <v>--</v>
      </c>
      <c r="Y32" s="406" t="str">
        <f t="shared" si="12"/>
        <v>--</v>
      </c>
      <c r="Z32" s="411" t="str">
        <f t="shared" si="13"/>
        <v>--</v>
      </c>
      <c r="AA32" s="417" t="str">
        <f t="shared" si="14"/>
        <v>--</v>
      </c>
      <c r="AB32" s="27">
        <f t="shared" si="15"/>
      </c>
      <c r="AC32" s="677">
        <f t="shared" si="16"/>
      </c>
      <c r="AD32" s="623"/>
    </row>
    <row r="33" spans="1:30" s="611" customFormat="1" ht="16.5" customHeight="1">
      <c r="A33" s="610"/>
      <c r="B33" s="622"/>
      <c r="C33" s="705"/>
      <c r="D33" s="705"/>
      <c r="E33" s="705"/>
      <c r="F33" s="570"/>
      <c r="G33" s="569"/>
      <c r="H33" s="706"/>
      <c r="I33" s="707"/>
      <c r="J33" s="306">
        <f t="shared" si="0"/>
        <v>0</v>
      </c>
      <c r="K33" s="709"/>
      <c r="L33" s="709"/>
      <c r="M33" s="28">
        <f t="shared" si="1"/>
      </c>
      <c r="N33" s="29">
        <f t="shared" si="2"/>
      </c>
      <c r="O33" s="710"/>
      <c r="P33" s="27">
        <f t="shared" si="3"/>
      </c>
      <c r="Q33" s="789">
        <f t="shared" si="4"/>
      </c>
      <c r="R33" s="27">
        <f t="shared" si="5"/>
      </c>
      <c r="S33" s="377">
        <f t="shared" si="6"/>
        <v>3</v>
      </c>
      <c r="T33" s="790" t="str">
        <f t="shared" si="7"/>
        <v>--</v>
      </c>
      <c r="U33" s="791" t="str">
        <f t="shared" si="8"/>
        <v>--</v>
      </c>
      <c r="V33" s="396" t="str">
        <f t="shared" si="9"/>
        <v>--</v>
      </c>
      <c r="W33" s="397" t="str">
        <f t="shared" si="10"/>
        <v>--</v>
      </c>
      <c r="X33" s="405" t="str">
        <f t="shared" si="11"/>
        <v>--</v>
      </c>
      <c r="Y33" s="406" t="str">
        <f t="shared" si="12"/>
        <v>--</v>
      </c>
      <c r="Z33" s="411" t="str">
        <f t="shared" si="13"/>
        <v>--</v>
      </c>
      <c r="AA33" s="417" t="str">
        <f t="shared" si="14"/>
        <v>--</v>
      </c>
      <c r="AB33" s="27">
        <f t="shared" si="15"/>
      </c>
      <c r="AC33" s="677">
        <f t="shared" si="16"/>
      </c>
      <c r="AD33" s="623"/>
    </row>
    <row r="34" spans="1:30" s="611" customFormat="1" ht="16.5" customHeight="1">
      <c r="A34" s="610"/>
      <c r="B34" s="622"/>
      <c r="C34" s="705"/>
      <c r="D34" s="705"/>
      <c r="E34" s="705"/>
      <c r="F34" s="570"/>
      <c r="G34" s="569"/>
      <c r="H34" s="706"/>
      <c r="I34" s="707"/>
      <c r="J34" s="306">
        <f t="shared" si="0"/>
        <v>0</v>
      </c>
      <c r="K34" s="709"/>
      <c r="L34" s="709"/>
      <c r="M34" s="28">
        <f t="shared" si="1"/>
      </c>
      <c r="N34" s="29">
        <f t="shared" si="2"/>
      </c>
      <c r="O34" s="710"/>
      <c r="P34" s="27">
        <f t="shared" si="3"/>
      </c>
      <c r="Q34" s="789">
        <f t="shared" si="4"/>
      </c>
      <c r="R34" s="27">
        <f t="shared" si="5"/>
      </c>
      <c r="S34" s="377">
        <f t="shared" si="6"/>
        <v>3</v>
      </c>
      <c r="T34" s="790" t="str">
        <f t="shared" si="7"/>
        <v>--</v>
      </c>
      <c r="U34" s="791" t="str">
        <f t="shared" si="8"/>
        <v>--</v>
      </c>
      <c r="V34" s="396" t="str">
        <f t="shared" si="9"/>
        <v>--</v>
      </c>
      <c r="W34" s="397" t="str">
        <f t="shared" si="10"/>
        <v>--</v>
      </c>
      <c r="X34" s="405" t="str">
        <f t="shared" si="11"/>
        <v>--</v>
      </c>
      <c r="Y34" s="406" t="str">
        <f t="shared" si="12"/>
        <v>--</v>
      </c>
      <c r="Z34" s="411" t="str">
        <f t="shared" si="13"/>
        <v>--</v>
      </c>
      <c r="AA34" s="417" t="str">
        <f t="shared" si="14"/>
        <v>--</v>
      </c>
      <c r="AB34" s="27">
        <f t="shared" si="15"/>
      </c>
      <c r="AC34" s="677">
        <f t="shared" si="16"/>
      </c>
      <c r="AD34" s="623"/>
    </row>
    <row r="35" spans="1:30" s="611" customFormat="1" ht="16.5" customHeight="1">
      <c r="A35" s="610"/>
      <c r="B35" s="622"/>
      <c r="C35" s="705"/>
      <c r="D35" s="705"/>
      <c r="E35" s="705"/>
      <c r="F35" s="570"/>
      <c r="G35" s="569"/>
      <c r="H35" s="706"/>
      <c r="I35" s="707"/>
      <c r="J35" s="306">
        <f t="shared" si="0"/>
        <v>0</v>
      </c>
      <c r="K35" s="709"/>
      <c r="L35" s="709"/>
      <c r="M35" s="28">
        <f t="shared" si="1"/>
      </c>
      <c r="N35" s="29">
        <f t="shared" si="2"/>
      </c>
      <c r="O35" s="710"/>
      <c r="P35" s="27">
        <f t="shared" si="3"/>
      </c>
      <c r="Q35" s="789">
        <f t="shared" si="4"/>
      </c>
      <c r="R35" s="27">
        <f t="shared" si="5"/>
      </c>
      <c r="S35" s="377">
        <f t="shared" si="6"/>
        <v>3</v>
      </c>
      <c r="T35" s="790" t="str">
        <f t="shared" si="7"/>
        <v>--</v>
      </c>
      <c r="U35" s="791" t="str">
        <f t="shared" si="8"/>
        <v>--</v>
      </c>
      <c r="V35" s="396" t="str">
        <f t="shared" si="9"/>
        <v>--</v>
      </c>
      <c r="W35" s="397" t="str">
        <f t="shared" si="10"/>
        <v>--</v>
      </c>
      <c r="X35" s="405" t="str">
        <f t="shared" si="11"/>
        <v>--</v>
      </c>
      <c r="Y35" s="406" t="str">
        <f t="shared" si="12"/>
        <v>--</v>
      </c>
      <c r="Z35" s="411" t="str">
        <f t="shared" si="13"/>
        <v>--</v>
      </c>
      <c r="AA35" s="417" t="str">
        <f t="shared" si="14"/>
        <v>--</v>
      </c>
      <c r="AB35" s="27">
        <f t="shared" si="15"/>
      </c>
      <c r="AC35" s="677">
        <f t="shared" si="16"/>
      </c>
      <c r="AD35" s="623"/>
    </row>
    <row r="36" spans="1:30" s="611" customFormat="1" ht="16.5" customHeight="1">
      <c r="A36" s="610"/>
      <c r="B36" s="622"/>
      <c r="C36" s="705"/>
      <c r="D36" s="705"/>
      <c r="E36" s="705"/>
      <c r="F36" s="570"/>
      <c r="G36" s="569"/>
      <c r="H36" s="706"/>
      <c r="I36" s="707"/>
      <c r="J36" s="306">
        <f t="shared" si="0"/>
        <v>0</v>
      </c>
      <c r="K36" s="709"/>
      <c r="L36" s="709"/>
      <c r="M36" s="28">
        <f t="shared" si="1"/>
      </c>
      <c r="N36" s="29">
        <f t="shared" si="2"/>
      </c>
      <c r="O36" s="710"/>
      <c r="P36" s="27">
        <f t="shared" si="3"/>
      </c>
      <c r="Q36" s="789">
        <f t="shared" si="4"/>
      </c>
      <c r="R36" s="27">
        <f t="shared" si="5"/>
      </c>
      <c r="S36" s="377">
        <f t="shared" si="6"/>
        <v>3</v>
      </c>
      <c r="T36" s="790" t="str">
        <f t="shared" si="7"/>
        <v>--</v>
      </c>
      <c r="U36" s="791" t="str">
        <f t="shared" si="8"/>
        <v>--</v>
      </c>
      <c r="V36" s="396" t="str">
        <f t="shared" si="9"/>
        <v>--</v>
      </c>
      <c r="W36" s="397" t="str">
        <f t="shared" si="10"/>
        <v>--</v>
      </c>
      <c r="X36" s="405" t="str">
        <f t="shared" si="11"/>
        <v>--</v>
      </c>
      <c r="Y36" s="406" t="str">
        <f t="shared" si="12"/>
        <v>--</v>
      </c>
      <c r="Z36" s="411" t="str">
        <f t="shared" si="13"/>
        <v>--</v>
      </c>
      <c r="AA36" s="417" t="str">
        <f t="shared" si="14"/>
        <v>--</v>
      </c>
      <c r="AB36" s="27">
        <f t="shared" si="15"/>
      </c>
      <c r="AC36" s="677">
        <f t="shared" si="16"/>
      </c>
      <c r="AD36" s="623"/>
    </row>
    <row r="37" spans="1:30" s="611" customFormat="1" ht="16.5" customHeight="1">
      <c r="A37" s="610"/>
      <c r="B37" s="622"/>
      <c r="C37" s="705"/>
      <c r="D37" s="705"/>
      <c r="E37" s="705"/>
      <c r="F37" s="570"/>
      <c r="G37" s="569"/>
      <c r="H37" s="706"/>
      <c r="I37" s="707"/>
      <c r="J37" s="306">
        <f t="shared" si="0"/>
        <v>0</v>
      </c>
      <c r="K37" s="709"/>
      <c r="L37" s="709"/>
      <c r="M37" s="28">
        <f t="shared" si="1"/>
      </c>
      <c r="N37" s="29">
        <f t="shared" si="2"/>
      </c>
      <c r="O37" s="710"/>
      <c r="P37" s="27">
        <f t="shared" si="3"/>
      </c>
      <c r="Q37" s="789">
        <f t="shared" si="4"/>
      </c>
      <c r="R37" s="27">
        <f t="shared" si="5"/>
      </c>
      <c r="S37" s="377">
        <f t="shared" si="6"/>
        <v>3</v>
      </c>
      <c r="T37" s="790" t="str">
        <f t="shared" si="7"/>
        <v>--</v>
      </c>
      <c r="U37" s="791" t="str">
        <f t="shared" si="8"/>
        <v>--</v>
      </c>
      <c r="V37" s="396" t="str">
        <f t="shared" si="9"/>
        <v>--</v>
      </c>
      <c r="W37" s="397" t="str">
        <f t="shared" si="10"/>
        <v>--</v>
      </c>
      <c r="X37" s="405" t="str">
        <f t="shared" si="11"/>
        <v>--</v>
      </c>
      <c r="Y37" s="406" t="str">
        <f t="shared" si="12"/>
        <v>--</v>
      </c>
      <c r="Z37" s="411" t="str">
        <f t="shared" si="13"/>
        <v>--</v>
      </c>
      <c r="AA37" s="417" t="str">
        <f t="shared" si="14"/>
        <v>--</v>
      </c>
      <c r="AB37" s="27">
        <f t="shared" si="15"/>
      </c>
      <c r="AC37" s="677">
        <f t="shared" si="16"/>
      </c>
      <c r="AD37" s="623"/>
    </row>
    <row r="38" spans="1:30" s="611" customFormat="1" ht="16.5" customHeight="1">
      <c r="A38" s="610"/>
      <c r="B38" s="622"/>
      <c r="C38" s="705"/>
      <c r="D38" s="705"/>
      <c r="E38" s="705"/>
      <c r="F38" s="570"/>
      <c r="G38" s="569"/>
      <c r="H38" s="706"/>
      <c r="I38" s="707"/>
      <c r="J38" s="306">
        <f t="shared" si="0"/>
        <v>0</v>
      </c>
      <c r="K38" s="709"/>
      <c r="L38" s="709"/>
      <c r="M38" s="28">
        <f t="shared" si="1"/>
      </c>
      <c r="N38" s="29">
        <f t="shared" si="2"/>
      </c>
      <c r="O38" s="710"/>
      <c r="P38" s="27">
        <f t="shared" si="3"/>
      </c>
      <c r="Q38" s="789">
        <f t="shared" si="4"/>
      </c>
      <c r="R38" s="27">
        <f t="shared" si="5"/>
      </c>
      <c r="S38" s="377">
        <f t="shared" si="6"/>
        <v>3</v>
      </c>
      <c r="T38" s="790" t="str">
        <f t="shared" si="7"/>
        <v>--</v>
      </c>
      <c r="U38" s="791" t="str">
        <f t="shared" si="8"/>
        <v>--</v>
      </c>
      <c r="V38" s="396" t="str">
        <f t="shared" si="9"/>
        <v>--</v>
      </c>
      <c r="W38" s="397" t="str">
        <f t="shared" si="10"/>
        <v>--</v>
      </c>
      <c r="X38" s="405" t="str">
        <f t="shared" si="11"/>
        <v>--</v>
      </c>
      <c r="Y38" s="406" t="str">
        <f t="shared" si="12"/>
        <v>--</v>
      </c>
      <c r="Z38" s="411" t="str">
        <f t="shared" si="13"/>
        <v>--</v>
      </c>
      <c r="AA38" s="417" t="str">
        <f t="shared" si="14"/>
        <v>--</v>
      </c>
      <c r="AB38" s="27">
        <f t="shared" si="15"/>
      </c>
      <c r="AC38" s="677">
        <f t="shared" si="16"/>
      </c>
      <c r="AD38" s="623"/>
    </row>
    <row r="39" spans="1:30" s="611" customFormat="1" ht="16.5" customHeight="1">
      <c r="A39" s="610"/>
      <c r="B39" s="622"/>
      <c r="C39" s="705"/>
      <c r="D39" s="705"/>
      <c r="E39" s="705"/>
      <c r="F39" s="570"/>
      <c r="G39" s="569"/>
      <c r="H39" s="706"/>
      <c r="I39" s="707"/>
      <c r="J39" s="306">
        <f t="shared" si="0"/>
        <v>0</v>
      </c>
      <c r="K39" s="709"/>
      <c r="L39" s="709"/>
      <c r="M39" s="28">
        <f t="shared" si="1"/>
      </c>
      <c r="N39" s="29">
        <f t="shared" si="2"/>
      </c>
      <c r="O39" s="710"/>
      <c r="P39" s="27">
        <f t="shared" si="3"/>
      </c>
      <c r="Q39" s="789">
        <f t="shared" si="4"/>
      </c>
      <c r="R39" s="27">
        <f t="shared" si="5"/>
      </c>
      <c r="S39" s="377">
        <f t="shared" si="6"/>
        <v>3</v>
      </c>
      <c r="T39" s="790" t="str">
        <f t="shared" si="7"/>
        <v>--</v>
      </c>
      <c r="U39" s="791" t="str">
        <f t="shared" si="8"/>
        <v>--</v>
      </c>
      <c r="V39" s="396" t="str">
        <f t="shared" si="9"/>
        <v>--</v>
      </c>
      <c r="W39" s="397" t="str">
        <f t="shared" si="10"/>
        <v>--</v>
      </c>
      <c r="X39" s="405" t="str">
        <f t="shared" si="11"/>
        <v>--</v>
      </c>
      <c r="Y39" s="406" t="str">
        <f t="shared" si="12"/>
        <v>--</v>
      </c>
      <c r="Z39" s="411" t="str">
        <f t="shared" si="13"/>
        <v>--</v>
      </c>
      <c r="AA39" s="417" t="str">
        <f t="shared" si="14"/>
        <v>--</v>
      </c>
      <c r="AB39" s="27">
        <f t="shared" si="15"/>
      </c>
      <c r="AC39" s="677">
        <f t="shared" si="16"/>
      </c>
      <c r="AD39" s="623"/>
    </row>
    <row r="40" spans="1:30" s="611" customFormat="1" ht="16.5" customHeight="1">
      <c r="A40" s="610"/>
      <c r="B40" s="622"/>
      <c r="C40" s="705"/>
      <c r="D40" s="705"/>
      <c r="E40" s="705"/>
      <c r="F40" s="570"/>
      <c r="G40" s="569"/>
      <c r="H40" s="706"/>
      <c r="I40" s="707"/>
      <c r="J40" s="306">
        <f t="shared" si="0"/>
        <v>0</v>
      </c>
      <c r="K40" s="709"/>
      <c r="L40" s="709"/>
      <c r="M40" s="28">
        <f t="shared" si="1"/>
      </c>
      <c r="N40" s="29">
        <f t="shared" si="2"/>
      </c>
      <c r="O40" s="710"/>
      <c r="P40" s="27">
        <f t="shared" si="3"/>
      </c>
      <c r="Q40" s="789">
        <f t="shared" si="4"/>
      </c>
      <c r="R40" s="27">
        <f t="shared" si="5"/>
      </c>
      <c r="S40" s="377">
        <f t="shared" si="6"/>
        <v>3</v>
      </c>
      <c r="T40" s="790" t="str">
        <f t="shared" si="7"/>
        <v>--</v>
      </c>
      <c r="U40" s="791" t="str">
        <f t="shared" si="8"/>
        <v>--</v>
      </c>
      <c r="V40" s="396" t="str">
        <f t="shared" si="9"/>
        <v>--</v>
      </c>
      <c r="W40" s="397" t="str">
        <f t="shared" si="10"/>
        <v>--</v>
      </c>
      <c r="X40" s="405" t="str">
        <f t="shared" si="11"/>
        <v>--</v>
      </c>
      <c r="Y40" s="406" t="str">
        <f t="shared" si="12"/>
        <v>--</v>
      </c>
      <c r="Z40" s="411" t="str">
        <f t="shared" si="13"/>
        <v>--</v>
      </c>
      <c r="AA40" s="417" t="str">
        <f t="shared" si="14"/>
        <v>--</v>
      </c>
      <c r="AB40" s="27">
        <f t="shared" si="15"/>
      </c>
      <c r="AC40" s="677">
        <f t="shared" si="16"/>
      </c>
      <c r="AD40" s="623"/>
    </row>
    <row r="41" spans="1:30" s="611" customFormat="1" ht="16.5" customHeight="1">
      <c r="A41" s="610"/>
      <c r="B41" s="622"/>
      <c r="C41" s="705"/>
      <c r="D41" s="705"/>
      <c r="E41" s="705"/>
      <c r="F41" s="570"/>
      <c r="G41" s="569"/>
      <c r="H41" s="706"/>
      <c r="I41" s="707"/>
      <c r="J41" s="306">
        <f t="shared" si="0"/>
        <v>0</v>
      </c>
      <c r="K41" s="709"/>
      <c r="L41" s="709"/>
      <c r="M41" s="28">
        <f t="shared" si="1"/>
      </c>
      <c r="N41" s="29">
        <f t="shared" si="2"/>
      </c>
      <c r="O41" s="710"/>
      <c r="P41" s="27">
        <f t="shared" si="3"/>
      </c>
      <c r="Q41" s="789">
        <f t="shared" si="4"/>
      </c>
      <c r="R41" s="27">
        <f t="shared" si="5"/>
      </c>
      <c r="S41" s="377">
        <f t="shared" si="6"/>
        <v>3</v>
      </c>
      <c r="T41" s="790" t="str">
        <f t="shared" si="7"/>
        <v>--</v>
      </c>
      <c r="U41" s="791" t="str">
        <f t="shared" si="8"/>
        <v>--</v>
      </c>
      <c r="V41" s="396" t="str">
        <f t="shared" si="9"/>
        <v>--</v>
      </c>
      <c r="W41" s="397" t="str">
        <f t="shared" si="10"/>
        <v>--</v>
      </c>
      <c r="X41" s="405" t="str">
        <f t="shared" si="11"/>
        <v>--</v>
      </c>
      <c r="Y41" s="406" t="str">
        <f t="shared" si="12"/>
        <v>--</v>
      </c>
      <c r="Z41" s="411" t="str">
        <f t="shared" si="13"/>
        <v>--</v>
      </c>
      <c r="AA41" s="417" t="str">
        <f t="shared" si="14"/>
        <v>--</v>
      </c>
      <c r="AB41" s="27">
        <f t="shared" si="15"/>
      </c>
      <c r="AC41" s="677">
        <f t="shared" si="16"/>
      </c>
      <c r="AD41" s="623"/>
    </row>
    <row r="42" spans="1:30" s="611" customFormat="1" ht="16.5" customHeight="1">
      <c r="A42" s="610"/>
      <c r="B42" s="622"/>
      <c r="C42" s="705"/>
      <c r="D42" s="705"/>
      <c r="E42" s="705"/>
      <c r="F42" s="570"/>
      <c r="G42" s="569"/>
      <c r="H42" s="706"/>
      <c r="I42" s="707"/>
      <c r="J42" s="306">
        <f t="shared" si="0"/>
        <v>0</v>
      </c>
      <c r="K42" s="709"/>
      <c r="L42" s="709"/>
      <c r="M42" s="28">
        <f t="shared" si="1"/>
      </c>
      <c r="N42" s="29">
        <f t="shared" si="2"/>
      </c>
      <c r="O42" s="710"/>
      <c r="P42" s="27">
        <f t="shared" si="3"/>
      </c>
      <c r="Q42" s="789">
        <f t="shared" si="4"/>
      </c>
      <c r="R42" s="27">
        <f t="shared" si="5"/>
      </c>
      <c r="S42" s="377">
        <f t="shared" si="6"/>
        <v>3</v>
      </c>
      <c r="T42" s="790" t="str">
        <f t="shared" si="7"/>
        <v>--</v>
      </c>
      <c r="U42" s="791" t="str">
        <f t="shared" si="8"/>
        <v>--</v>
      </c>
      <c r="V42" s="396" t="str">
        <f t="shared" si="9"/>
        <v>--</v>
      </c>
      <c r="W42" s="397" t="str">
        <f t="shared" si="10"/>
        <v>--</v>
      </c>
      <c r="X42" s="405" t="str">
        <f t="shared" si="11"/>
        <v>--</v>
      </c>
      <c r="Y42" s="406" t="str">
        <f t="shared" si="12"/>
        <v>--</v>
      </c>
      <c r="Z42" s="411" t="str">
        <f t="shared" si="13"/>
        <v>--</v>
      </c>
      <c r="AA42" s="417" t="str">
        <f t="shared" si="14"/>
        <v>--</v>
      </c>
      <c r="AB42" s="27">
        <f t="shared" si="15"/>
      </c>
      <c r="AC42" s="677">
        <f t="shared" si="16"/>
      </c>
      <c r="AD42" s="623"/>
    </row>
    <row r="43" spans="1:30" s="611" customFormat="1" ht="16.5" customHeight="1">
      <c r="A43" s="610"/>
      <c r="B43" s="622"/>
      <c r="C43" s="705"/>
      <c r="D43" s="705"/>
      <c r="E43" s="705"/>
      <c r="F43" s="570"/>
      <c r="G43" s="569"/>
      <c r="H43" s="706"/>
      <c r="I43" s="707"/>
      <c r="J43" s="306">
        <f t="shared" si="0"/>
        <v>0</v>
      </c>
      <c r="K43" s="709"/>
      <c r="L43" s="709"/>
      <c r="M43" s="28">
        <f t="shared" si="1"/>
      </c>
      <c r="N43" s="29">
        <f t="shared" si="2"/>
      </c>
      <c r="O43" s="710"/>
      <c r="P43" s="27">
        <f t="shared" si="3"/>
      </c>
      <c r="Q43" s="789">
        <f t="shared" si="4"/>
      </c>
      <c r="R43" s="27">
        <f t="shared" si="5"/>
      </c>
      <c r="S43" s="377">
        <f t="shared" si="6"/>
        <v>3</v>
      </c>
      <c r="T43" s="790" t="str">
        <f t="shared" si="7"/>
        <v>--</v>
      </c>
      <c r="U43" s="791" t="str">
        <f t="shared" si="8"/>
        <v>--</v>
      </c>
      <c r="V43" s="396" t="str">
        <f t="shared" si="9"/>
        <v>--</v>
      </c>
      <c r="W43" s="397" t="str">
        <f t="shared" si="10"/>
        <v>--</v>
      </c>
      <c r="X43" s="405" t="str">
        <f t="shared" si="11"/>
        <v>--</v>
      </c>
      <c r="Y43" s="406" t="str">
        <f t="shared" si="12"/>
        <v>--</v>
      </c>
      <c r="Z43" s="411" t="str">
        <f t="shared" si="13"/>
        <v>--</v>
      </c>
      <c r="AA43" s="417" t="str">
        <f t="shared" si="14"/>
        <v>--</v>
      </c>
      <c r="AB43" s="27">
        <f t="shared" si="15"/>
      </c>
      <c r="AC43" s="677">
        <f t="shared" si="16"/>
      </c>
      <c r="AD43" s="623"/>
    </row>
    <row r="44" spans="1:30" s="611" customFormat="1" ht="16.5" customHeight="1" thickBot="1">
      <c r="A44" s="610"/>
      <c r="B44" s="622"/>
      <c r="C44" s="708"/>
      <c r="D44" s="708"/>
      <c r="E44" s="708"/>
      <c r="F44" s="708"/>
      <c r="G44" s="708"/>
      <c r="H44" s="708"/>
      <c r="I44" s="708"/>
      <c r="J44" s="680"/>
      <c r="K44" s="708"/>
      <c r="L44" s="708"/>
      <c r="M44" s="679"/>
      <c r="N44" s="679"/>
      <c r="O44" s="708"/>
      <c r="P44" s="708"/>
      <c r="Q44" s="708"/>
      <c r="R44" s="708"/>
      <c r="S44" s="711"/>
      <c r="T44" s="712"/>
      <c r="U44" s="713"/>
      <c r="V44" s="714"/>
      <c r="W44" s="715"/>
      <c r="X44" s="716"/>
      <c r="Y44" s="717"/>
      <c r="Z44" s="718"/>
      <c r="AA44" s="719"/>
      <c r="AB44" s="708"/>
      <c r="AC44" s="681"/>
      <c r="AD44" s="623"/>
    </row>
    <row r="45" spans="1:30" s="611" customFormat="1" ht="16.5" customHeight="1" thickBot="1" thickTop="1">
      <c r="A45" s="610"/>
      <c r="B45" s="622"/>
      <c r="C45" s="682" t="s">
        <v>70</v>
      </c>
      <c r="D45" s="798" t="s">
        <v>184</v>
      </c>
      <c r="E45" s="282"/>
      <c r="F45" s="277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683">
        <f aca="true" t="shared" si="17" ref="T45:AA45">SUM(T22:T44)</f>
        <v>4.056885</v>
      </c>
      <c r="U45" s="684">
        <f t="shared" si="17"/>
        <v>0</v>
      </c>
      <c r="V45" s="685">
        <f t="shared" si="17"/>
        <v>240.57</v>
      </c>
      <c r="W45" s="685">
        <f t="shared" si="17"/>
        <v>29.0871</v>
      </c>
      <c r="X45" s="686">
        <f t="shared" si="17"/>
        <v>0</v>
      </c>
      <c r="Y45" s="686">
        <f t="shared" si="17"/>
        <v>0</v>
      </c>
      <c r="Z45" s="687">
        <f t="shared" si="17"/>
        <v>0</v>
      </c>
      <c r="AA45" s="688">
        <f t="shared" si="17"/>
        <v>0</v>
      </c>
      <c r="AB45" s="689"/>
      <c r="AC45" s="690">
        <f>ROUND(SUM(AC22:AC44),2)</f>
        <v>273.71</v>
      </c>
      <c r="AD45" s="623"/>
    </row>
    <row r="46" spans="1:30" s="698" customFormat="1" ht="9.75" thickTop="1">
      <c r="A46" s="691"/>
      <c r="B46" s="692"/>
      <c r="C46" s="693"/>
      <c r="D46" s="693"/>
      <c r="E46" s="693"/>
      <c r="F46" s="279"/>
      <c r="G46" s="694"/>
      <c r="H46" s="694"/>
      <c r="I46" s="694"/>
      <c r="J46" s="694"/>
      <c r="K46" s="694"/>
      <c r="L46" s="694"/>
      <c r="M46" s="694"/>
      <c r="N46" s="694"/>
      <c r="O46" s="694"/>
      <c r="P46" s="694"/>
      <c r="Q46" s="694"/>
      <c r="R46" s="694"/>
      <c r="S46" s="694"/>
      <c r="T46" s="695"/>
      <c r="U46" s="695"/>
      <c r="V46" s="695"/>
      <c r="W46" s="695"/>
      <c r="X46" s="695"/>
      <c r="Y46" s="695"/>
      <c r="Z46" s="695"/>
      <c r="AA46" s="695"/>
      <c r="AB46" s="694"/>
      <c r="AC46" s="696"/>
      <c r="AD46" s="697"/>
    </row>
    <row r="47" spans="1:30" s="611" customFormat="1" ht="16.5" customHeight="1" thickBot="1">
      <c r="A47" s="610"/>
      <c r="B47" s="699"/>
      <c r="C47" s="700"/>
      <c r="D47" s="700"/>
      <c r="E47" s="700"/>
      <c r="F47" s="700"/>
      <c r="G47" s="700"/>
      <c r="H47" s="700"/>
      <c r="I47" s="700"/>
      <c r="J47" s="700"/>
      <c r="K47" s="700"/>
      <c r="L47" s="700"/>
      <c r="M47" s="700"/>
      <c r="N47" s="700"/>
      <c r="O47" s="700"/>
      <c r="P47" s="700"/>
      <c r="Q47" s="700"/>
      <c r="R47" s="700"/>
      <c r="S47" s="700"/>
      <c r="T47" s="700"/>
      <c r="U47" s="700"/>
      <c r="V47" s="700"/>
      <c r="W47" s="700"/>
      <c r="X47" s="700"/>
      <c r="Y47" s="700"/>
      <c r="Z47" s="700"/>
      <c r="AA47" s="700"/>
      <c r="AB47" s="700"/>
      <c r="AC47" s="700"/>
      <c r="AD47" s="701"/>
    </row>
    <row r="48" spans="2:30" ht="16.5" customHeight="1" thickTop="1">
      <c r="B48" s="703"/>
      <c r="C48" s="703"/>
      <c r="D48" s="703"/>
      <c r="E48" s="703"/>
      <c r="F48" s="703"/>
      <c r="G48" s="703"/>
      <c r="H48" s="703"/>
      <c r="I48" s="703"/>
      <c r="J48" s="703"/>
      <c r="K48" s="703"/>
      <c r="L48" s="703"/>
      <c r="M48" s="703"/>
      <c r="N48" s="703"/>
      <c r="O48" s="703"/>
      <c r="P48" s="703"/>
      <c r="Q48" s="703"/>
      <c r="R48" s="703"/>
      <c r="S48" s="703"/>
      <c r="T48" s="703"/>
      <c r="U48" s="703"/>
      <c r="V48" s="703"/>
      <c r="W48" s="703"/>
      <c r="X48" s="703"/>
      <c r="Y48" s="703"/>
      <c r="Z48" s="703"/>
      <c r="AA48" s="703"/>
      <c r="AB48" s="703"/>
      <c r="AC48" s="703"/>
      <c r="AD48" s="70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D48"/>
  <sheetViews>
    <sheetView zoomScale="70" zoomScaleNormal="70" workbookViewId="0" topLeftCell="C1">
      <selection activeCell="A28" sqref="A28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125" customFormat="1" ht="26.25"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564"/>
    </row>
    <row r="2" spans="2:30" s="125" customFormat="1" ht="26.25">
      <c r="B2" s="126" t="str">
        <f>+'TOT-0410'!B2</f>
        <v>ANEXO IV al Memorandum  D.T.E.E.  N°   456 /2011 </v>
      </c>
      <c r="C2" s="127"/>
      <c r="D2" s="127"/>
      <c r="E2" s="189"/>
      <c r="F2" s="189"/>
      <c r="G2" s="126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</row>
    <row r="3" spans="5:30" s="12" customFormat="1" ht="12.75"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</row>
    <row r="4" spans="1:30" s="128" customFormat="1" ht="11.25">
      <c r="A4" s="775" t="s">
        <v>21</v>
      </c>
      <c r="C4" s="774"/>
      <c r="D4" s="774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</row>
    <row r="5" spans="1:30" s="128" customFormat="1" ht="11.25">
      <c r="A5" s="775" t="s">
        <v>150</v>
      </c>
      <c r="C5" s="774"/>
      <c r="D5" s="774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0" s="12" customFormat="1" ht="13.5" thickBo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</row>
    <row r="7" spans="1:30" s="12" customFormat="1" ht="13.5" thickTop="1">
      <c r="A7" s="187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2"/>
    </row>
    <row r="8" spans="1:30" s="130" customFormat="1" ht="20.25">
      <c r="A8" s="206"/>
      <c r="B8" s="207"/>
      <c r="C8" s="195"/>
      <c r="D8" s="195"/>
      <c r="E8" s="195"/>
      <c r="F8" s="23" t="s">
        <v>46</v>
      </c>
      <c r="H8" s="195"/>
      <c r="I8" s="206"/>
      <c r="J8" s="206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208"/>
    </row>
    <row r="9" spans="1:30" s="130" customFormat="1" ht="7.5" customHeight="1">
      <c r="A9" s="206"/>
      <c r="B9" s="207"/>
      <c r="C9" s="195"/>
      <c r="D9" s="195"/>
      <c r="E9" s="195"/>
      <c r="F9" s="23"/>
      <c r="H9" s="195"/>
      <c r="I9" s="206"/>
      <c r="J9" s="206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208"/>
    </row>
    <row r="10" spans="1:30" s="12" customFormat="1" ht="7.5" customHeight="1">
      <c r="A10" s="187"/>
      <c r="B10" s="193"/>
      <c r="C10" s="32"/>
      <c r="D10" s="32"/>
      <c r="E10" s="32"/>
      <c r="F10" s="32"/>
      <c r="G10" s="32"/>
      <c r="H10" s="32"/>
      <c r="I10" s="187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40"/>
    </row>
    <row r="11" spans="1:30" s="130" customFormat="1" ht="20.25">
      <c r="A11" s="206"/>
      <c r="B11" s="207"/>
      <c r="C11" s="195"/>
      <c r="D11" s="195"/>
      <c r="E11" s="195"/>
      <c r="F11" s="236" t="s">
        <v>87</v>
      </c>
      <c r="G11" s="195"/>
      <c r="H11" s="195"/>
      <c r="I11" s="206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208"/>
    </row>
    <row r="12" spans="1:30" s="130" customFormat="1" ht="8.25" customHeight="1">
      <c r="A12" s="206"/>
      <c r="B12" s="207"/>
      <c r="C12" s="195"/>
      <c r="D12" s="195"/>
      <c r="E12" s="195"/>
      <c r="F12" s="236"/>
      <c r="G12" s="195"/>
      <c r="H12" s="195"/>
      <c r="I12" s="206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208"/>
    </row>
    <row r="13" spans="1:30" s="12" customFormat="1" ht="8.25" customHeight="1">
      <c r="A13" s="187"/>
      <c r="B13" s="193"/>
      <c r="C13" s="32"/>
      <c r="D13" s="32"/>
      <c r="E13" s="32"/>
      <c r="F13" s="139"/>
      <c r="G13" s="197"/>
      <c r="H13" s="197"/>
      <c r="I13" s="198"/>
      <c r="J13" s="196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40"/>
    </row>
    <row r="14" spans="1:30" s="137" customFormat="1" ht="19.5">
      <c r="A14" s="212"/>
      <c r="B14" s="103" t="str">
        <f>+'TOT-0410'!B14</f>
        <v>Desde el 01 al 30 de abril de 2010</v>
      </c>
      <c r="C14" s="213"/>
      <c r="D14" s="213"/>
      <c r="E14" s="213"/>
      <c r="F14" s="213"/>
      <c r="G14" s="213"/>
      <c r="H14" s="213"/>
      <c r="I14" s="214"/>
      <c r="J14" s="213"/>
      <c r="K14" s="134"/>
      <c r="L14" s="134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5"/>
    </row>
    <row r="15" spans="1:30" s="111" customFormat="1" ht="8.25" customHeight="1">
      <c r="A15" s="107"/>
      <c r="B15" s="108"/>
      <c r="C15" s="107"/>
      <c r="D15" s="107"/>
      <c r="E15" s="107"/>
      <c r="F15" s="763"/>
      <c r="G15" s="764"/>
      <c r="H15" s="765"/>
      <c r="I15" s="107"/>
      <c r="K15" s="113"/>
      <c r="L15" s="114"/>
      <c r="M15" s="271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10"/>
    </row>
    <row r="16" spans="1:30" s="12" customFormat="1" ht="8.25" customHeight="1" thickBot="1">
      <c r="A16" s="187"/>
      <c r="B16" s="193"/>
      <c r="C16" s="32"/>
      <c r="D16" s="32"/>
      <c r="E16" s="32"/>
      <c r="F16" s="32"/>
      <c r="G16" s="32"/>
      <c r="H16" s="32"/>
      <c r="I16" s="77"/>
      <c r="J16" s="32"/>
      <c r="K16" s="203"/>
      <c r="L16" s="204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40"/>
    </row>
    <row r="17" spans="1:30" s="12" customFormat="1" ht="16.5" customHeight="1" thickBot="1" thickTop="1">
      <c r="A17" s="187"/>
      <c r="B17" s="193"/>
      <c r="C17" s="32"/>
      <c r="D17" s="32"/>
      <c r="E17" s="32"/>
      <c r="F17" s="216" t="s">
        <v>74</v>
      </c>
      <c r="G17" s="217"/>
      <c r="H17" s="218"/>
      <c r="I17" s="219">
        <v>0.243</v>
      </c>
      <c r="J17" s="187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40"/>
    </row>
    <row r="18" spans="1:30" s="12" customFormat="1" ht="16.5" customHeight="1" thickBot="1" thickTop="1">
      <c r="A18" s="187"/>
      <c r="B18" s="193"/>
      <c r="C18" s="32"/>
      <c r="D18" s="32"/>
      <c r="E18" s="32"/>
      <c r="F18" s="220" t="s">
        <v>75</v>
      </c>
      <c r="G18" s="221"/>
      <c r="H18" s="221"/>
      <c r="I18" s="222">
        <f>30*'TOT-0410'!B13</f>
        <v>30</v>
      </c>
      <c r="J18" s="32"/>
      <c r="K18" s="271" t="str">
        <f>IF(I18=30," ",IF(I18=60,"Coeficiente duplicado por tasa de falla &gt;4 Sal. x año/100 km.","REVISAR COEFICIENTE"))</f>
        <v> 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199"/>
      <c r="X18" s="199"/>
      <c r="Y18" s="199"/>
      <c r="Z18" s="199"/>
      <c r="AA18" s="199"/>
      <c r="AB18" s="199"/>
      <c r="AC18" s="199"/>
      <c r="AD18" s="40"/>
    </row>
    <row r="19" spans="1:30" s="111" customFormat="1" ht="8.25" customHeight="1" thickTop="1">
      <c r="A19" s="107"/>
      <c r="B19" s="108"/>
      <c r="C19" s="107"/>
      <c r="D19" s="107"/>
      <c r="E19" s="107"/>
      <c r="F19" s="763"/>
      <c r="G19" s="764"/>
      <c r="H19" s="765"/>
      <c r="I19" s="107"/>
      <c r="K19" s="113"/>
      <c r="L19" s="114"/>
      <c r="M19" s="271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10"/>
    </row>
    <row r="20" spans="1:30" s="803" customFormat="1" ht="15" customHeight="1" thickBot="1">
      <c r="A20" s="809"/>
      <c r="B20" s="810"/>
      <c r="C20" s="811">
        <v>3</v>
      </c>
      <c r="D20" s="811">
        <v>4</v>
      </c>
      <c r="E20" s="811">
        <v>5</v>
      </c>
      <c r="F20" s="811">
        <v>6</v>
      </c>
      <c r="G20" s="811">
        <v>7</v>
      </c>
      <c r="H20" s="811">
        <v>8</v>
      </c>
      <c r="I20" s="811">
        <v>9</v>
      </c>
      <c r="J20" s="811">
        <v>10</v>
      </c>
      <c r="K20" s="811">
        <v>11</v>
      </c>
      <c r="L20" s="811">
        <v>12</v>
      </c>
      <c r="M20" s="811">
        <v>13</v>
      </c>
      <c r="N20" s="811">
        <v>14</v>
      </c>
      <c r="O20" s="811">
        <v>15</v>
      </c>
      <c r="P20" s="811">
        <v>16</v>
      </c>
      <c r="Q20" s="811">
        <v>17</v>
      </c>
      <c r="R20" s="811">
        <v>18</v>
      </c>
      <c r="S20" s="811">
        <v>19</v>
      </c>
      <c r="T20" s="811">
        <v>20</v>
      </c>
      <c r="U20" s="811">
        <v>21</v>
      </c>
      <c r="V20" s="811">
        <v>22</v>
      </c>
      <c r="W20" s="811">
        <v>23</v>
      </c>
      <c r="X20" s="811">
        <v>24</v>
      </c>
      <c r="Y20" s="811">
        <v>25</v>
      </c>
      <c r="Z20" s="811">
        <v>26</v>
      </c>
      <c r="AA20" s="811">
        <v>27</v>
      </c>
      <c r="AB20" s="811">
        <v>28</v>
      </c>
      <c r="AC20" s="811">
        <v>29</v>
      </c>
      <c r="AD20" s="812"/>
    </row>
    <row r="21" spans="1:30" s="124" customFormat="1" ht="33.75" customHeight="1" thickBot="1" thickTop="1">
      <c r="A21" s="223"/>
      <c r="B21" s="224"/>
      <c r="C21" s="226" t="s">
        <v>52</v>
      </c>
      <c r="D21" s="117" t="s">
        <v>149</v>
      </c>
      <c r="E21" s="117" t="s">
        <v>148</v>
      </c>
      <c r="F21" s="231" t="s">
        <v>76</v>
      </c>
      <c r="G21" s="227" t="s">
        <v>19</v>
      </c>
      <c r="H21" s="228" t="s">
        <v>77</v>
      </c>
      <c r="I21" s="229" t="s">
        <v>53</v>
      </c>
      <c r="J21" s="303" t="s">
        <v>55</v>
      </c>
      <c r="K21" s="230" t="s">
        <v>78</v>
      </c>
      <c r="L21" s="230" t="s">
        <v>79</v>
      </c>
      <c r="M21" s="231" t="s">
        <v>80</v>
      </c>
      <c r="N21" s="231" t="s">
        <v>81</v>
      </c>
      <c r="O21" s="121" t="s">
        <v>60</v>
      </c>
      <c r="P21" s="232" t="s">
        <v>82</v>
      </c>
      <c r="Q21" s="231" t="s">
        <v>83</v>
      </c>
      <c r="R21" s="227" t="s">
        <v>84</v>
      </c>
      <c r="S21" s="374" t="s">
        <v>85</v>
      </c>
      <c r="T21" s="360" t="s">
        <v>62</v>
      </c>
      <c r="U21" s="384" t="s">
        <v>63</v>
      </c>
      <c r="V21" s="390" t="s">
        <v>86</v>
      </c>
      <c r="W21" s="391"/>
      <c r="X21" s="399" t="s">
        <v>86</v>
      </c>
      <c r="Y21" s="400"/>
      <c r="Z21" s="408" t="s">
        <v>66</v>
      </c>
      <c r="AA21" s="414" t="s">
        <v>67</v>
      </c>
      <c r="AB21" s="229" t="s">
        <v>68</v>
      </c>
      <c r="AC21" s="229" t="s">
        <v>69</v>
      </c>
      <c r="AD21" s="225"/>
    </row>
    <row r="22" spans="1:30" s="12" customFormat="1" ht="16.5" customHeight="1" thickTop="1">
      <c r="A22" s="187"/>
      <c r="B22" s="193"/>
      <c r="C22" s="20"/>
      <c r="D22" s="20"/>
      <c r="E22" s="20"/>
      <c r="F22" s="25"/>
      <c r="G22" s="25"/>
      <c r="H22" s="25"/>
      <c r="I22" s="25"/>
      <c r="J22" s="308"/>
      <c r="K22" s="26"/>
      <c r="L22" s="25"/>
      <c r="M22" s="26"/>
      <c r="N22" s="26"/>
      <c r="O22" s="25"/>
      <c r="P22" s="25"/>
      <c r="Q22" s="25"/>
      <c r="R22" s="25"/>
      <c r="S22" s="375"/>
      <c r="T22" s="379"/>
      <c r="U22" s="385"/>
      <c r="V22" s="392"/>
      <c r="W22" s="393"/>
      <c r="X22" s="401"/>
      <c r="Y22" s="402"/>
      <c r="Z22" s="409"/>
      <c r="AA22" s="415"/>
      <c r="AB22" s="25"/>
      <c r="AC22" s="64"/>
      <c r="AD22" s="40"/>
    </row>
    <row r="23" spans="1:30" s="12" customFormat="1" ht="16.5" customHeight="1">
      <c r="A23" s="187"/>
      <c r="B23" s="193"/>
      <c r="C23" s="20"/>
      <c r="D23" s="20"/>
      <c r="E23" s="20"/>
      <c r="F23" s="21"/>
      <c r="G23" s="21"/>
      <c r="H23" s="21"/>
      <c r="I23" s="21"/>
      <c r="J23" s="309"/>
      <c r="K23" s="22"/>
      <c r="L23" s="21"/>
      <c r="M23" s="22"/>
      <c r="N23" s="22"/>
      <c r="O23" s="21"/>
      <c r="P23" s="21"/>
      <c r="Q23" s="21"/>
      <c r="R23" s="21"/>
      <c r="S23" s="376"/>
      <c r="T23" s="380"/>
      <c r="U23" s="386"/>
      <c r="V23" s="394"/>
      <c r="W23" s="395"/>
      <c r="X23" s="403"/>
      <c r="Y23" s="404"/>
      <c r="Z23" s="410"/>
      <c r="AA23" s="416"/>
      <c r="AB23" s="21"/>
      <c r="AC23" s="234"/>
      <c r="AD23" s="40"/>
    </row>
    <row r="24" spans="1:30" s="12" customFormat="1" ht="16.5" customHeight="1">
      <c r="A24" s="187"/>
      <c r="B24" s="193"/>
      <c r="C24" s="705">
        <v>10</v>
      </c>
      <c r="D24" s="705">
        <v>220924</v>
      </c>
      <c r="E24" s="705">
        <v>4970</v>
      </c>
      <c r="F24" s="570" t="s">
        <v>168</v>
      </c>
      <c r="G24" s="569" t="s">
        <v>10</v>
      </c>
      <c r="H24" s="813">
        <v>15</v>
      </c>
      <c r="I24" s="768" t="s">
        <v>161</v>
      </c>
      <c r="J24" s="306">
        <f aca="true" t="shared" si="0" ref="J24:J43">H24*$I$17</f>
        <v>3.645</v>
      </c>
      <c r="K24" s="709">
        <v>40283.399305555555</v>
      </c>
      <c r="L24" s="709">
        <v>40283.572222222225</v>
      </c>
      <c r="M24" s="28">
        <f aca="true" t="shared" si="1" ref="M24:M43">IF(F24="","",(L24-K24)*24)</f>
        <v>4.150000000081491</v>
      </c>
      <c r="N24" s="29">
        <f aca="true" t="shared" si="2" ref="N24:N43">IF(F24="","",ROUND((L24-K24)*24*60,0))</f>
        <v>249</v>
      </c>
      <c r="O24" s="710" t="s">
        <v>155</v>
      </c>
      <c r="P24" s="27" t="str">
        <f aca="true" t="shared" si="3" ref="P24:P43">IF(F24="","",IF(OR(O24="P",O24="RP"),"--","NO"))</f>
        <v>--</v>
      </c>
      <c r="Q24" s="789" t="str">
        <f aca="true" t="shared" si="4" ref="Q24:Q43">IF(F24="","","--")</f>
        <v>--</v>
      </c>
      <c r="R24" s="27" t="str">
        <f aca="true" t="shared" si="5" ref="R24:R43">IF(F24="","","NO")</f>
        <v>NO</v>
      </c>
      <c r="S24" s="377">
        <f aca="true" t="shared" si="6" ref="S24:S43">$I$18*IF(OR(O24="P",O24="RP"),0.1,1)*IF(R24="SI",1,0.1)</f>
        <v>0.30000000000000004</v>
      </c>
      <c r="T24" s="381">
        <f aca="true" t="shared" si="7" ref="T24:T43">IF(O24="P",J24*S24*ROUND(N24/60,2),"--")</f>
        <v>4.538025000000001</v>
      </c>
      <c r="U24" s="387" t="str">
        <f aca="true" t="shared" si="8" ref="U24:U43">IF(O24="RP",J24*S24*ROUND(N24/60,2)*Q24/100,"--")</f>
        <v>--</v>
      </c>
      <c r="V24" s="396" t="str">
        <f aca="true" t="shared" si="9" ref="V24:V43">IF(AND(O24="F",P24="NO"),J24*S24,"--")</f>
        <v>--</v>
      </c>
      <c r="W24" s="397" t="str">
        <f aca="true" t="shared" si="10" ref="W24:W43">IF(O24="F",J24*S24*ROUND(N24/60,2),"--")</f>
        <v>--</v>
      </c>
      <c r="X24" s="405" t="str">
        <f aca="true" t="shared" si="11" ref="X24:X43">IF(AND(O24="R",P24="NO"),J24*S24*Q24/100,"--")</f>
        <v>--</v>
      </c>
      <c r="Y24" s="406" t="str">
        <f aca="true" t="shared" si="12" ref="Y24:Y43">IF(O24="R",J24*S24*ROUND(N24/60,2)*Q24/100,"--")</f>
        <v>--</v>
      </c>
      <c r="Z24" s="411" t="str">
        <f aca="true" t="shared" si="13" ref="Z24:Z43">IF(O24="RF",J24*S24*ROUND(N24/60,2),"--")</f>
        <v>--</v>
      </c>
      <c r="AA24" s="417" t="str">
        <f aca="true" t="shared" si="14" ref="AA24:AA43">IF(O24="RR",J24*S24*ROUND(N24/60,2)*Q24/100,"--")</f>
        <v>--</v>
      </c>
      <c r="AB24" s="27" t="s">
        <v>156</v>
      </c>
      <c r="AC24" s="65">
        <f aca="true" t="shared" si="15" ref="AC24:AC43">IF(F24="","",SUM(T24:AA24)*IF(AB24="SI",1,2))</f>
        <v>4.538025000000001</v>
      </c>
      <c r="AD24" s="462"/>
    </row>
    <row r="25" spans="1:30" s="12" customFormat="1" ht="16.5" customHeight="1">
      <c r="A25" s="187"/>
      <c r="B25" s="193"/>
      <c r="C25" s="705">
        <v>11</v>
      </c>
      <c r="D25" s="705">
        <v>221420</v>
      </c>
      <c r="E25" s="705">
        <v>1812</v>
      </c>
      <c r="F25" s="570" t="s">
        <v>16</v>
      </c>
      <c r="G25" s="569" t="s">
        <v>163</v>
      </c>
      <c r="H25" s="706">
        <v>15</v>
      </c>
      <c r="I25" s="768" t="s">
        <v>161</v>
      </c>
      <c r="J25" s="306">
        <f t="shared" si="0"/>
        <v>3.645</v>
      </c>
      <c r="K25" s="709">
        <v>40296.345138888886</v>
      </c>
      <c r="L25" s="709">
        <v>40296.38888888889</v>
      </c>
      <c r="M25" s="28">
        <f t="shared" si="1"/>
        <v>1.0500000001047738</v>
      </c>
      <c r="N25" s="29">
        <f t="shared" si="2"/>
        <v>63</v>
      </c>
      <c r="O25" s="710" t="s">
        <v>155</v>
      </c>
      <c r="P25" s="27" t="str">
        <f t="shared" si="3"/>
        <v>--</v>
      </c>
      <c r="Q25" s="789" t="str">
        <f t="shared" si="4"/>
        <v>--</v>
      </c>
      <c r="R25" s="27" t="s">
        <v>169</v>
      </c>
      <c r="S25" s="377">
        <f t="shared" si="6"/>
        <v>0.30000000000000004</v>
      </c>
      <c r="T25" s="381">
        <f t="shared" si="7"/>
        <v>1.1481750000000002</v>
      </c>
      <c r="U25" s="387" t="str">
        <f t="shared" si="8"/>
        <v>--</v>
      </c>
      <c r="V25" s="396" t="str">
        <f t="shared" si="9"/>
        <v>--</v>
      </c>
      <c r="W25" s="397" t="str">
        <f t="shared" si="10"/>
        <v>--</v>
      </c>
      <c r="X25" s="405" t="str">
        <f t="shared" si="11"/>
        <v>--</v>
      </c>
      <c r="Y25" s="406" t="str">
        <f t="shared" si="12"/>
        <v>--</v>
      </c>
      <c r="Z25" s="411" t="str">
        <f t="shared" si="13"/>
        <v>--</v>
      </c>
      <c r="AA25" s="417" t="str">
        <f t="shared" si="14"/>
        <v>--</v>
      </c>
      <c r="AB25" s="27" t="str">
        <f aca="true" t="shared" si="16" ref="AB25:AB43">IF(F25="","","SI")</f>
        <v>SI</v>
      </c>
      <c r="AC25" s="65">
        <f t="shared" si="15"/>
        <v>1.1481750000000002</v>
      </c>
      <c r="AD25" s="462"/>
    </row>
    <row r="26" spans="1:30" s="12" customFormat="1" ht="16.5" customHeight="1">
      <c r="A26" s="187"/>
      <c r="B26" s="193"/>
      <c r="C26" s="705">
        <v>12</v>
      </c>
      <c r="D26" s="705">
        <v>221421</v>
      </c>
      <c r="E26" s="705">
        <v>1812</v>
      </c>
      <c r="F26" s="570" t="s">
        <v>16</v>
      </c>
      <c r="G26" s="569" t="s">
        <v>163</v>
      </c>
      <c r="H26" s="706">
        <v>15</v>
      </c>
      <c r="I26" s="768" t="s">
        <v>161</v>
      </c>
      <c r="J26" s="306">
        <f t="shared" si="0"/>
        <v>3.645</v>
      </c>
      <c r="K26" s="709">
        <v>40297.36111111111</v>
      </c>
      <c r="L26" s="709">
        <v>40297.37777777778</v>
      </c>
      <c r="M26" s="28">
        <f t="shared" si="1"/>
        <v>0.4000000000814907</v>
      </c>
      <c r="N26" s="29">
        <f t="shared" si="2"/>
        <v>24</v>
      </c>
      <c r="O26" s="710" t="s">
        <v>155</v>
      </c>
      <c r="P26" s="27" t="str">
        <f t="shared" si="3"/>
        <v>--</v>
      </c>
      <c r="Q26" s="789" t="str">
        <f t="shared" si="4"/>
        <v>--</v>
      </c>
      <c r="R26" s="27" t="s">
        <v>169</v>
      </c>
      <c r="S26" s="377">
        <f t="shared" si="6"/>
        <v>0.30000000000000004</v>
      </c>
      <c r="T26" s="381">
        <f t="shared" si="7"/>
        <v>0.43740000000000007</v>
      </c>
      <c r="U26" s="387" t="str">
        <f t="shared" si="8"/>
        <v>--</v>
      </c>
      <c r="V26" s="396" t="str">
        <f t="shared" si="9"/>
        <v>--</v>
      </c>
      <c r="W26" s="397" t="str">
        <f t="shared" si="10"/>
        <v>--</v>
      </c>
      <c r="X26" s="405" t="str">
        <f t="shared" si="11"/>
        <v>--</v>
      </c>
      <c r="Y26" s="406" t="str">
        <f t="shared" si="12"/>
        <v>--</v>
      </c>
      <c r="Z26" s="411" t="str">
        <f t="shared" si="13"/>
        <v>--</v>
      </c>
      <c r="AA26" s="417" t="str">
        <f t="shared" si="14"/>
        <v>--</v>
      </c>
      <c r="AB26" s="27" t="str">
        <f t="shared" si="16"/>
        <v>SI</v>
      </c>
      <c r="AC26" s="65">
        <f t="shared" si="15"/>
        <v>0.43740000000000007</v>
      </c>
      <c r="AD26" s="462"/>
    </row>
    <row r="27" spans="1:30" s="12" customFormat="1" ht="16.5" customHeight="1">
      <c r="A27" s="187"/>
      <c r="B27" s="193"/>
      <c r="C27" s="705">
        <v>13</v>
      </c>
      <c r="D27" s="705">
        <v>221422</v>
      </c>
      <c r="E27" s="705">
        <v>1813</v>
      </c>
      <c r="F27" s="570" t="s">
        <v>16</v>
      </c>
      <c r="G27" s="569" t="s">
        <v>160</v>
      </c>
      <c r="H27" s="706">
        <v>15</v>
      </c>
      <c r="I27" s="768" t="s">
        <v>161</v>
      </c>
      <c r="J27" s="306">
        <f t="shared" si="0"/>
        <v>3.645</v>
      </c>
      <c r="K27" s="709">
        <v>40297.365277777775</v>
      </c>
      <c r="L27" s="709">
        <v>40297.36736111111</v>
      </c>
      <c r="M27" s="28">
        <f t="shared" si="1"/>
        <v>0.04999999998835847</v>
      </c>
      <c r="N27" s="29">
        <f t="shared" si="2"/>
        <v>3</v>
      </c>
      <c r="O27" s="710" t="s">
        <v>158</v>
      </c>
      <c r="P27" s="27" t="str">
        <f t="shared" si="3"/>
        <v>NO</v>
      </c>
      <c r="Q27" s="789" t="str">
        <f t="shared" si="4"/>
        <v>--</v>
      </c>
      <c r="R27" s="27" t="s">
        <v>156</v>
      </c>
      <c r="S27" s="377">
        <f t="shared" si="6"/>
        <v>30</v>
      </c>
      <c r="T27" s="381" t="str">
        <f t="shared" si="7"/>
        <v>--</v>
      </c>
      <c r="U27" s="387" t="str">
        <f t="shared" si="8"/>
        <v>--</v>
      </c>
      <c r="V27" s="396">
        <f t="shared" si="9"/>
        <v>109.35</v>
      </c>
      <c r="W27" s="397">
        <f t="shared" si="10"/>
        <v>5.4675</v>
      </c>
      <c r="X27" s="405" t="str">
        <f t="shared" si="11"/>
        <v>--</v>
      </c>
      <c r="Y27" s="406" t="str">
        <f t="shared" si="12"/>
        <v>--</v>
      </c>
      <c r="Z27" s="411" t="str">
        <f t="shared" si="13"/>
        <v>--</v>
      </c>
      <c r="AA27" s="417" t="str">
        <f t="shared" si="14"/>
        <v>--</v>
      </c>
      <c r="AB27" s="27" t="str">
        <f t="shared" si="16"/>
        <v>SI</v>
      </c>
      <c r="AC27" s="65">
        <f t="shared" si="15"/>
        <v>114.8175</v>
      </c>
      <c r="AD27" s="462"/>
    </row>
    <row r="28" spans="1:30" s="12" customFormat="1" ht="16.5" customHeight="1">
      <c r="A28" s="187"/>
      <c r="B28" s="193"/>
      <c r="C28" s="705">
        <v>14</v>
      </c>
      <c r="D28" s="705">
        <v>221430</v>
      </c>
      <c r="E28" s="705">
        <v>1813</v>
      </c>
      <c r="F28" s="570" t="s">
        <v>16</v>
      </c>
      <c r="G28" s="569" t="s">
        <v>160</v>
      </c>
      <c r="H28" s="706">
        <v>15</v>
      </c>
      <c r="I28" s="768" t="s">
        <v>161</v>
      </c>
      <c r="J28" s="306">
        <f t="shared" si="0"/>
        <v>3.645</v>
      </c>
      <c r="K28" s="709">
        <v>40297.381944444445</v>
      </c>
      <c r="L28" s="709">
        <v>40297.541666666664</v>
      </c>
      <c r="M28" s="28">
        <f t="shared" si="1"/>
        <v>3.833333333255723</v>
      </c>
      <c r="N28" s="29">
        <f t="shared" si="2"/>
        <v>230</v>
      </c>
      <c r="O28" s="710" t="s">
        <v>155</v>
      </c>
      <c r="P28" s="27" t="str">
        <f t="shared" si="3"/>
        <v>--</v>
      </c>
      <c r="Q28" s="789" t="str">
        <f t="shared" si="4"/>
        <v>--</v>
      </c>
      <c r="R28" s="27" t="s">
        <v>169</v>
      </c>
      <c r="S28" s="377">
        <f t="shared" si="6"/>
        <v>0.30000000000000004</v>
      </c>
      <c r="T28" s="381">
        <f t="shared" si="7"/>
        <v>4.188105</v>
      </c>
      <c r="U28" s="387" t="str">
        <f t="shared" si="8"/>
        <v>--</v>
      </c>
      <c r="V28" s="396" t="str">
        <f t="shared" si="9"/>
        <v>--</v>
      </c>
      <c r="W28" s="397" t="str">
        <f t="shared" si="10"/>
        <v>--</v>
      </c>
      <c r="X28" s="405" t="str">
        <f t="shared" si="11"/>
        <v>--</v>
      </c>
      <c r="Y28" s="406" t="str">
        <f t="shared" si="12"/>
        <v>--</v>
      </c>
      <c r="Z28" s="411" t="str">
        <f t="shared" si="13"/>
        <v>--</v>
      </c>
      <c r="AA28" s="417" t="str">
        <f t="shared" si="14"/>
        <v>--</v>
      </c>
      <c r="AB28" s="27" t="str">
        <f t="shared" si="16"/>
        <v>SI</v>
      </c>
      <c r="AC28" s="65">
        <f t="shared" si="15"/>
        <v>4.188105</v>
      </c>
      <c r="AD28" s="462"/>
    </row>
    <row r="29" spans="1:30" s="12" customFormat="1" ht="16.5" customHeight="1">
      <c r="A29" s="187"/>
      <c r="B29" s="193"/>
      <c r="C29" s="705"/>
      <c r="D29" s="705"/>
      <c r="E29" s="705"/>
      <c r="F29" s="570"/>
      <c r="G29" s="569"/>
      <c r="H29" s="706"/>
      <c r="I29" s="707"/>
      <c r="J29" s="306">
        <f t="shared" si="0"/>
        <v>0</v>
      </c>
      <c r="K29" s="709"/>
      <c r="L29" s="709"/>
      <c r="M29" s="28">
        <f t="shared" si="1"/>
      </c>
      <c r="N29" s="29">
        <f t="shared" si="2"/>
      </c>
      <c r="O29" s="710"/>
      <c r="P29" s="27">
        <f t="shared" si="3"/>
      </c>
      <c r="Q29" s="789">
        <f t="shared" si="4"/>
      </c>
      <c r="R29" s="27">
        <f t="shared" si="5"/>
      </c>
      <c r="S29" s="377">
        <f t="shared" si="6"/>
        <v>3</v>
      </c>
      <c r="T29" s="381" t="str">
        <f t="shared" si="7"/>
        <v>--</v>
      </c>
      <c r="U29" s="387" t="str">
        <f t="shared" si="8"/>
        <v>--</v>
      </c>
      <c r="V29" s="396" t="str">
        <f t="shared" si="9"/>
        <v>--</v>
      </c>
      <c r="W29" s="397" t="str">
        <f t="shared" si="10"/>
        <v>--</v>
      </c>
      <c r="X29" s="405" t="str">
        <f t="shared" si="11"/>
        <v>--</v>
      </c>
      <c r="Y29" s="406" t="str">
        <f t="shared" si="12"/>
        <v>--</v>
      </c>
      <c r="Z29" s="411" t="str">
        <f t="shared" si="13"/>
        <v>--</v>
      </c>
      <c r="AA29" s="417" t="str">
        <f t="shared" si="14"/>
        <v>--</v>
      </c>
      <c r="AB29" s="27">
        <f t="shared" si="16"/>
      </c>
      <c r="AC29" s="65">
        <f t="shared" si="15"/>
      </c>
      <c r="AD29" s="462"/>
    </row>
    <row r="30" spans="1:30" s="12" customFormat="1" ht="16.5" customHeight="1">
      <c r="A30" s="187"/>
      <c r="B30" s="193"/>
      <c r="C30" s="705"/>
      <c r="D30" s="705"/>
      <c r="E30" s="705"/>
      <c r="F30" s="570"/>
      <c r="G30" s="569"/>
      <c r="H30" s="706"/>
      <c r="I30" s="707"/>
      <c r="J30" s="306">
        <f t="shared" si="0"/>
        <v>0</v>
      </c>
      <c r="K30" s="709"/>
      <c r="L30" s="709"/>
      <c r="M30" s="28">
        <f t="shared" si="1"/>
      </c>
      <c r="N30" s="29">
        <f t="shared" si="2"/>
      </c>
      <c r="O30" s="710"/>
      <c r="P30" s="27">
        <f t="shared" si="3"/>
      </c>
      <c r="Q30" s="789">
        <f t="shared" si="4"/>
      </c>
      <c r="R30" s="27">
        <f t="shared" si="5"/>
      </c>
      <c r="S30" s="377">
        <f t="shared" si="6"/>
        <v>3</v>
      </c>
      <c r="T30" s="381" t="str">
        <f t="shared" si="7"/>
        <v>--</v>
      </c>
      <c r="U30" s="387" t="str">
        <f t="shared" si="8"/>
        <v>--</v>
      </c>
      <c r="V30" s="396" t="str">
        <f t="shared" si="9"/>
        <v>--</v>
      </c>
      <c r="W30" s="397" t="str">
        <f t="shared" si="10"/>
        <v>--</v>
      </c>
      <c r="X30" s="405" t="str">
        <f t="shared" si="11"/>
        <v>--</v>
      </c>
      <c r="Y30" s="406" t="str">
        <f t="shared" si="12"/>
        <v>--</v>
      </c>
      <c r="Z30" s="411" t="str">
        <f t="shared" si="13"/>
        <v>--</v>
      </c>
      <c r="AA30" s="417" t="str">
        <f t="shared" si="14"/>
        <v>--</v>
      </c>
      <c r="AB30" s="27">
        <f t="shared" si="16"/>
      </c>
      <c r="AC30" s="65">
        <f t="shared" si="15"/>
      </c>
      <c r="AD30" s="40"/>
    </row>
    <row r="31" spans="1:30" s="12" customFormat="1" ht="16.5" customHeight="1">
      <c r="A31" s="187"/>
      <c r="B31" s="193"/>
      <c r="C31" s="705"/>
      <c r="D31" s="705"/>
      <c r="E31" s="705"/>
      <c r="F31" s="570"/>
      <c r="G31" s="569"/>
      <c r="H31" s="706"/>
      <c r="I31" s="707"/>
      <c r="J31" s="306">
        <f t="shared" si="0"/>
        <v>0</v>
      </c>
      <c r="K31" s="709"/>
      <c r="L31" s="709"/>
      <c r="M31" s="28">
        <f t="shared" si="1"/>
      </c>
      <c r="N31" s="29">
        <f t="shared" si="2"/>
      </c>
      <c r="O31" s="710"/>
      <c r="P31" s="27">
        <f t="shared" si="3"/>
      </c>
      <c r="Q31" s="789">
        <f t="shared" si="4"/>
      </c>
      <c r="R31" s="27">
        <f t="shared" si="5"/>
      </c>
      <c r="S31" s="377">
        <f t="shared" si="6"/>
        <v>3</v>
      </c>
      <c r="T31" s="381" t="str">
        <f t="shared" si="7"/>
        <v>--</v>
      </c>
      <c r="U31" s="387" t="str">
        <f t="shared" si="8"/>
        <v>--</v>
      </c>
      <c r="V31" s="396" t="str">
        <f t="shared" si="9"/>
        <v>--</v>
      </c>
      <c r="W31" s="397" t="str">
        <f t="shared" si="10"/>
        <v>--</v>
      </c>
      <c r="X31" s="405" t="str">
        <f t="shared" si="11"/>
        <v>--</v>
      </c>
      <c r="Y31" s="406" t="str">
        <f t="shared" si="12"/>
        <v>--</v>
      </c>
      <c r="Z31" s="411" t="str">
        <f t="shared" si="13"/>
        <v>--</v>
      </c>
      <c r="AA31" s="417" t="str">
        <f t="shared" si="14"/>
        <v>--</v>
      </c>
      <c r="AB31" s="27">
        <f t="shared" si="16"/>
      </c>
      <c r="AC31" s="65">
        <f t="shared" si="15"/>
      </c>
      <c r="AD31" s="40"/>
    </row>
    <row r="32" spans="1:30" s="12" customFormat="1" ht="16.5" customHeight="1">
      <c r="A32" s="187"/>
      <c r="B32" s="193"/>
      <c r="C32" s="705"/>
      <c r="D32" s="705"/>
      <c r="E32" s="705"/>
      <c r="F32" s="570"/>
      <c r="G32" s="569"/>
      <c r="H32" s="706"/>
      <c r="I32" s="707"/>
      <c r="J32" s="306">
        <f t="shared" si="0"/>
        <v>0</v>
      </c>
      <c r="K32" s="709"/>
      <c r="L32" s="709"/>
      <c r="M32" s="28">
        <f t="shared" si="1"/>
      </c>
      <c r="N32" s="29">
        <f t="shared" si="2"/>
      </c>
      <c r="O32" s="710"/>
      <c r="P32" s="27">
        <f t="shared" si="3"/>
      </c>
      <c r="Q32" s="789">
        <f t="shared" si="4"/>
      </c>
      <c r="R32" s="27">
        <f t="shared" si="5"/>
      </c>
      <c r="S32" s="377">
        <f t="shared" si="6"/>
        <v>3</v>
      </c>
      <c r="T32" s="381" t="str">
        <f t="shared" si="7"/>
        <v>--</v>
      </c>
      <c r="U32" s="387" t="str">
        <f t="shared" si="8"/>
        <v>--</v>
      </c>
      <c r="V32" s="396" t="str">
        <f t="shared" si="9"/>
        <v>--</v>
      </c>
      <c r="W32" s="397" t="str">
        <f t="shared" si="10"/>
        <v>--</v>
      </c>
      <c r="X32" s="405" t="str">
        <f t="shared" si="11"/>
        <v>--</v>
      </c>
      <c r="Y32" s="406" t="str">
        <f t="shared" si="12"/>
        <v>--</v>
      </c>
      <c r="Z32" s="411" t="str">
        <f t="shared" si="13"/>
        <v>--</v>
      </c>
      <c r="AA32" s="417" t="str">
        <f t="shared" si="14"/>
        <v>--</v>
      </c>
      <c r="AB32" s="27">
        <f t="shared" si="16"/>
      </c>
      <c r="AC32" s="65">
        <f t="shared" si="15"/>
      </c>
      <c r="AD32" s="40"/>
    </row>
    <row r="33" spans="1:30" s="12" customFormat="1" ht="16.5" customHeight="1">
      <c r="A33" s="187"/>
      <c r="B33" s="193"/>
      <c r="C33" s="705"/>
      <c r="D33" s="705"/>
      <c r="E33" s="705"/>
      <c r="F33" s="570"/>
      <c r="G33" s="569"/>
      <c r="H33" s="706"/>
      <c r="I33" s="707"/>
      <c r="J33" s="306">
        <f t="shared" si="0"/>
        <v>0</v>
      </c>
      <c r="K33" s="709"/>
      <c r="L33" s="709"/>
      <c r="M33" s="28">
        <f t="shared" si="1"/>
      </c>
      <c r="N33" s="29">
        <f t="shared" si="2"/>
      </c>
      <c r="O33" s="710"/>
      <c r="P33" s="27">
        <f t="shared" si="3"/>
      </c>
      <c r="Q33" s="789">
        <f t="shared" si="4"/>
      </c>
      <c r="R33" s="27">
        <f t="shared" si="5"/>
      </c>
      <c r="S33" s="377">
        <f t="shared" si="6"/>
        <v>3</v>
      </c>
      <c r="T33" s="381" t="str">
        <f t="shared" si="7"/>
        <v>--</v>
      </c>
      <c r="U33" s="387" t="str">
        <f t="shared" si="8"/>
        <v>--</v>
      </c>
      <c r="V33" s="396" t="str">
        <f t="shared" si="9"/>
        <v>--</v>
      </c>
      <c r="W33" s="397" t="str">
        <f t="shared" si="10"/>
        <v>--</v>
      </c>
      <c r="X33" s="405" t="str">
        <f t="shared" si="11"/>
        <v>--</v>
      </c>
      <c r="Y33" s="406" t="str">
        <f t="shared" si="12"/>
        <v>--</v>
      </c>
      <c r="Z33" s="411" t="str">
        <f t="shared" si="13"/>
        <v>--</v>
      </c>
      <c r="AA33" s="417" t="str">
        <f t="shared" si="14"/>
        <v>--</v>
      </c>
      <c r="AB33" s="27">
        <f t="shared" si="16"/>
      </c>
      <c r="AC33" s="65">
        <f t="shared" si="15"/>
      </c>
      <c r="AD33" s="40"/>
    </row>
    <row r="34" spans="1:30" s="12" customFormat="1" ht="16.5" customHeight="1">
      <c r="A34" s="187"/>
      <c r="B34" s="193"/>
      <c r="C34" s="705"/>
      <c r="D34" s="705"/>
      <c r="E34" s="705"/>
      <c r="F34" s="570"/>
      <c r="G34" s="569"/>
      <c r="H34" s="706"/>
      <c r="I34" s="707"/>
      <c r="J34" s="306">
        <f t="shared" si="0"/>
        <v>0</v>
      </c>
      <c r="K34" s="709"/>
      <c r="L34" s="709"/>
      <c r="M34" s="28">
        <f t="shared" si="1"/>
      </c>
      <c r="N34" s="29">
        <f t="shared" si="2"/>
      </c>
      <c r="O34" s="710"/>
      <c r="P34" s="27">
        <f t="shared" si="3"/>
      </c>
      <c r="Q34" s="789">
        <f t="shared" si="4"/>
      </c>
      <c r="R34" s="27">
        <f t="shared" si="5"/>
      </c>
      <c r="S34" s="377">
        <f t="shared" si="6"/>
        <v>3</v>
      </c>
      <c r="T34" s="381" t="str">
        <f t="shared" si="7"/>
        <v>--</v>
      </c>
      <c r="U34" s="387" t="str">
        <f t="shared" si="8"/>
        <v>--</v>
      </c>
      <c r="V34" s="396" t="str">
        <f t="shared" si="9"/>
        <v>--</v>
      </c>
      <c r="W34" s="397" t="str">
        <f t="shared" si="10"/>
        <v>--</v>
      </c>
      <c r="X34" s="405" t="str">
        <f t="shared" si="11"/>
        <v>--</v>
      </c>
      <c r="Y34" s="406" t="str">
        <f t="shared" si="12"/>
        <v>--</v>
      </c>
      <c r="Z34" s="411" t="str">
        <f t="shared" si="13"/>
        <v>--</v>
      </c>
      <c r="AA34" s="417" t="str">
        <f t="shared" si="14"/>
        <v>--</v>
      </c>
      <c r="AB34" s="27">
        <f t="shared" si="16"/>
      </c>
      <c r="AC34" s="65">
        <f t="shared" si="15"/>
      </c>
      <c r="AD34" s="40"/>
    </row>
    <row r="35" spans="1:30" s="12" customFormat="1" ht="16.5" customHeight="1">
      <c r="A35" s="187"/>
      <c r="B35" s="193"/>
      <c r="C35" s="705"/>
      <c r="D35" s="705"/>
      <c r="E35" s="705"/>
      <c r="F35" s="570"/>
      <c r="G35" s="569"/>
      <c r="H35" s="706"/>
      <c r="I35" s="707"/>
      <c r="J35" s="306">
        <f t="shared" si="0"/>
        <v>0</v>
      </c>
      <c r="K35" s="709"/>
      <c r="L35" s="709"/>
      <c r="M35" s="28">
        <f t="shared" si="1"/>
      </c>
      <c r="N35" s="29">
        <f t="shared" si="2"/>
      </c>
      <c r="O35" s="710"/>
      <c r="P35" s="27">
        <f t="shared" si="3"/>
      </c>
      <c r="Q35" s="789">
        <f t="shared" si="4"/>
      </c>
      <c r="R35" s="27">
        <f t="shared" si="5"/>
      </c>
      <c r="S35" s="377">
        <f t="shared" si="6"/>
        <v>3</v>
      </c>
      <c r="T35" s="381" t="str">
        <f t="shared" si="7"/>
        <v>--</v>
      </c>
      <c r="U35" s="387" t="str">
        <f t="shared" si="8"/>
        <v>--</v>
      </c>
      <c r="V35" s="396" t="str">
        <f t="shared" si="9"/>
        <v>--</v>
      </c>
      <c r="W35" s="397" t="str">
        <f t="shared" si="10"/>
        <v>--</v>
      </c>
      <c r="X35" s="405" t="str">
        <f t="shared" si="11"/>
        <v>--</v>
      </c>
      <c r="Y35" s="406" t="str">
        <f t="shared" si="12"/>
        <v>--</v>
      </c>
      <c r="Z35" s="411" t="str">
        <f t="shared" si="13"/>
        <v>--</v>
      </c>
      <c r="AA35" s="417" t="str">
        <f t="shared" si="14"/>
        <v>--</v>
      </c>
      <c r="AB35" s="27">
        <f t="shared" si="16"/>
      </c>
      <c r="AC35" s="65">
        <f t="shared" si="15"/>
      </c>
      <c r="AD35" s="40"/>
    </row>
    <row r="36" spans="1:30" s="12" customFormat="1" ht="16.5" customHeight="1">
      <c r="A36" s="187"/>
      <c r="B36" s="193"/>
      <c r="C36" s="705"/>
      <c r="D36" s="705"/>
      <c r="E36" s="705"/>
      <c r="F36" s="570"/>
      <c r="G36" s="569"/>
      <c r="H36" s="706"/>
      <c r="I36" s="707"/>
      <c r="J36" s="306">
        <f t="shared" si="0"/>
        <v>0</v>
      </c>
      <c r="K36" s="709"/>
      <c r="L36" s="709"/>
      <c r="M36" s="28">
        <f t="shared" si="1"/>
      </c>
      <c r="N36" s="29">
        <f t="shared" si="2"/>
      </c>
      <c r="O36" s="710"/>
      <c r="P36" s="27">
        <f t="shared" si="3"/>
      </c>
      <c r="Q36" s="789">
        <f t="shared" si="4"/>
      </c>
      <c r="R36" s="27">
        <f t="shared" si="5"/>
      </c>
      <c r="S36" s="377">
        <f t="shared" si="6"/>
        <v>3</v>
      </c>
      <c r="T36" s="381" t="str">
        <f t="shared" si="7"/>
        <v>--</v>
      </c>
      <c r="U36" s="387" t="str">
        <f t="shared" si="8"/>
        <v>--</v>
      </c>
      <c r="V36" s="396" t="str">
        <f t="shared" si="9"/>
        <v>--</v>
      </c>
      <c r="W36" s="397" t="str">
        <f t="shared" si="10"/>
        <v>--</v>
      </c>
      <c r="X36" s="405" t="str">
        <f t="shared" si="11"/>
        <v>--</v>
      </c>
      <c r="Y36" s="406" t="str">
        <f t="shared" si="12"/>
        <v>--</v>
      </c>
      <c r="Z36" s="411" t="str">
        <f t="shared" si="13"/>
        <v>--</v>
      </c>
      <c r="AA36" s="417" t="str">
        <f t="shared" si="14"/>
        <v>--</v>
      </c>
      <c r="AB36" s="27">
        <f t="shared" si="16"/>
      </c>
      <c r="AC36" s="65">
        <f t="shared" si="15"/>
      </c>
      <c r="AD36" s="40"/>
    </row>
    <row r="37" spans="1:30" s="12" customFormat="1" ht="16.5" customHeight="1">
      <c r="A37" s="187"/>
      <c r="B37" s="193"/>
      <c r="C37" s="705"/>
      <c r="D37" s="705"/>
      <c r="E37" s="705"/>
      <c r="F37" s="570"/>
      <c r="G37" s="569"/>
      <c r="H37" s="706"/>
      <c r="I37" s="707"/>
      <c r="J37" s="306">
        <f t="shared" si="0"/>
        <v>0</v>
      </c>
      <c r="K37" s="709"/>
      <c r="L37" s="709"/>
      <c r="M37" s="28">
        <f t="shared" si="1"/>
      </c>
      <c r="N37" s="29">
        <f t="shared" si="2"/>
      </c>
      <c r="O37" s="710"/>
      <c r="P37" s="27">
        <f t="shared" si="3"/>
      </c>
      <c r="Q37" s="789">
        <f t="shared" si="4"/>
      </c>
      <c r="R37" s="27">
        <f t="shared" si="5"/>
      </c>
      <c r="S37" s="377">
        <f t="shared" si="6"/>
        <v>3</v>
      </c>
      <c r="T37" s="381" t="str">
        <f t="shared" si="7"/>
        <v>--</v>
      </c>
      <c r="U37" s="387" t="str">
        <f t="shared" si="8"/>
        <v>--</v>
      </c>
      <c r="V37" s="396" t="str">
        <f t="shared" si="9"/>
        <v>--</v>
      </c>
      <c r="W37" s="397" t="str">
        <f t="shared" si="10"/>
        <v>--</v>
      </c>
      <c r="X37" s="405" t="str">
        <f t="shared" si="11"/>
        <v>--</v>
      </c>
      <c r="Y37" s="406" t="str">
        <f t="shared" si="12"/>
        <v>--</v>
      </c>
      <c r="Z37" s="411" t="str">
        <f t="shared" si="13"/>
        <v>--</v>
      </c>
      <c r="AA37" s="417" t="str">
        <f t="shared" si="14"/>
        <v>--</v>
      </c>
      <c r="AB37" s="27">
        <f t="shared" si="16"/>
      </c>
      <c r="AC37" s="65">
        <f t="shared" si="15"/>
      </c>
      <c r="AD37" s="40"/>
    </row>
    <row r="38" spans="1:30" s="12" customFormat="1" ht="16.5" customHeight="1">
      <c r="A38" s="187"/>
      <c r="B38" s="193"/>
      <c r="C38" s="705"/>
      <c r="D38" s="705"/>
      <c r="E38" s="705"/>
      <c r="F38" s="570"/>
      <c r="G38" s="569"/>
      <c r="H38" s="706"/>
      <c r="I38" s="707"/>
      <c r="J38" s="306">
        <f t="shared" si="0"/>
        <v>0</v>
      </c>
      <c r="K38" s="709"/>
      <c r="L38" s="709"/>
      <c r="M38" s="28">
        <f t="shared" si="1"/>
      </c>
      <c r="N38" s="29">
        <f t="shared" si="2"/>
      </c>
      <c r="O38" s="710"/>
      <c r="P38" s="27">
        <f t="shared" si="3"/>
      </c>
      <c r="Q38" s="789">
        <f t="shared" si="4"/>
      </c>
      <c r="R38" s="27">
        <f t="shared" si="5"/>
      </c>
      <c r="S38" s="377">
        <f t="shared" si="6"/>
        <v>3</v>
      </c>
      <c r="T38" s="381" t="str">
        <f t="shared" si="7"/>
        <v>--</v>
      </c>
      <c r="U38" s="387" t="str">
        <f t="shared" si="8"/>
        <v>--</v>
      </c>
      <c r="V38" s="396" t="str">
        <f t="shared" si="9"/>
        <v>--</v>
      </c>
      <c r="W38" s="397" t="str">
        <f t="shared" si="10"/>
        <v>--</v>
      </c>
      <c r="X38" s="405" t="str">
        <f t="shared" si="11"/>
        <v>--</v>
      </c>
      <c r="Y38" s="406" t="str">
        <f t="shared" si="12"/>
        <v>--</v>
      </c>
      <c r="Z38" s="411" t="str">
        <f t="shared" si="13"/>
        <v>--</v>
      </c>
      <c r="AA38" s="417" t="str">
        <f t="shared" si="14"/>
        <v>--</v>
      </c>
      <c r="AB38" s="27">
        <f t="shared" si="16"/>
      </c>
      <c r="AC38" s="65">
        <f t="shared" si="15"/>
      </c>
      <c r="AD38" s="40"/>
    </row>
    <row r="39" spans="1:30" s="12" customFormat="1" ht="16.5" customHeight="1">
      <c r="A39" s="187"/>
      <c r="B39" s="193"/>
      <c r="C39" s="705"/>
      <c r="D39" s="705"/>
      <c r="E39" s="705"/>
      <c r="F39" s="570"/>
      <c r="G39" s="569"/>
      <c r="H39" s="706"/>
      <c r="I39" s="707"/>
      <c r="J39" s="306">
        <f t="shared" si="0"/>
        <v>0</v>
      </c>
      <c r="K39" s="709"/>
      <c r="L39" s="709"/>
      <c r="M39" s="28">
        <f t="shared" si="1"/>
      </c>
      <c r="N39" s="29">
        <f t="shared" si="2"/>
      </c>
      <c r="O39" s="710"/>
      <c r="P39" s="27">
        <f t="shared" si="3"/>
      </c>
      <c r="Q39" s="789">
        <f t="shared" si="4"/>
      </c>
      <c r="R39" s="27">
        <f t="shared" si="5"/>
      </c>
      <c r="S39" s="377">
        <f t="shared" si="6"/>
        <v>3</v>
      </c>
      <c r="T39" s="381" t="str">
        <f t="shared" si="7"/>
        <v>--</v>
      </c>
      <c r="U39" s="387" t="str">
        <f t="shared" si="8"/>
        <v>--</v>
      </c>
      <c r="V39" s="396" t="str">
        <f t="shared" si="9"/>
        <v>--</v>
      </c>
      <c r="W39" s="397" t="str">
        <f t="shared" si="10"/>
        <v>--</v>
      </c>
      <c r="X39" s="405" t="str">
        <f t="shared" si="11"/>
        <v>--</v>
      </c>
      <c r="Y39" s="406" t="str">
        <f t="shared" si="12"/>
        <v>--</v>
      </c>
      <c r="Z39" s="411" t="str">
        <f t="shared" si="13"/>
        <v>--</v>
      </c>
      <c r="AA39" s="417" t="str">
        <f t="shared" si="14"/>
        <v>--</v>
      </c>
      <c r="AB39" s="27">
        <f t="shared" si="16"/>
      </c>
      <c r="AC39" s="65">
        <f t="shared" si="15"/>
      </c>
      <c r="AD39" s="40"/>
    </row>
    <row r="40" spans="1:30" s="12" customFormat="1" ht="16.5" customHeight="1">
      <c r="A40" s="187"/>
      <c r="B40" s="193"/>
      <c r="C40" s="705"/>
      <c r="D40" s="705"/>
      <c r="E40" s="705"/>
      <c r="F40" s="570"/>
      <c r="G40" s="569"/>
      <c r="H40" s="706"/>
      <c r="I40" s="707"/>
      <c r="J40" s="306">
        <f t="shared" si="0"/>
        <v>0</v>
      </c>
      <c r="K40" s="709"/>
      <c r="L40" s="709"/>
      <c r="M40" s="28">
        <f t="shared" si="1"/>
      </c>
      <c r="N40" s="29">
        <f t="shared" si="2"/>
      </c>
      <c r="O40" s="710"/>
      <c r="P40" s="27">
        <f t="shared" si="3"/>
      </c>
      <c r="Q40" s="789">
        <f t="shared" si="4"/>
      </c>
      <c r="R40" s="27">
        <f t="shared" si="5"/>
      </c>
      <c r="S40" s="377">
        <f t="shared" si="6"/>
        <v>3</v>
      </c>
      <c r="T40" s="381" t="str">
        <f t="shared" si="7"/>
        <v>--</v>
      </c>
      <c r="U40" s="387" t="str">
        <f t="shared" si="8"/>
        <v>--</v>
      </c>
      <c r="V40" s="396" t="str">
        <f t="shared" si="9"/>
        <v>--</v>
      </c>
      <c r="W40" s="397" t="str">
        <f t="shared" si="10"/>
        <v>--</v>
      </c>
      <c r="X40" s="405" t="str">
        <f t="shared" si="11"/>
        <v>--</v>
      </c>
      <c r="Y40" s="406" t="str">
        <f t="shared" si="12"/>
        <v>--</v>
      </c>
      <c r="Z40" s="411" t="str">
        <f t="shared" si="13"/>
        <v>--</v>
      </c>
      <c r="AA40" s="417" t="str">
        <f t="shared" si="14"/>
        <v>--</v>
      </c>
      <c r="AB40" s="27">
        <f t="shared" si="16"/>
      </c>
      <c r="AC40" s="65">
        <f t="shared" si="15"/>
      </c>
      <c r="AD40" s="40"/>
    </row>
    <row r="41" spans="1:30" s="12" customFormat="1" ht="16.5" customHeight="1">
      <c r="A41" s="187"/>
      <c r="B41" s="193"/>
      <c r="C41" s="705"/>
      <c r="D41" s="705"/>
      <c r="E41" s="705"/>
      <c r="F41" s="570"/>
      <c r="G41" s="569"/>
      <c r="H41" s="706"/>
      <c r="I41" s="707"/>
      <c r="J41" s="306">
        <f t="shared" si="0"/>
        <v>0</v>
      </c>
      <c r="K41" s="709"/>
      <c r="L41" s="709"/>
      <c r="M41" s="28">
        <f t="shared" si="1"/>
      </c>
      <c r="N41" s="29">
        <f t="shared" si="2"/>
      </c>
      <c r="O41" s="710"/>
      <c r="P41" s="27">
        <f t="shared" si="3"/>
      </c>
      <c r="Q41" s="789">
        <f t="shared" si="4"/>
      </c>
      <c r="R41" s="27">
        <f t="shared" si="5"/>
      </c>
      <c r="S41" s="377">
        <f t="shared" si="6"/>
        <v>3</v>
      </c>
      <c r="T41" s="381" t="str">
        <f t="shared" si="7"/>
        <v>--</v>
      </c>
      <c r="U41" s="387" t="str">
        <f t="shared" si="8"/>
        <v>--</v>
      </c>
      <c r="V41" s="396" t="str">
        <f t="shared" si="9"/>
        <v>--</v>
      </c>
      <c r="W41" s="397" t="str">
        <f t="shared" si="10"/>
        <v>--</v>
      </c>
      <c r="X41" s="405" t="str">
        <f t="shared" si="11"/>
        <v>--</v>
      </c>
      <c r="Y41" s="406" t="str">
        <f t="shared" si="12"/>
        <v>--</v>
      </c>
      <c r="Z41" s="411" t="str">
        <f t="shared" si="13"/>
        <v>--</v>
      </c>
      <c r="AA41" s="417" t="str">
        <f t="shared" si="14"/>
        <v>--</v>
      </c>
      <c r="AB41" s="27">
        <f t="shared" si="16"/>
      </c>
      <c r="AC41" s="65">
        <f t="shared" si="15"/>
      </c>
      <c r="AD41" s="40"/>
    </row>
    <row r="42" spans="1:30" s="12" customFormat="1" ht="16.5" customHeight="1">
      <c r="A42" s="187"/>
      <c r="B42" s="193"/>
      <c r="C42" s="705"/>
      <c r="D42" s="705"/>
      <c r="E42" s="705"/>
      <c r="F42" s="570"/>
      <c r="G42" s="569"/>
      <c r="H42" s="706"/>
      <c r="I42" s="707"/>
      <c r="J42" s="306">
        <f t="shared" si="0"/>
        <v>0</v>
      </c>
      <c r="K42" s="709"/>
      <c r="L42" s="709"/>
      <c r="M42" s="28">
        <f t="shared" si="1"/>
      </c>
      <c r="N42" s="29">
        <f t="shared" si="2"/>
      </c>
      <c r="O42" s="710"/>
      <c r="P42" s="27">
        <f t="shared" si="3"/>
      </c>
      <c r="Q42" s="789">
        <f t="shared" si="4"/>
      </c>
      <c r="R42" s="27">
        <f t="shared" si="5"/>
      </c>
      <c r="S42" s="377">
        <f t="shared" si="6"/>
        <v>3</v>
      </c>
      <c r="T42" s="381" t="str">
        <f t="shared" si="7"/>
        <v>--</v>
      </c>
      <c r="U42" s="387" t="str">
        <f t="shared" si="8"/>
        <v>--</v>
      </c>
      <c r="V42" s="396" t="str">
        <f t="shared" si="9"/>
        <v>--</v>
      </c>
      <c r="W42" s="397" t="str">
        <f t="shared" si="10"/>
        <v>--</v>
      </c>
      <c r="X42" s="405" t="str">
        <f t="shared" si="11"/>
        <v>--</v>
      </c>
      <c r="Y42" s="406" t="str">
        <f t="shared" si="12"/>
        <v>--</v>
      </c>
      <c r="Z42" s="411" t="str">
        <f t="shared" si="13"/>
        <v>--</v>
      </c>
      <c r="AA42" s="417" t="str">
        <f t="shared" si="14"/>
        <v>--</v>
      </c>
      <c r="AB42" s="27">
        <f t="shared" si="16"/>
      </c>
      <c r="AC42" s="65">
        <f t="shared" si="15"/>
      </c>
      <c r="AD42" s="40"/>
    </row>
    <row r="43" spans="1:30" s="12" customFormat="1" ht="16.5" customHeight="1">
      <c r="A43" s="187"/>
      <c r="B43" s="193"/>
      <c r="C43" s="705"/>
      <c r="D43" s="705"/>
      <c r="E43" s="705"/>
      <c r="F43" s="570"/>
      <c r="G43" s="569"/>
      <c r="H43" s="706"/>
      <c r="I43" s="707"/>
      <c r="J43" s="306">
        <f t="shared" si="0"/>
        <v>0</v>
      </c>
      <c r="K43" s="709"/>
      <c r="L43" s="709"/>
      <c r="M43" s="28">
        <f t="shared" si="1"/>
      </c>
      <c r="N43" s="29">
        <f t="shared" si="2"/>
      </c>
      <c r="O43" s="710"/>
      <c r="P43" s="27">
        <f t="shared" si="3"/>
      </c>
      <c r="Q43" s="789">
        <f t="shared" si="4"/>
      </c>
      <c r="R43" s="27">
        <f t="shared" si="5"/>
      </c>
      <c r="S43" s="377">
        <f t="shared" si="6"/>
        <v>3</v>
      </c>
      <c r="T43" s="381" t="str">
        <f t="shared" si="7"/>
        <v>--</v>
      </c>
      <c r="U43" s="387" t="str">
        <f t="shared" si="8"/>
        <v>--</v>
      </c>
      <c r="V43" s="396" t="str">
        <f t="shared" si="9"/>
        <v>--</v>
      </c>
      <c r="W43" s="397" t="str">
        <f t="shared" si="10"/>
        <v>--</v>
      </c>
      <c r="X43" s="405" t="str">
        <f t="shared" si="11"/>
        <v>--</v>
      </c>
      <c r="Y43" s="406" t="str">
        <f t="shared" si="12"/>
        <v>--</v>
      </c>
      <c r="Z43" s="411" t="str">
        <f t="shared" si="13"/>
        <v>--</v>
      </c>
      <c r="AA43" s="417" t="str">
        <f t="shared" si="14"/>
        <v>--</v>
      </c>
      <c r="AB43" s="27">
        <f t="shared" si="16"/>
      </c>
      <c r="AC43" s="65">
        <f t="shared" si="15"/>
      </c>
      <c r="AD43" s="40"/>
    </row>
    <row r="44" spans="1:30" s="12" customFormat="1" ht="16.5" customHeight="1" thickBot="1">
      <c r="A44" s="187"/>
      <c r="B44" s="193"/>
      <c r="C44" s="708"/>
      <c r="D44" s="708"/>
      <c r="E44" s="708"/>
      <c r="F44" s="708"/>
      <c r="G44" s="708"/>
      <c r="H44" s="708"/>
      <c r="I44" s="708"/>
      <c r="J44" s="310"/>
      <c r="K44" s="708"/>
      <c r="L44" s="708"/>
      <c r="M44" s="31"/>
      <c r="N44" s="31"/>
      <c r="O44" s="708"/>
      <c r="P44" s="708"/>
      <c r="Q44" s="708"/>
      <c r="R44" s="708"/>
      <c r="S44" s="378"/>
      <c r="T44" s="382"/>
      <c r="U44" s="388"/>
      <c r="V44" s="420"/>
      <c r="W44" s="421"/>
      <c r="X44" s="422"/>
      <c r="Y44" s="423"/>
      <c r="Z44" s="412"/>
      <c r="AA44" s="418"/>
      <c r="AB44" s="31"/>
      <c r="AC44" s="235"/>
      <c r="AD44" s="40"/>
    </row>
    <row r="45" spans="1:30" s="12" customFormat="1" ht="16.5" customHeight="1" thickBot="1" thickTop="1">
      <c r="A45" s="187"/>
      <c r="B45" s="193"/>
      <c r="C45" s="276" t="s">
        <v>70</v>
      </c>
      <c r="D45" s="888" t="s">
        <v>184</v>
      </c>
      <c r="E45" s="772"/>
      <c r="F45" s="277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83">
        <f aca="true" t="shared" si="17" ref="T45:AA45">SUM(T22:T44)</f>
        <v>10.311705000000002</v>
      </c>
      <c r="U45" s="389">
        <f t="shared" si="17"/>
        <v>0</v>
      </c>
      <c r="V45" s="398">
        <f t="shared" si="17"/>
        <v>109.35</v>
      </c>
      <c r="W45" s="398">
        <f t="shared" si="17"/>
        <v>5.4675</v>
      </c>
      <c r="X45" s="407">
        <f t="shared" si="17"/>
        <v>0</v>
      </c>
      <c r="Y45" s="407">
        <f t="shared" si="17"/>
        <v>0</v>
      </c>
      <c r="Z45" s="413">
        <f t="shared" si="17"/>
        <v>0</v>
      </c>
      <c r="AA45" s="419">
        <f t="shared" si="17"/>
        <v>0</v>
      </c>
      <c r="AB45" s="33"/>
      <c r="AC45" s="292">
        <f>ROUND(SUM(AC22:AC44),2)</f>
        <v>125.13</v>
      </c>
      <c r="AD45" s="40"/>
    </row>
    <row r="46" spans="1:30" s="295" customFormat="1" ht="9.75" thickTop="1">
      <c r="A46" s="296"/>
      <c r="B46" s="297"/>
      <c r="C46" s="278"/>
      <c r="D46" s="278"/>
      <c r="E46" s="278"/>
      <c r="F46" s="279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9"/>
      <c r="U46" s="299"/>
      <c r="V46" s="299"/>
      <c r="W46" s="299"/>
      <c r="X46" s="299"/>
      <c r="Y46" s="299"/>
      <c r="Z46" s="299"/>
      <c r="AA46" s="299"/>
      <c r="AB46" s="298"/>
      <c r="AC46" s="300"/>
      <c r="AD46" s="301"/>
    </row>
    <row r="47" spans="1:30" s="12" customFormat="1" ht="16.5" customHeight="1" thickBot="1">
      <c r="A47" s="187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2"/>
    </row>
    <row r="48" spans="2:30" ht="16.5" customHeight="1" thickTop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6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W49"/>
  <sheetViews>
    <sheetView zoomScale="70" zoomScaleNormal="70" workbookViewId="0" topLeftCell="A1">
      <selection activeCell="A28" sqref="A28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25" customFormat="1" ht="26.25">
      <c r="W1" s="471"/>
    </row>
    <row r="2" spans="2:23" s="125" customFormat="1" ht="26.25">
      <c r="B2" s="126" t="str">
        <f>+'TOT-0410'!B2</f>
        <v>ANEXO IV al Memorandum  D.T.E.E.  N°   456 /2011 </v>
      </c>
      <c r="C2" s="127"/>
      <c r="D2" s="127"/>
      <c r="E2" s="127"/>
      <c r="F2" s="127"/>
      <c r="G2" s="126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="12" customFormat="1" ht="12.75"/>
    <row r="4" spans="1:4" s="128" customFormat="1" ht="11.25">
      <c r="A4" s="775" t="s">
        <v>21</v>
      </c>
      <c r="C4" s="774"/>
      <c r="D4" s="774"/>
    </row>
    <row r="5" spans="1:4" s="128" customFormat="1" ht="11.25">
      <c r="A5" s="775" t="s">
        <v>150</v>
      </c>
      <c r="C5" s="774"/>
      <c r="D5" s="774"/>
    </row>
    <row r="6" s="12" customFormat="1" ht="13.5" thickBot="1"/>
    <row r="7" spans="2:23" s="12" customFormat="1" ht="13.5" thickTop="1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</row>
    <row r="8" spans="2:23" s="130" customFormat="1" ht="20.25">
      <c r="B8" s="129"/>
      <c r="C8" s="47"/>
      <c r="D8" s="47"/>
      <c r="E8" s="47"/>
      <c r="F8" s="23" t="s">
        <v>46</v>
      </c>
      <c r="P8" s="47"/>
      <c r="Q8" s="47"/>
      <c r="R8" s="47"/>
      <c r="S8" s="47"/>
      <c r="T8" s="47"/>
      <c r="U8" s="47"/>
      <c r="V8" s="47"/>
      <c r="W8" s="131"/>
    </row>
    <row r="9" spans="2:23" s="12" customFormat="1" ht="12.75">
      <c r="B9" s="46"/>
      <c r="C9" s="10"/>
      <c r="D9" s="10"/>
      <c r="E9" s="10"/>
      <c r="F9" s="10"/>
      <c r="G9" s="10"/>
      <c r="H9" s="10"/>
      <c r="I9" s="139"/>
      <c r="J9" s="139"/>
      <c r="K9" s="139"/>
      <c r="L9" s="139"/>
      <c r="M9" s="139"/>
      <c r="P9" s="10"/>
      <c r="Q9" s="10"/>
      <c r="R9" s="10"/>
      <c r="S9" s="10"/>
      <c r="T9" s="10"/>
      <c r="U9" s="10"/>
      <c r="V9" s="10"/>
      <c r="W9" s="13"/>
    </row>
    <row r="10" spans="2:23" s="130" customFormat="1" ht="20.25">
      <c r="B10" s="129"/>
      <c r="C10" s="47"/>
      <c r="D10" s="47"/>
      <c r="E10" s="47"/>
      <c r="F10" s="23" t="s">
        <v>145</v>
      </c>
      <c r="G10" s="23"/>
      <c r="H10" s="47"/>
      <c r="I10" s="23"/>
      <c r="J10" s="23"/>
      <c r="K10" s="23"/>
      <c r="L10" s="23"/>
      <c r="M10" s="23"/>
      <c r="P10" s="47"/>
      <c r="Q10" s="47"/>
      <c r="R10" s="47"/>
      <c r="S10" s="47"/>
      <c r="T10" s="47"/>
      <c r="U10" s="47"/>
      <c r="V10" s="47"/>
      <c r="W10" s="131"/>
    </row>
    <row r="11" spans="2:23" s="12" customFormat="1" ht="12.75">
      <c r="B11" s="46"/>
      <c r="C11" s="10"/>
      <c r="D11" s="10"/>
      <c r="E11" s="10"/>
      <c r="F11" s="141"/>
      <c r="G11" s="139"/>
      <c r="H11" s="10"/>
      <c r="I11" s="139"/>
      <c r="J11" s="139"/>
      <c r="K11" s="139"/>
      <c r="L11" s="139"/>
      <c r="M11" s="139"/>
      <c r="P11" s="10"/>
      <c r="Q11" s="10"/>
      <c r="R11" s="10"/>
      <c r="S11" s="10"/>
      <c r="T11" s="10"/>
      <c r="U11" s="10"/>
      <c r="V11" s="10"/>
      <c r="W11" s="13"/>
    </row>
    <row r="12" spans="2:23" s="137" customFormat="1" ht="19.5">
      <c r="B12" s="103" t="str">
        <f>+'TOT-0410'!B14</f>
        <v>Desde el 01 al 30 de abril de 2010</v>
      </c>
      <c r="C12" s="133"/>
      <c r="D12" s="133"/>
      <c r="E12" s="133"/>
      <c r="F12" s="133"/>
      <c r="G12" s="133"/>
      <c r="H12" s="102"/>
      <c r="I12" s="133"/>
      <c r="J12" s="134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6"/>
    </row>
    <row r="13" spans="2:23" s="137" customFormat="1" ht="7.5" customHeight="1">
      <c r="B13" s="103"/>
      <c r="C13" s="133"/>
      <c r="D13" s="133"/>
      <c r="E13" s="133"/>
      <c r="F13" s="133"/>
      <c r="G13" s="133"/>
      <c r="H13" s="102"/>
      <c r="I13" s="133"/>
      <c r="J13" s="134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6"/>
    </row>
    <row r="14" spans="2:23" s="12" customFormat="1" ht="7.5" customHeight="1" thickBot="1">
      <c r="B14" s="46"/>
      <c r="C14" s="10"/>
      <c r="D14" s="10"/>
      <c r="E14" s="10"/>
      <c r="I14" s="138"/>
      <c r="K14" s="10"/>
      <c r="L14" s="10"/>
      <c r="M14" s="10"/>
      <c r="N14" s="138"/>
      <c r="O14" s="138"/>
      <c r="P14" s="138"/>
      <c r="Q14" s="10"/>
      <c r="R14" s="10"/>
      <c r="S14" s="10"/>
      <c r="T14" s="10"/>
      <c r="U14" s="10"/>
      <c r="V14" s="10"/>
      <c r="W14" s="13"/>
    </row>
    <row r="15" spans="2:23" s="12" customFormat="1" ht="16.5" customHeight="1" thickBot="1" thickTop="1">
      <c r="B15" s="46"/>
      <c r="C15" s="10"/>
      <c r="D15" s="10"/>
      <c r="E15" s="10"/>
      <c r="F15" s="240" t="s">
        <v>88</v>
      </c>
      <c r="G15" s="241" t="s">
        <v>185</v>
      </c>
      <c r="H15" s="109">
        <f>60*'TOT-0410'!B13</f>
        <v>60</v>
      </c>
      <c r="I15" s="138"/>
      <c r="J15" s="271" t="str">
        <f>IF(H15=60," ",IF(H15=120,"Coeficiente duplicado por tasa de falla &gt;4 Sal. x año/100 km.","REVISAR COEFICIENTE"))</f>
        <v> </v>
      </c>
      <c r="K15" s="10"/>
      <c r="L15" s="10"/>
      <c r="M15" s="10"/>
      <c r="N15" s="138"/>
      <c r="O15" s="138"/>
      <c r="P15" s="138"/>
      <c r="Q15" s="10"/>
      <c r="R15" s="10"/>
      <c r="S15" s="10"/>
      <c r="T15" s="10"/>
      <c r="U15" s="10"/>
      <c r="V15" s="10"/>
      <c r="W15" s="13"/>
    </row>
    <row r="16" spans="2:23" s="12" customFormat="1" ht="16.5" customHeight="1" thickBot="1" thickTop="1">
      <c r="B16" s="46"/>
      <c r="C16" s="10"/>
      <c r="D16" s="10"/>
      <c r="E16" s="10"/>
      <c r="F16" s="240" t="s">
        <v>89</v>
      </c>
      <c r="G16" s="241">
        <v>3.243</v>
      </c>
      <c r="H16" s="109">
        <f>50*'TOT-0410'!B13</f>
        <v>50</v>
      </c>
      <c r="J16" s="271" t="str">
        <f>IF(H16=50," ",IF(H16=100,"Coeficiente duplicado por tasa de falla &gt;4 Sal. x año/100 km.","REVISAR COEFICIENTE"))</f>
        <v> </v>
      </c>
      <c r="Q16" s="312"/>
      <c r="S16" s="10"/>
      <c r="T16" s="10"/>
      <c r="U16" s="10"/>
      <c r="V16" s="237"/>
      <c r="W16" s="13"/>
    </row>
    <row r="17" spans="2:23" s="12" customFormat="1" ht="16.5" customHeight="1" thickBot="1" thickTop="1">
      <c r="B17" s="46"/>
      <c r="C17" s="10"/>
      <c r="D17" s="10"/>
      <c r="E17" s="10"/>
      <c r="F17" s="242" t="s">
        <v>90</v>
      </c>
      <c r="G17" s="243">
        <v>2.433</v>
      </c>
      <c r="H17" s="244">
        <f>25*'TOT-0410'!B13</f>
        <v>25</v>
      </c>
      <c r="J17" s="271" t="str">
        <f>IF(H17=25," ",IF(H17=50,"Coeficiente duplicado por tasa de falla &gt;4 Sal. x año/100 km.","REVISAR COEFICIENTE"))</f>
        <v> </v>
      </c>
      <c r="K17" s="183"/>
      <c r="L17" s="183"/>
      <c r="M17" s="10"/>
      <c r="P17" s="238"/>
      <c r="Q17" s="239"/>
      <c r="R17" s="38"/>
      <c r="S17" s="10"/>
      <c r="T17" s="10"/>
      <c r="U17" s="10"/>
      <c r="V17" s="237"/>
      <c r="W17" s="13"/>
    </row>
    <row r="18" spans="2:23" s="12" customFormat="1" ht="16.5" customHeight="1" thickBot="1" thickTop="1">
      <c r="B18" s="46"/>
      <c r="C18" s="10"/>
      <c r="D18" s="10"/>
      <c r="E18" s="10"/>
      <c r="F18" s="245" t="s">
        <v>91</v>
      </c>
      <c r="G18" s="243">
        <v>2.433</v>
      </c>
      <c r="H18" s="246">
        <f>20*'TOT-0410'!B13</f>
        <v>20</v>
      </c>
      <c r="J18" s="271" t="str">
        <f>IF(H18=20," ",IF(H18=40,"Coeficiente duplicado por tasa de falla &gt;4 Sal. x año/100 km.","REVISAR COEFICIENTE"))</f>
        <v> </v>
      </c>
      <c r="K18" s="183"/>
      <c r="L18" s="183"/>
      <c r="M18" s="10"/>
      <c r="P18" s="238"/>
      <c r="Q18" s="239"/>
      <c r="R18" s="38"/>
      <c r="S18" s="10"/>
      <c r="T18" s="10"/>
      <c r="U18" s="10"/>
      <c r="V18" s="237"/>
      <c r="W18" s="13"/>
    </row>
    <row r="19" spans="2:23" s="12" customFormat="1" ht="7.5" customHeight="1" thickTop="1">
      <c r="B19" s="46"/>
      <c r="C19" s="10"/>
      <c r="D19" s="10"/>
      <c r="E19" s="10"/>
      <c r="F19" s="114"/>
      <c r="G19" s="766"/>
      <c r="H19" s="767"/>
      <c r="J19" s="271"/>
      <c r="K19" s="183"/>
      <c r="L19" s="183"/>
      <c r="M19" s="10"/>
      <c r="P19" s="238"/>
      <c r="Q19" s="239"/>
      <c r="R19" s="38"/>
      <c r="S19" s="10"/>
      <c r="T19" s="10"/>
      <c r="U19" s="10"/>
      <c r="V19" s="237"/>
      <c r="W19" s="13"/>
    </row>
    <row r="20" spans="2:23" s="803" customFormat="1" ht="15" customHeight="1" thickBot="1">
      <c r="B20" s="800"/>
      <c r="C20" s="799">
        <v>3</v>
      </c>
      <c r="D20" s="799">
        <v>4</v>
      </c>
      <c r="E20" s="799">
        <v>5</v>
      </c>
      <c r="F20" s="799">
        <v>6</v>
      </c>
      <c r="G20" s="799">
        <v>7</v>
      </c>
      <c r="H20" s="799">
        <v>8</v>
      </c>
      <c r="I20" s="799">
        <v>9</v>
      </c>
      <c r="J20" s="799">
        <v>10</v>
      </c>
      <c r="K20" s="799">
        <v>11</v>
      </c>
      <c r="L20" s="799">
        <v>12</v>
      </c>
      <c r="M20" s="799">
        <v>13</v>
      </c>
      <c r="N20" s="799">
        <v>14</v>
      </c>
      <c r="O20" s="799">
        <v>15</v>
      </c>
      <c r="P20" s="799">
        <v>16</v>
      </c>
      <c r="Q20" s="799">
        <v>17</v>
      </c>
      <c r="R20" s="799">
        <v>18</v>
      </c>
      <c r="S20" s="799">
        <v>19</v>
      </c>
      <c r="T20" s="799">
        <v>20</v>
      </c>
      <c r="U20" s="799">
        <v>21</v>
      </c>
      <c r="V20" s="799">
        <v>22</v>
      </c>
      <c r="W20" s="802"/>
    </row>
    <row r="21" spans="2:23" s="12" customFormat="1" ht="33.75" customHeight="1" thickBot="1" thickTop="1">
      <c r="B21" s="46"/>
      <c r="C21" s="233" t="s">
        <v>52</v>
      </c>
      <c r="D21" s="117" t="s">
        <v>149</v>
      </c>
      <c r="E21" s="117" t="s">
        <v>148</v>
      </c>
      <c r="F21" s="231" t="s">
        <v>76</v>
      </c>
      <c r="G21" s="247" t="s">
        <v>19</v>
      </c>
      <c r="H21" s="250" t="s">
        <v>53</v>
      </c>
      <c r="I21" s="303" t="s">
        <v>55</v>
      </c>
      <c r="J21" s="227" t="s">
        <v>56</v>
      </c>
      <c r="K21" s="247" t="s">
        <v>57</v>
      </c>
      <c r="L21" s="249" t="s">
        <v>80</v>
      </c>
      <c r="M21" s="249" t="s">
        <v>81</v>
      </c>
      <c r="N21" s="121" t="s">
        <v>60</v>
      </c>
      <c r="O21" s="232" t="s">
        <v>82</v>
      </c>
      <c r="P21" s="425" t="s">
        <v>92</v>
      </c>
      <c r="Q21" s="359" t="s">
        <v>62</v>
      </c>
      <c r="R21" s="399" t="s">
        <v>86</v>
      </c>
      <c r="S21" s="400"/>
      <c r="T21" s="435" t="s">
        <v>66</v>
      </c>
      <c r="U21" s="229" t="s">
        <v>68</v>
      </c>
      <c r="V21" s="229" t="s">
        <v>69</v>
      </c>
      <c r="W21" s="40"/>
    </row>
    <row r="22" spans="2:23" s="12" customFormat="1" ht="16.5" customHeight="1" thickTop="1">
      <c r="B22" s="46"/>
      <c r="C22" s="22"/>
      <c r="D22" s="20"/>
      <c r="E22" s="20"/>
      <c r="F22" s="34"/>
      <c r="G22" s="34"/>
      <c r="H22" s="14"/>
      <c r="I22" s="311"/>
      <c r="J22" s="35"/>
      <c r="K22" s="36"/>
      <c r="L22" s="37"/>
      <c r="M22" s="66"/>
      <c r="N22" s="427"/>
      <c r="O22" s="427"/>
      <c r="P22" s="428"/>
      <c r="Q22" s="430"/>
      <c r="R22" s="432"/>
      <c r="S22" s="433"/>
      <c r="T22" s="436"/>
      <c r="U22" s="434"/>
      <c r="V22" s="429"/>
      <c r="W22" s="40"/>
    </row>
    <row r="23" spans="2:23" s="12" customFormat="1" ht="16.5" customHeight="1">
      <c r="B23" s="46"/>
      <c r="C23" s="22"/>
      <c r="D23" s="20"/>
      <c r="E23" s="20"/>
      <c r="F23" s="34"/>
      <c r="G23" s="34"/>
      <c r="H23" s="14"/>
      <c r="I23" s="311"/>
      <c r="J23" s="35"/>
      <c r="K23" s="36"/>
      <c r="L23" s="37"/>
      <c r="M23" s="66"/>
      <c r="N23" s="30"/>
      <c r="O23" s="30"/>
      <c r="P23" s="426"/>
      <c r="Q23" s="431"/>
      <c r="R23" s="405"/>
      <c r="S23" s="406"/>
      <c r="T23" s="437"/>
      <c r="U23" s="27"/>
      <c r="V23" s="248"/>
      <c r="W23" s="40"/>
    </row>
    <row r="24" spans="2:23" s="12" customFormat="1" ht="16.5" customHeight="1">
      <c r="B24" s="46"/>
      <c r="C24" s="720">
        <v>15</v>
      </c>
      <c r="D24" s="705">
        <v>220922</v>
      </c>
      <c r="E24" s="705">
        <v>1775</v>
      </c>
      <c r="F24" s="721" t="s">
        <v>16</v>
      </c>
      <c r="G24" s="721" t="s">
        <v>170</v>
      </c>
      <c r="H24" s="727">
        <v>13.2</v>
      </c>
      <c r="I24" s="311">
        <f aca="true" t="shared" si="0" ref="I24:I43">IF(H24=330,$G$15,IF(AND(H24&lt;=132,H24&gt;=66),$G$16,IF(AND(H24&lt;66,H24&gt;=33),$G$17,$G$18)))</f>
        <v>2.433</v>
      </c>
      <c r="J24" s="722">
        <v>40282.38402777778</v>
      </c>
      <c r="K24" s="722">
        <v>40282.39097222222</v>
      </c>
      <c r="L24" s="37">
        <f aca="true" t="shared" si="1" ref="L24:L43">IF(F24="","",(K24-J24)*24)</f>
        <v>0.16666666668606922</v>
      </c>
      <c r="M24" s="66">
        <f aca="true" t="shared" si="2" ref="M24:M43">IF(F24="","",ROUND((K24-J24)*24*60,0))</f>
        <v>10</v>
      </c>
      <c r="N24" s="724" t="s">
        <v>155</v>
      </c>
      <c r="O24" s="30" t="str">
        <f aca="true" t="shared" si="3" ref="O24:O43">IF(F24="","",IF(N24="P","--","NO"))</f>
        <v>--</v>
      </c>
      <c r="P24" s="426">
        <f aca="true" t="shared" si="4" ref="P24:P43">IF(H24=330,$H$15,IF(AND(H24&lt;=132,H24&gt;=66),$H$16,IF(AND(H24&lt;66,H24&gt;13.2),$H$17,$H$18)))</f>
        <v>20</v>
      </c>
      <c r="Q24" s="792">
        <f aca="true" t="shared" si="5" ref="Q24:Q43">IF(N24="P",I24*P24*ROUND(M24/60,2)*0.1,"--")</f>
        <v>0.8272200000000001</v>
      </c>
      <c r="R24" s="405" t="str">
        <f aca="true" t="shared" si="6" ref="R24:R43">IF(AND(N24="F",O24="NO"),I24*P24,"--")</f>
        <v>--</v>
      </c>
      <c r="S24" s="406" t="str">
        <f aca="true" t="shared" si="7" ref="S24:S43">IF(N24="F",I24*P24*ROUND(M24/60,2),"--")</f>
        <v>--</v>
      </c>
      <c r="T24" s="437" t="str">
        <f aca="true" t="shared" si="8" ref="T24:T43">IF(N24="RF",I24*P24*ROUND(M24/60,2),"--")</f>
        <v>--</v>
      </c>
      <c r="U24" s="27" t="s">
        <v>156</v>
      </c>
      <c r="V24" s="67">
        <f aca="true" t="shared" si="9" ref="V24:V43">IF(F24="","",SUM(Q24:T24)*IF(U24="SI",1,2)*IF(H24="500/220",0,1))</f>
        <v>0.8272200000000001</v>
      </c>
      <c r="W24" s="40"/>
    </row>
    <row r="25" spans="2:23" s="12" customFormat="1" ht="16.5" customHeight="1">
      <c r="B25" s="46"/>
      <c r="C25" s="720">
        <v>16</v>
      </c>
      <c r="D25" s="705">
        <v>220923</v>
      </c>
      <c r="E25" s="705">
        <v>1756</v>
      </c>
      <c r="F25" s="721" t="s">
        <v>168</v>
      </c>
      <c r="G25" s="721" t="s">
        <v>171</v>
      </c>
      <c r="H25" s="727">
        <v>33</v>
      </c>
      <c r="I25" s="311">
        <f t="shared" si="0"/>
        <v>2.433</v>
      </c>
      <c r="J25" s="722">
        <v>40283.39513888889</v>
      </c>
      <c r="K25" s="722">
        <v>40283.572916666664</v>
      </c>
      <c r="L25" s="37">
        <f t="shared" si="1"/>
        <v>4.2666666666045785</v>
      </c>
      <c r="M25" s="66">
        <f t="shared" si="2"/>
        <v>256</v>
      </c>
      <c r="N25" s="724" t="s">
        <v>155</v>
      </c>
      <c r="O25" s="30" t="str">
        <f t="shared" si="3"/>
        <v>--</v>
      </c>
      <c r="P25" s="426">
        <f t="shared" si="4"/>
        <v>25</v>
      </c>
      <c r="Q25" s="792">
        <f t="shared" si="5"/>
        <v>25.972274999999996</v>
      </c>
      <c r="R25" s="405" t="str">
        <f t="shared" si="6"/>
        <v>--</v>
      </c>
      <c r="S25" s="406" t="str">
        <f t="shared" si="7"/>
        <v>--</v>
      </c>
      <c r="T25" s="437" t="str">
        <f t="shared" si="8"/>
        <v>--</v>
      </c>
      <c r="U25" s="27" t="str">
        <f aca="true" t="shared" si="10" ref="U25:U43">IF(F25="","","SI")</f>
        <v>SI</v>
      </c>
      <c r="V25" s="67">
        <f t="shared" si="9"/>
        <v>25.972274999999996</v>
      </c>
      <c r="W25" s="40"/>
    </row>
    <row r="26" spans="2:23" s="12" customFormat="1" ht="16.5" customHeight="1">
      <c r="B26" s="46"/>
      <c r="C26" s="720"/>
      <c r="D26" s="705"/>
      <c r="E26" s="705"/>
      <c r="F26" s="721"/>
      <c r="G26" s="721"/>
      <c r="H26" s="727"/>
      <c r="I26" s="311">
        <f t="shared" si="0"/>
        <v>2.433</v>
      </c>
      <c r="J26" s="722"/>
      <c r="K26" s="723"/>
      <c r="L26" s="37">
        <f t="shared" si="1"/>
      </c>
      <c r="M26" s="66">
        <f t="shared" si="2"/>
      </c>
      <c r="N26" s="724"/>
      <c r="O26" s="30">
        <f t="shared" si="3"/>
      </c>
      <c r="P26" s="426">
        <f t="shared" si="4"/>
        <v>20</v>
      </c>
      <c r="Q26" s="792" t="str">
        <f t="shared" si="5"/>
        <v>--</v>
      </c>
      <c r="R26" s="405" t="str">
        <f t="shared" si="6"/>
        <v>--</v>
      </c>
      <c r="S26" s="406" t="str">
        <f t="shared" si="7"/>
        <v>--</v>
      </c>
      <c r="T26" s="437" t="str">
        <f t="shared" si="8"/>
        <v>--</v>
      </c>
      <c r="U26" s="27">
        <f t="shared" si="10"/>
      </c>
      <c r="V26" s="67">
        <f t="shared" si="9"/>
      </c>
      <c r="W26" s="40"/>
    </row>
    <row r="27" spans="2:23" s="12" customFormat="1" ht="16.5" customHeight="1">
      <c r="B27" s="46"/>
      <c r="C27" s="720"/>
      <c r="D27" s="705"/>
      <c r="E27" s="705"/>
      <c r="F27" s="721"/>
      <c r="G27" s="721"/>
      <c r="H27" s="727"/>
      <c r="I27" s="311">
        <f t="shared" si="0"/>
        <v>2.433</v>
      </c>
      <c r="J27" s="722"/>
      <c r="K27" s="723"/>
      <c r="L27" s="37">
        <f t="shared" si="1"/>
      </c>
      <c r="M27" s="66">
        <f t="shared" si="2"/>
      </c>
      <c r="N27" s="724"/>
      <c r="O27" s="30">
        <f t="shared" si="3"/>
      </c>
      <c r="P27" s="426">
        <f t="shared" si="4"/>
        <v>20</v>
      </c>
      <c r="Q27" s="792" t="str">
        <f t="shared" si="5"/>
        <v>--</v>
      </c>
      <c r="R27" s="405" t="str">
        <f t="shared" si="6"/>
        <v>--</v>
      </c>
      <c r="S27" s="406" t="str">
        <f t="shared" si="7"/>
        <v>--</v>
      </c>
      <c r="T27" s="437" t="str">
        <f t="shared" si="8"/>
        <v>--</v>
      </c>
      <c r="U27" s="27">
        <f t="shared" si="10"/>
      </c>
      <c r="V27" s="67">
        <f t="shared" si="9"/>
      </c>
      <c r="W27" s="40"/>
    </row>
    <row r="28" spans="2:23" s="12" customFormat="1" ht="16.5" customHeight="1">
      <c r="B28" s="46"/>
      <c r="C28" s="720"/>
      <c r="D28" s="705"/>
      <c r="E28" s="705"/>
      <c r="F28" s="721"/>
      <c r="G28" s="721"/>
      <c r="H28" s="727"/>
      <c r="I28" s="311">
        <f t="shared" si="0"/>
        <v>2.433</v>
      </c>
      <c r="J28" s="722"/>
      <c r="K28" s="723"/>
      <c r="L28" s="37">
        <f t="shared" si="1"/>
      </c>
      <c r="M28" s="66">
        <f t="shared" si="2"/>
      </c>
      <c r="N28" s="724"/>
      <c r="O28" s="30">
        <f t="shared" si="3"/>
      </c>
      <c r="P28" s="426">
        <f t="shared" si="4"/>
        <v>20</v>
      </c>
      <c r="Q28" s="792" t="str">
        <f t="shared" si="5"/>
        <v>--</v>
      </c>
      <c r="R28" s="405" t="str">
        <f t="shared" si="6"/>
        <v>--</v>
      </c>
      <c r="S28" s="406" t="str">
        <f t="shared" si="7"/>
        <v>--</v>
      </c>
      <c r="T28" s="437" t="str">
        <f t="shared" si="8"/>
        <v>--</v>
      </c>
      <c r="U28" s="27">
        <f t="shared" si="10"/>
      </c>
      <c r="V28" s="67">
        <f t="shared" si="9"/>
      </c>
      <c r="W28" s="40"/>
    </row>
    <row r="29" spans="2:23" s="12" customFormat="1" ht="16.5" customHeight="1">
      <c r="B29" s="46"/>
      <c r="C29" s="720"/>
      <c r="D29" s="705"/>
      <c r="E29" s="705"/>
      <c r="F29" s="721"/>
      <c r="G29" s="721"/>
      <c r="H29" s="727"/>
      <c r="I29" s="311">
        <f t="shared" si="0"/>
        <v>2.433</v>
      </c>
      <c r="J29" s="722"/>
      <c r="K29" s="723"/>
      <c r="L29" s="37">
        <f t="shared" si="1"/>
      </c>
      <c r="M29" s="66">
        <f t="shared" si="2"/>
      </c>
      <c r="N29" s="724"/>
      <c r="O29" s="30">
        <f t="shared" si="3"/>
      </c>
      <c r="P29" s="426">
        <f t="shared" si="4"/>
        <v>20</v>
      </c>
      <c r="Q29" s="792" t="str">
        <f t="shared" si="5"/>
        <v>--</v>
      </c>
      <c r="R29" s="405" t="str">
        <f t="shared" si="6"/>
        <v>--</v>
      </c>
      <c r="S29" s="406" t="str">
        <f t="shared" si="7"/>
        <v>--</v>
      </c>
      <c r="T29" s="437" t="str">
        <f t="shared" si="8"/>
        <v>--</v>
      </c>
      <c r="U29" s="27">
        <f t="shared" si="10"/>
      </c>
      <c r="V29" s="67">
        <f t="shared" si="9"/>
      </c>
      <c r="W29" s="40"/>
    </row>
    <row r="30" spans="2:23" s="12" customFormat="1" ht="16.5" customHeight="1">
      <c r="B30" s="46"/>
      <c r="C30" s="720"/>
      <c r="D30" s="705"/>
      <c r="E30" s="705"/>
      <c r="F30" s="721"/>
      <c r="G30" s="721"/>
      <c r="H30" s="727"/>
      <c r="I30" s="311">
        <f t="shared" si="0"/>
        <v>2.433</v>
      </c>
      <c r="J30" s="722"/>
      <c r="K30" s="723"/>
      <c r="L30" s="37">
        <f t="shared" si="1"/>
      </c>
      <c r="M30" s="66">
        <f t="shared" si="2"/>
      </c>
      <c r="N30" s="724"/>
      <c r="O30" s="30">
        <f t="shared" si="3"/>
      </c>
      <c r="P30" s="426">
        <f t="shared" si="4"/>
        <v>20</v>
      </c>
      <c r="Q30" s="792" t="str">
        <f t="shared" si="5"/>
        <v>--</v>
      </c>
      <c r="R30" s="405" t="str">
        <f t="shared" si="6"/>
        <v>--</v>
      </c>
      <c r="S30" s="406" t="str">
        <f t="shared" si="7"/>
        <v>--</v>
      </c>
      <c r="T30" s="437" t="str">
        <f t="shared" si="8"/>
        <v>--</v>
      </c>
      <c r="U30" s="27">
        <f t="shared" si="10"/>
      </c>
      <c r="V30" s="67">
        <f t="shared" si="9"/>
      </c>
      <c r="W30" s="40"/>
    </row>
    <row r="31" spans="2:23" s="12" customFormat="1" ht="16.5" customHeight="1">
      <c r="B31" s="46"/>
      <c r="C31" s="720"/>
      <c r="D31" s="705"/>
      <c r="E31" s="705"/>
      <c r="F31" s="721"/>
      <c r="G31" s="721"/>
      <c r="H31" s="727"/>
      <c r="I31" s="311">
        <f t="shared" si="0"/>
        <v>2.433</v>
      </c>
      <c r="J31" s="722"/>
      <c r="K31" s="723"/>
      <c r="L31" s="37">
        <f t="shared" si="1"/>
      </c>
      <c r="M31" s="66">
        <f t="shared" si="2"/>
      </c>
      <c r="N31" s="724"/>
      <c r="O31" s="30">
        <f t="shared" si="3"/>
      </c>
      <c r="P31" s="426">
        <f t="shared" si="4"/>
        <v>20</v>
      </c>
      <c r="Q31" s="792" t="str">
        <f t="shared" si="5"/>
        <v>--</v>
      </c>
      <c r="R31" s="405" t="str">
        <f t="shared" si="6"/>
        <v>--</v>
      </c>
      <c r="S31" s="406" t="str">
        <f t="shared" si="7"/>
        <v>--</v>
      </c>
      <c r="T31" s="437" t="str">
        <f t="shared" si="8"/>
        <v>--</v>
      </c>
      <c r="U31" s="27">
        <f t="shared" si="10"/>
      </c>
      <c r="V31" s="67">
        <f t="shared" si="9"/>
      </c>
      <c r="W31" s="40"/>
    </row>
    <row r="32" spans="2:23" s="12" customFormat="1" ht="16.5" customHeight="1">
      <c r="B32" s="46"/>
      <c r="C32" s="720"/>
      <c r="D32" s="705"/>
      <c r="E32" s="705"/>
      <c r="F32" s="721"/>
      <c r="G32" s="721"/>
      <c r="H32" s="727"/>
      <c r="I32" s="311">
        <f t="shared" si="0"/>
        <v>2.433</v>
      </c>
      <c r="J32" s="722"/>
      <c r="K32" s="723"/>
      <c r="L32" s="37">
        <f t="shared" si="1"/>
      </c>
      <c r="M32" s="66">
        <f t="shared" si="2"/>
      </c>
      <c r="N32" s="724"/>
      <c r="O32" s="30">
        <f t="shared" si="3"/>
      </c>
      <c r="P32" s="426">
        <f t="shared" si="4"/>
        <v>20</v>
      </c>
      <c r="Q32" s="792" t="str">
        <f t="shared" si="5"/>
        <v>--</v>
      </c>
      <c r="R32" s="405" t="str">
        <f t="shared" si="6"/>
        <v>--</v>
      </c>
      <c r="S32" s="406" t="str">
        <f t="shared" si="7"/>
        <v>--</v>
      </c>
      <c r="T32" s="437" t="str">
        <f t="shared" si="8"/>
        <v>--</v>
      </c>
      <c r="U32" s="27">
        <f t="shared" si="10"/>
      </c>
      <c r="V32" s="67">
        <f t="shared" si="9"/>
      </c>
      <c r="W32" s="40"/>
    </row>
    <row r="33" spans="2:23" s="12" customFormat="1" ht="16.5" customHeight="1">
      <c r="B33" s="46"/>
      <c r="C33" s="720"/>
      <c r="D33" s="705"/>
      <c r="E33" s="705"/>
      <c r="F33" s="721"/>
      <c r="G33" s="721"/>
      <c r="H33" s="727"/>
      <c r="I33" s="311">
        <f t="shared" si="0"/>
        <v>2.433</v>
      </c>
      <c r="J33" s="722"/>
      <c r="K33" s="723"/>
      <c r="L33" s="37">
        <f t="shared" si="1"/>
      </c>
      <c r="M33" s="66">
        <f t="shared" si="2"/>
      </c>
      <c r="N33" s="724"/>
      <c r="O33" s="30">
        <f t="shared" si="3"/>
      </c>
      <c r="P33" s="426">
        <f t="shared" si="4"/>
        <v>20</v>
      </c>
      <c r="Q33" s="792" t="str">
        <f t="shared" si="5"/>
        <v>--</v>
      </c>
      <c r="R33" s="405" t="str">
        <f t="shared" si="6"/>
        <v>--</v>
      </c>
      <c r="S33" s="406" t="str">
        <f t="shared" si="7"/>
        <v>--</v>
      </c>
      <c r="T33" s="437" t="str">
        <f t="shared" si="8"/>
        <v>--</v>
      </c>
      <c r="U33" s="27">
        <f t="shared" si="10"/>
      </c>
      <c r="V33" s="67">
        <f t="shared" si="9"/>
      </c>
      <c r="W33" s="40"/>
    </row>
    <row r="34" spans="2:23" s="12" customFormat="1" ht="16.5" customHeight="1">
      <c r="B34" s="46"/>
      <c r="C34" s="720"/>
      <c r="D34" s="705"/>
      <c r="E34" s="705"/>
      <c r="F34" s="721"/>
      <c r="G34" s="721"/>
      <c r="H34" s="727"/>
      <c r="I34" s="311">
        <f t="shared" si="0"/>
        <v>2.433</v>
      </c>
      <c r="J34" s="722"/>
      <c r="K34" s="723"/>
      <c r="L34" s="37">
        <f t="shared" si="1"/>
      </c>
      <c r="M34" s="66">
        <f t="shared" si="2"/>
      </c>
      <c r="N34" s="724"/>
      <c r="O34" s="30">
        <f t="shared" si="3"/>
      </c>
      <c r="P34" s="426">
        <f t="shared" si="4"/>
        <v>20</v>
      </c>
      <c r="Q34" s="792" t="str">
        <f t="shared" si="5"/>
        <v>--</v>
      </c>
      <c r="R34" s="405" t="str">
        <f t="shared" si="6"/>
        <v>--</v>
      </c>
      <c r="S34" s="406" t="str">
        <f t="shared" si="7"/>
        <v>--</v>
      </c>
      <c r="T34" s="437" t="str">
        <f t="shared" si="8"/>
        <v>--</v>
      </c>
      <c r="U34" s="27">
        <f t="shared" si="10"/>
      </c>
      <c r="V34" s="67">
        <f t="shared" si="9"/>
      </c>
      <c r="W34" s="40"/>
    </row>
    <row r="35" spans="2:23" s="12" customFormat="1" ht="16.5" customHeight="1">
      <c r="B35" s="46"/>
      <c r="C35" s="720"/>
      <c r="D35" s="705"/>
      <c r="E35" s="705"/>
      <c r="F35" s="721"/>
      <c r="G35" s="721"/>
      <c r="H35" s="727"/>
      <c r="I35" s="311">
        <f t="shared" si="0"/>
        <v>2.433</v>
      </c>
      <c r="J35" s="722"/>
      <c r="K35" s="723"/>
      <c r="L35" s="37">
        <f t="shared" si="1"/>
      </c>
      <c r="M35" s="66">
        <f t="shared" si="2"/>
      </c>
      <c r="N35" s="724"/>
      <c r="O35" s="30">
        <f t="shared" si="3"/>
      </c>
      <c r="P35" s="426">
        <f t="shared" si="4"/>
        <v>20</v>
      </c>
      <c r="Q35" s="792" t="str">
        <f t="shared" si="5"/>
        <v>--</v>
      </c>
      <c r="R35" s="405" t="str">
        <f t="shared" si="6"/>
        <v>--</v>
      </c>
      <c r="S35" s="406" t="str">
        <f t="shared" si="7"/>
        <v>--</v>
      </c>
      <c r="T35" s="437" t="str">
        <f t="shared" si="8"/>
        <v>--</v>
      </c>
      <c r="U35" s="27">
        <f t="shared" si="10"/>
      </c>
      <c r="V35" s="67">
        <f t="shared" si="9"/>
      </c>
      <c r="W35" s="40"/>
    </row>
    <row r="36" spans="2:23" s="12" customFormat="1" ht="16.5" customHeight="1">
      <c r="B36" s="46"/>
      <c r="C36" s="720"/>
      <c r="D36" s="705"/>
      <c r="E36" s="705"/>
      <c r="F36" s="721"/>
      <c r="G36" s="721"/>
      <c r="H36" s="727"/>
      <c r="I36" s="311">
        <f t="shared" si="0"/>
        <v>2.433</v>
      </c>
      <c r="J36" s="722"/>
      <c r="K36" s="723"/>
      <c r="L36" s="37">
        <f t="shared" si="1"/>
      </c>
      <c r="M36" s="66">
        <f t="shared" si="2"/>
      </c>
      <c r="N36" s="724"/>
      <c r="O36" s="30">
        <f t="shared" si="3"/>
      </c>
      <c r="P36" s="426">
        <f t="shared" si="4"/>
        <v>20</v>
      </c>
      <c r="Q36" s="792" t="str">
        <f t="shared" si="5"/>
        <v>--</v>
      </c>
      <c r="R36" s="405" t="str">
        <f t="shared" si="6"/>
        <v>--</v>
      </c>
      <c r="S36" s="406" t="str">
        <f t="shared" si="7"/>
        <v>--</v>
      </c>
      <c r="T36" s="437" t="str">
        <f t="shared" si="8"/>
        <v>--</v>
      </c>
      <c r="U36" s="27">
        <f t="shared" si="10"/>
      </c>
      <c r="V36" s="67">
        <f t="shared" si="9"/>
      </c>
      <c r="W36" s="40"/>
    </row>
    <row r="37" spans="2:23" s="12" customFormat="1" ht="16.5" customHeight="1">
      <c r="B37" s="46"/>
      <c r="C37" s="720"/>
      <c r="D37" s="705"/>
      <c r="E37" s="705"/>
      <c r="F37" s="721"/>
      <c r="G37" s="721"/>
      <c r="H37" s="727"/>
      <c r="I37" s="311">
        <f t="shared" si="0"/>
        <v>2.433</v>
      </c>
      <c r="J37" s="722"/>
      <c r="K37" s="723"/>
      <c r="L37" s="37">
        <f t="shared" si="1"/>
      </c>
      <c r="M37" s="66">
        <f t="shared" si="2"/>
      </c>
      <c r="N37" s="724"/>
      <c r="O37" s="30">
        <f t="shared" si="3"/>
      </c>
      <c r="P37" s="426">
        <f t="shared" si="4"/>
        <v>20</v>
      </c>
      <c r="Q37" s="792" t="str">
        <f t="shared" si="5"/>
        <v>--</v>
      </c>
      <c r="R37" s="405" t="str">
        <f t="shared" si="6"/>
        <v>--</v>
      </c>
      <c r="S37" s="406" t="str">
        <f t="shared" si="7"/>
        <v>--</v>
      </c>
      <c r="T37" s="437" t="str">
        <f t="shared" si="8"/>
        <v>--</v>
      </c>
      <c r="U37" s="27">
        <f t="shared" si="10"/>
      </c>
      <c r="V37" s="67">
        <f t="shared" si="9"/>
      </c>
      <c r="W37" s="40"/>
    </row>
    <row r="38" spans="2:23" s="12" customFormat="1" ht="16.5" customHeight="1">
      <c r="B38" s="46"/>
      <c r="C38" s="720"/>
      <c r="D38" s="705"/>
      <c r="E38" s="705"/>
      <c r="F38" s="721"/>
      <c r="G38" s="721"/>
      <c r="H38" s="727"/>
      <c r="I38" s="311">
        <f t="shared" si="0"/>
        <v>2.433</v>
      </c>
      <c r="J38" s="722"/>
      <c r="K38" s="723"/>
      <c r="L38" s="37">
        <f t="shared" si="1"/>
      </c>
      <c r="M38" s="66">
        <f t="shared" si="2"/>
      </c>
      <c r="N38" s="724"/>
      <c r="O38" s="30">
        <f t="shared" si="3"/>
      </c>
      <c r="P38" s="426">
        <f t="shared" si="4"/>
        <v>20</v>
      </c>
      <c r="Q38" s="792" t="str">
        <f t="shared" si="5"/>
        <v>--</v>
      </c>
      <c r="R38" s="405" t="str">
        <f t="shared" si="6"/>
        <v>--</v>
      </c>
      <c r="S38" s="406" t="str">
        <f t="shared" si="7"/>
        <v>--</v>
      </c>
      <c r="T38" s="437" t="str">
        <f t="shared" si="8"/>
        <v>--</v>
      </c>
      <c r="U38" s="27">
        <f t="shared" si="10"/>
      </c>
      <c r="V38" s="67">
        <f t="shared" si="9"/>
      </c>
      <c r="W38" s="40"/>
    </row>
    <row r="39" spans="2:23" s="12" customFormat="1" ht="16.5" customHeight="1">
      <c r="B39" s="46"/>
      <c r="C39" s="720"/>
      <c r="D39" s="705"/>
      <c r="E39" s="705"/>
      <c r="F39" s="721"/>
      <c r="G39" s="721"/>
      <c r="H39" s="727"/>
      <c r="I39" s="311">
        <f t="shared" si="0"/>
        <v>2.433</v>
      </c>
      <c r="J39" s="722"/>
      <c r="K39" s="723"/>
      <c r="L39" s="37">
        <f t="shared" si="1"/>
      </c>
      <c r="M39" s="66">
        <f t="shared" si="2"/>
      </c>
      <c r="N39" s="724"/>
      <c r="O39" s="30">
        <f t="shared" si="3"/>
      </c>
      <c r="P39" s="426">
        <f t="shared" si="4"/>
        <v>20</v>
      </c>
      <c r="Q39" s="792" t="str">
        <f t="shared" si="5"/>
        <v>--</v>
      </c>
      <c r="R39" s="405" t="str">
        <f t="shared" si="6"/>
        <v>--</v>
      </c>
      <c r="S39" s="406" t="str">
        <f t="shared" si="7"/>
        <v>--</v>
      </c>
      <c r="T39" s="437" t="str">
        <f t="shared" si="8"/>
        <v>--</v>
      </c>
      <c r="U39" s="27">
        <f t="shared" si="10"/>
      </c>
      <c r="V39" s="67">
        <f t="shared" si="9"/>
      </c>
      <c r="W39" s="40"/>
    </row>
    <row r="40" spans="2:23" s="12" customFormat="1" ht="16.5" customHeight="1">
      <c r="B40" s="46"/>
      <c r="C40" s="720"/>
      <c r="D40" s="705"/>
      <c r="E40" s="705"/>
      <c r="F40" s="721"/>
      <c r="G40" s="721"/>
      <c r="H40" s="727"/>
      <c r="I40" s="311">
        <f t="shared" si="0"/>
        <v>2.433</v>
      </c>
      <c r="J40" s="722"/>
      <c r="K40" s="723"/>
      <c r="L40" s="37">
        <f t="shared" si="1"/>
      </c>
      <c r="M40" s="66">
        <f t="shared" si="2"/>
      </c>
      <c r="N40" s="724"/>
      <c r="O40" s="30">
        <f t="shared" si="3"/>
      </c>
      <c r="P40" s="426">
        <f t="shared" si="4"/>
        <v>20</v>
      </c>
      <c r="Q40" s="792" t="str">
        <f t="shared" si="5"/>
        <v>--</v>
      </c>
      <c r="R40" s="405" t="str">
        <f t="shared" si="6"/>
        <v>--</v>
      </c>
      <c r="S40" s="406" t="str">
        <f t="shared" si="7"/>
        <v>--</v>
      </c>
      <c r="T40" s="437" t="str">
        <f t="shared" si="8"/>
        <v>--</v>
      </c>
      <c r="U40" s="27">
        <f t="shared" si="10"/>
      </c>
      <c r="V40" s="67">
        <f t="shared" si="9"/>
      </c>
      <c r="W40" s="40"/>
    </row>
    <row r="41" spans="2:23" s="12" customFormat="1" ht="16.5" customHeight="1">
      <c r="B41" s="46"/>
      <c r="C41" s="720"/>
      <c r="D41" s="705"/>
      <c r="E41" s="705"/>
      <c r="F41" s="721"/>
      <c r="G41" s="721"/>
      <c r="H41" s="727"/>
      <c r="I41" s="311">
        <f t="shared" si="0"/>
        <v>2.433</v>
      </c>
      <c r="J41" s="722"/>
      <c r="K41" s="723"/>
      <c r="L41" s="37">
        <f t="shared" si="1"/>
      </c>
      <c r="M41" s="66">
        <f t="shared" si="2"/>
      </c>
      <c r="N41" s="724"/>
      <c r="O41" s="30">
        <f t="shared" si="3"/>
      </c>
      <c r="P41" s="426">
        <f t="shared" si="4"/>
        <v>20</v>
      </c>
      <c r="Q41" s="792" t="str">
        <f t="shared" si="5"/>
        <v>--</v>
      </c>
      <c r="R41" s="405" t="str">
        <f t="shared" si="6"/>
        <v>--</v>
      </c>
      <c r="S41" s="406" t="str">
        <f t="shared" si="7"/>
        <v>--</v>
      </c>
      <c r="T41" s="437" t="str">
        <f t="shared" si="8"/>
        <v>--</v>
      </c>
      <c r="U41" s="27">
        <f t="shared" si="10"/>
      </c>
      <c r="V41" s="67">
        <f t="shared" si="9"/>
      </c>
      <c r="W41" s="40"/>
    </row>
    <row r="42" spans="2:23" s="12" customFormat="1" ht="16.5" customHeight="1">
      <c r="B42" s="46"/>
      <c r="C42" s="720"/>
      <c r="D42" s="705"/>
      <c r="E42" s="705"/>
      <c r="F42" s="721"/>
      <c r="G42" s="721"/>
      <c r="H42" s="727"/>
      <c r="I42" s="311">
        <f t="shared" si="0"/>
        <v>2.433</v>
      </c>
      <c r="J42" s="722"/>
      <c r="K42" s="723"/>
      <c r="L42" s="37">
        <f t="shared" si="1"/>
      </c>
      <c r="M42" s="66">
        <f t="shared" si="2"/>
      </c>
      <c r="N42" s="724"/>
      <c r="O42" s="30">
        <f t="shared" si="3"/>
      </c>
      <c r="P42" s="426">
        <f t="shared" si="4"/>
        <v>20</v>
      </c>
      <c r="Q42" s="792" t="str">
        <f t="shared" si="5"/>
        <v>--</v>
      </c>
      <c r="R42" s="405" t="str">
        <f t="shared" si="6"/>
        <v>--</v>
      </c>
      <c r="S42" s="406" t="str">
        <f t="shared" si="7"/>
        <v>--</v>
      </c>
      <c r="T42" s="437" t="str">
        <f t="shared" si="8"/>
        <v>--</v>
      </c>
      <c r="U42" s="27">
        <f t="shared" si="10"/>
      </c>
      <c r="V42" s="67">
        <f t="shared" si="9"/>
      </c>
      <c r="W42" s="40"/>
    </row>
    <row r="43" spans="2:23" s="12" customFormat="1" ht="16.5" customHeight="1">
      <c r="B43" s="46"/>
      <c r="C43" s="720"/>
      <c r="D43" s="705"/>
      <c r="E43" s="705"/>
      <c r="F43" s="721"/>
      <c r="G43" s="721"/>
      <c r="H43" s="727"/>
      <c r="I43" s="311">
        <f t="shared" si="0"/>
        <v>2.433</v>
      </c>
      <c r="J43" s="722"/>
      <c r="K43" s="723"/>
      <c r="L43" s="37">
        <f t="shared" si="1"/>
      </c>
      <c r="M43" s="66">
        <f t="shared" si="2"/>
      </c>
      <c r="N43" s="724"/>
      <c r="O43" s="30">
        <f t="shared" si="3"/>
      </c>
      <c r="P43" s="426">
        <f t="shared" si="4"/>
        <v>20</v>
      </c>
      <c r="Q43" s="792" t="str">
        <f t="shared" si="5"/>
        <v>--</v>
      </c>
      <c r="R43" s="405" t="str">
        <f t="shared" si="6"/>
        <v>--</v>
      </c>
      <c r="S43" s="406" t="str">
        <f t="shared" si="7"/>
        <v>--</v>
      </c>
      <c r="T43" s="437" t="str">
        <f t="shared" si="8"/>
        <v>--</v>
      </c>
      <c r="U43" s="27">
        <f t="shared" si="10"/>
      </c>
      <c r="V43" s="67">
        <f t="shared" si="9"/>
      </c>
      <c r="W43" s="40"/>
    </row>
    <row r="44" spans="2:23" s="12" customFormat="1" ht="16.5" customHeight="1" thickBot="1">
      <c r="B44" s="46"/>
      <c r="C44" s="708"/>
      <c r="D44" s="708"/>
      <c r="E44" s="708"/>
      <c r="F44" s="708"/>
      <c r="G44" s="708"/>
      <c r="H44" s="708"/>
      <c r="I44" s="310"/>
      <c r="J44" s="708"/>
      <c r="K44" s="708"/>
      <c r="L44" s="31"/>
      <c r="M44" s="31"/>
      <c r="N44" s="708"/>
      <c r="O44" s="708"/>
      <c r="P44" s="725"/>
      <c r="Q44" s="726"/>
      <c r="R44" s="716"/>
      <c r="S44" s="717"/>
      <c r="T44" s="711"/>
      <c r="U44" s="708"/>
      <c r="V44" s="235"/>
      <c r="W44" s="40"/>
    </row>
    <row r="45" spans="2:23" s="12" customFormat="1" ht="17.25" customHeight="1" thickBot="1" thickTop="1">
      <c r="B45" s="46"/>
      <c r="C45" s="276" t="s">
        <v>70</v>
      </c>
      <c r="D45" s="888" t="s">
        <v>183</v>
      </c>
      <c r="E45" s="772"/>
      <c r="F45" s="277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438">
        <f>ROUND(SUM(Q22:Q44),2)</f>
        <v>26.8</v>
      </c>
      <c r="R45" s="366">
        <f>SUM(R22:R44)</f>
        <v>0</v>
      </c>
      <c r="S45" s="366">
        <f>SUM(S22:S44)</f>
        <v>0</v>
      </c>
      <c r="T45" s="439">
        <f>SUM(T22:T44)</f>
        <v>0</v>
      </c>
      <c r="U45" s="68"/>
      <c r="V45" s="292">
        <f>SUM(V22:V44)</f>
        <v>26.799494999999997</v>
      </c>
      <c r="W45" s="40"/>
    </row>
    <row r="46" spans="2:23" s="295" customFormat="1" ht="9.75" thickTop="1">
      <c r="B46" s="294"/>
      <c r="C46" s="278"/>
      <c r="D46" s="278"/>
      <c r="E46" s="278"/>
      <c r="F46" s="279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9"/>
      <c r="V46" s="300"/>
      <c r="W46" s="301"/>
    </row>
    <row r="47" spans="1:23" s="12" customFormat="1" ht="16.5" customHeight="1" thickBot="1">
      <c r="A47" s="13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2"/>
    </row>
    <row r="48" spans="1:23" ht="13.5" thickTop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3:6" ht="12.75">
      <c r="C49" s="8"/>
      <c r="D49" s="8"/>
      <c r="E49" s="8"/>
      <c r="F49" s="8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Y158"/>
  <sheetViews>
    <sheetView zoomScale="70" zoomScaleNormal="70" workbookViewId="0" topLeftCell="A1">
      <selection activeCell="H30" sqref="H30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20.7109375" style="0" customWidth="1"/>
    <col min="8" max="8" width="9.7109375" style="0" customWidth="1"/>
    <col min="9" max="9" width="14.0039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3.140625" style="0" hidden="1" customWidth="1"/>
    <col min="17" max="17" width="15.140625" style="0" hidden="1" customWidth="1"/>
    <col min="18" max="18" width="16.140625" style="0" hidden="1" customWidth="1"/>
    <col min="19" max="20" width="16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25" customFormat="1" ht="26.25">
      <c r="W1" s="471"/>
    </row>
    <row r="2" spans="2:23" s="125" customFormat="1" ht="26.25">
      <c r="B2" s="126" t="str">
        <f>+'TOT-0410'!B2</f>
        <v>ANEXO IV al Memorandum  D.T.E.E.  N°   456 /2011 </v>
      </c>
      <c r="C2" s="127"/>
      <c r="D2" s="127"/>
      <c r="E2" s="127"/>
      <c r="F2" s="127"/>
      <c r="G2" s="126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="12" customFormat="1" ht="12.75"/>
    <row r="4" spans="1:4" s="128" customFormat="1" ht="11.25">
      <c r="A4" s="775" t="s">
        <v>21</v>
      </c>
      <c r="C4" s="774"/>
      <c r="D4" s="774"/>
    </row>
    <row r="5" spans="1:4" s="128" customFormat="1" ht="11.25">
      <c r="A5" s="775" t="s">
        <v>150</v>
      </c>
      <c r="C5" s="774"/>
      <c r="D5" s="774"/>
    </row>
    <row r="6" s="12" customFormat="1" ht="12.75"/>
    <row r="7" s="12" customFormat="1" ht="13.5" thickBot="1"/>
    <row r="8" spans="2:23" s="12" customFormat="1" ht="13.5" thickTop="1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</row>
    <row r="9" spans="2:23" s="130" customFormat="1" ht="20.25">
      <c r="B9" s="129"/>
      <c r="C9" s="23"/>
      <c r="D9" s="23"/>
      <c r="E9" s="23"/>
      <c r="F9" s="23" t="s">
        <v>46</v>
      </c>
      <c r="G9" s="88"/>
      <c r="H9" s="151"/>
      <c r="I9" s="150"/>
      <c r="J9" s="150"/>
      <c r="K9" s="150"/>
      <c r="L9" s="150"/>
      <c r="M9" s="150"/>
      <c r="N9" s="150"/>
      <c r="O9" s="151"/>
      <c r="P9" s="151"/>
      <c r="Q9" s="151"/>
      <c r="R9" s="151"/>
      <c r="S9" s="151"/>
      <c r="T9" s="151"/>
      <c r="U9" s="151"/>
      <c r="V9" s="151"/>
      <c r="W9" s="185"/>
    </row>
    <row r="10" spans="2:23" s="12" customFormat="1" ht="12.75">
      <c r="B10" s="4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3"/>
    </row>
    <row r="11" spans="2:23" s="130" customFormat="1" ht="20.25">
      <c r="B11" s="129"/>
      <c r="F11" s="23" t="s">
        <v>93</v>
      </c>
      <c r="H11" s="69"/>
      <c r="I11" s="132"/>
      <c r="J11" s="132"/>
      <c r="K11" s="132"/>
      <c r="L11" s="132"/>
      <c r="M11" s="132"/>
      <c r="N11" s="132"/>
      <c r="O11" s="132"/>
      <c r="P11" s="132"/>
      <c r="Q11" s="47"/>
      <c r="R11" s="47"/>
      <c r="S11" s="47"/>
      <c r="T11" s="47"/>
      <c r="U11" s="47"/>
      <c r="V11" s="47"/>
      <c r="W11" s="131"/>
    </row>
    <row r="12" spans="2:23" s="12" customFormat="1" ht="16.5" customHeight="1">
      <c r="B12" s="46"/>
      <c r="C12" s="10"/>
      <c r="D12" s="10"/>
      <c r="E12" s="10"/>
      <c r="F12" s="142"/>
      <c r="H12" s="152"/>
      <c r="I12" s="138"/>
      <c r="J12" s="138"/>
      <c r="K12" s="138"/>
      <c r="L12" s="138"/>
      <c r="M12" s="138"/>
      <c r="N12" s="138"/>
      <c r="O12" s="138"/>
      <c r="P12" s="138"/>
      <c r="Q12" s="10"/>
      <c r="R12" s="10"/>
      <c r="S12" s="10"/>
      <c r="T12" s="10"/>
      <c r="U12" s="10"/>
      <c r="V12" s="10"/>
      <c r="W12" s="13"/>
    </row>
    <row r="13" spans="2:23" s="137" customFormat="1" ht="16.5" customHeight="1">
      <c r="B13" s="103" t="str">
        <f>+'TOT-0410'!B14</f>
        <v>Desde el 01 al 30 de abril de 2010</v>
      </c>
      <c r="C13" s="133"/>
      <c r="D13" s="133"/>
      <c r="E13" s="133"/>
      <c r="F13" s="135"/>
      <c r="G13" s="135"/>
      <c r="H13" s="135"/>
      <c r="I13" s="135"/>
      <c r="J13" s="102"/>
      <c r="K13" s="135"/>
      <c r="L13" s="135"/>
      <c r="M13" s="135"/>
      <c r="N13" s="135"/>
      <c r="O13" s="135"/>
      <c r="P13" s="135"/>
      <c r="Q13" s="133"/>
      <c r="R13" s="133"/>
      <c r="S13" s="133"/>
      <c r="T13" s="133"/>
      <c r="U13" s="133"/>
      <c r="V13" s="133"/>
      <c r="W13" s="136"/>
    </row>
    <row r="14" spans="2:23" s="12" customFormat="1" ht="16.5" customHeight="1" thickBot="1">
      <c r="B14" s="4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Q14" s="10"/>
      <c r="R14" s="10"/>
      <c r="S14" s="10"/>
      <c r="T14" s="10"/>
      <c r="U14" s="10"/>
      <c r="V14" s="10"/>
      <c r="W14" s="13"/>
    </row>
    <row r="15" spans="2:23" s="12" customFormat="1" ht="16.5" customHeight="1" thickBot="1" thickTop="1">
      <c r="B15" s="46"/>
      <c r="C15" s="10"/>
      <c r="D15" s="10"/>
      <c r="E15" s="10"/>
      <c r="F15" s="240" t="s">
        <v>94</v>
      </c>
      <c r="G15" s="257"/>
      <c r="H15" s="258"/>
      <c r="I15" s="259"/>
      <c r="J15" s="466">
        <v>0.243</v>
      </c>
      <c r="K15" s="10"/>
      <c r="L15" s="10"/>
      <c r="M15" s="10"/>
      <c r="N15" s="10"/>
      <c r="P15" s="10"/>
      <c r="Q15" s="10"/>
      <c r="R15" s="10"/>
      <c r="S15" s="10"/>
      <c r="T15" s="10"/>
      <c r="U15" s="10"/>
      <c r="V15" s="10"/>
      <c r="W15" s="13"/>
    </row>
    <row r="16" spans="2:23" s="12" customFormat="1" ht="16.5" customHeight="1" thickBot="1" thickTop="1">
      <c r="B16" s="46"/>
      <c r="C16" s="10"/>
      <c r="D16" s="10"/>
      <c r="E16" s="10"/>
      <c r="F16" s="260" t="s">
        <v>75</v>
      </c>
      <c r="G16" s="261"/>
      <c r="H16" s="261"/>
      <c r="I16" s="259"/>
      <c r="J16" s="262">
        <f>6*'TOT-0410'!B13</f>
        <v>6</v>
      </c>
      <c r="K16" s="816" t="str">
        <f>IF(J16=20," ",IF(J16=40,"  Coeficiente duplicado por tasa de falla &gt;4 Sal. x año/100 km.","REVISAR COEFICIENTE"))</f>
        <v>REVISAR COEFICIENTE</v>
      </c>
      <c r="L16" s="799"/>
      <c r="M16" s="10"/>
      <c r="N16" s="10"/>
      <c r="P16" s="10"/>
      <c r="Q16" s="10"/>
      <c r="R16" s="10"/>
      <c r="S16" s="237"/>
      <c r="T16" s="237"/>
      <c r="U16" s="237"/>
      <c r="V16" s="237"/>
      <c r="W16" s="13"/>
    </row>
    <row r="17" spans="2:23" s="12" customFormat="1" ht="16.5" customHeight="1" thickTop="1">
      <c r="B17" s="4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3"/>
    </row>
    <row r="18" spans="2:23" s="803" customFormat="1" ht="16.5" customHeight="1" thickBot="1">
      <c r="B18" s="800"/>
      <c r="C18" s="801">
        <v>3</v>
      </c>
      <c r="D18" s="801">
        <v>4</v>
      </c>
      <c r="E18" s="801">
        <v>5</v>
      </c>
      <c r="F18" s="801">
        <v>6</v>
      </c>
      <c r="G18" s="801">
        <v>7</v>
      </c>
      <c r="H18" s="801">
        <v>8</v>
      </c>
      <c r="I18" s="801">
        <v>9</v>
      </c>
      <c r="J18" s="801">
        <v>10</v>
      </c>
      <c r="K18" s="801">
        <v>11</v>
      </c>
      <c r="L18" s="801">
        <v>12</v>
      </c>
      <c r="M18" s="801">
        <v>13</v>
      </c>
      <c r="N18" s="801">
        <v>14</v>
      </c>
      <c r="O18" s="801">
        <v>15</v>
      </c>
      <c r="P18" s="801">
        <v>16</v>
      </c>
      <c r="Q18" s="801">
        <v>17</v>
      </c>
      <c r="R18" s="801">
        <v>18</v>
      </c>
      <c r="S18" s="801">
        <v>19</v>
      </c>
      <c r="T18" s="801">
        <v>20</v>
      </c>
      <c r="U18" s="801">
        <v>21</v>
      </c>
      <c r="V18" s="801">
        <v>22</v>
      </c>
      <c r="W18" s="802"/>
    </row>
    <row r="19" spans="2:23" s="124" customFormat="1" ht="33.75" customHeight="1" thickBot="1" thickTop="1">
      <c r="B19" s="116"/>
      <c r="C19" s="117" t="s">
        <v>52</v>
      </c>
      <c r="D19" s="117" t="s">
        <v>149</v>
      </c>
      <c r="E19" s="117" t="s">
        <v>148</v>
      </c>
      <c r="F19" s="119" t="s">
        <v>76</v>
      </c>
      <c r="G19" s="118" t="s">
        <v>19</v>
      </c>
      <c r="H19" s="263" t="s">
        <v>95</v>
      </c>
      <c r="I19" s="303" t="s">
        <v>55</v>
      </c>
      <c r="J19" s="118" t="s">
        <v>56</v>
      </c>
      <c r="K19" s="118" t="s">
        <v>57</v>
      </c>
      <c r="L19" s="119" t="s">
        <v>80</v>
      </c>
      <c r="M19" s="119" t="s">
        <v>81</v>
      </c>
      <c r="N19" s="121" t="s">
        <v>60</v>
      </c>
      <c r="O19" s="118" t="s">
        <v>96</v>
      </c>
      <c r="P19" s="374" t="s">
        <v>97</v>
      </c>
      <c r="Q19" s="384" t="s">
        <v>62</v>
      </c>
      <c r="R19" s="454" t="s">
        <v>98</v>
      </c>
      <c r="S19" s="352"/>
      <c r="T19" s="359" t="s">
        <v>66</v>
      </c>
      <c r="U19" s="122" t="s">
        <v>68</v>
      </c>
      <c r="V19" s="264" t="s">
        <v>69</v>
      </c>
      <c r="W19" s="123"/>
    </row>
    <row r="20" spans="2:23" s="12" customFormat="1" ht="16.5" customHeight="1" thickTop="1">
      <c r="B20" s="46"/>
      <c r="C20" s="254"/>
      <c r="D20" s="770"/>
      <c r="E20" s="770"/>
      <c r="F20" s="770"/>
      <c r="G20" s="255"/>
      <c r="H20" s="255"/>
      <c r="I20" s="440"/>
      <c r="J20" s="256"/>
      <c r="K20" s="256"/>
      <c r="L20" s="254"/>
      <c r="M20" s="254"/>
      <c r="N20" s="255"/>
      <c r="O20" s="184"/>
      <c r="P20" s="447"/>
      <c r="Q20" s="448"/>
      <c r="R20" s="450"/>
      <c r="S20" s="455"/>
      <c r="T20" s="463"/>
      <c r="U20" s="457"/>
      <c r="V20" s="449"/>
      <c r="W20" s="13"/>
    </row>
    <row r="21" spans="2:23" s="12" customFormat="1" ht="16.5" customHeight="1">
      <c r="B21" s="46"/>
      <c r="C21" s="90"/>
      <c r="D21" s="90"/>
      <c r="E21" s="90"/>
      <c r="F21" s="92"/>
      <c r="G21" s="91"/>
      <c r="H21" s="92"/>
      <c r="I21" s="441"/>
      <c r="J21" s="94"/>
      <c r="K21" s="95"/>
      <c r="L21" s="96"/>
      <c r="M21" s="97"/>
      <c r="N21" s="98"/>
      <c r="O21" s="93"/>
      <c r="P21" s="444"/>
      <c r="Q21" s="445"/>
      <c r="R21" s="451"/>
      <c r="S21" s="456"/>
      <c r="T21" s="464"/>
      <c r="U21" s="93"/>
      <c r="V21" s="265"/>
      <c r="W21" s="13"/>
    </row>
    <row r="22" spans="2:23" s="12" customFormat="1" ht="16.5" customHeight="1">
      <c r="B22" s="46"/>
      <c r="C22" s="569">
        <v>17</v>
      </c>
      <c r="D22" s="569">
        <v>220593</v>
      </c>
      <c r="E22" s="569">
        <v>2629</v>
      </c>
      <c r="F22" s="729" t="s">
        <v>165</v>
      </c>
      <c r="G22" s="728" t="s">
        <v>188</v>
      </c>
      <c r="H22" s="729">
        <v>50</v>
      </c>
      <c r="I22" s="442">
        <f aca="true" t="shared" si="0" ref="I22:I41">H22*$J$15</f>
        <v>12.15</v>
      </c>
      <c r="J22" s="733">
        <v>40274.38125</v>
      </c>
      <c r="K22" s="734">
        <v>40274.663194444445</v>
      </c>
      <c r="L22" s="99">
        <f aca="true" t="shared" si="1" ref="L22:L41">IF(F22="","",(K22-J22)*24)</f>
        <v>6.766666666720994</v>
      </c>
      <c r="M22" s="66">
        <f aca="true" t="shared" si="2" ref="M22:M41">IF(F22="","",ROUND((K22-J22)*24*60,0))</f>
        <v>406</v>
      </c>
      <c r="N22" s="736" t="s">
        <v>155</v>
      </c>
      <c r="O22" s="793" t="str">
        <f aca="true" t="shared" si="3" ref="O22:O41">IF(F22="","",IF(N22="P","--","NO"))</f>
        <v>--</v>
      </c>
      <c r="P22" s="794">
        <f aca="true" t="shared" si="4" ref="P22:P41">IF(OR(N22="P",N22="RP"),$J$16*0.1,$J$16)</f>
        <v>0.6000000000000001</v>
      </c>
      <c r="Q22" s="795">
        <f aca="true" t="shared" si="5" ref="Q22:Q41">IF(N22="P",I22*P22*ROUND(M22/60,2),"--")</f>
        <v>49.353300000000004</v>
      </c>
      <c r="R22" s="783" t="str">
        <f aca="true" t="shared" si="6" ref="R22:R41">IF(AND(N22="F",O22="NO"),I22*P22,"--")</f>
        <v>--</v>
      </c>
      <c r="S22" s="796" t="str">
        <f aca="true" t="shared" si="7" ref="S22:S41">IF(N22="F",I22*P22*ROUND(M22/60,2),"--")</f>
        <v>--</v>
      </c>
      <c r="T22" s="797" t="str">
        <f aca="true" t="shared" si="8" ref="T22:T41">IF(N22="RF",I22*P22*ROUND(M22/60,2),"--")</f>
        <v>--</v>
      </c>
      <c r="U22" s="793" t="s">
        <v>156</v>
      </c>
      <c r="V22" s="100">
        <f aca="true" t="shared" si="9" ref="V22:V41">IF(F22="","",SUM(Q22:T22)*IF(U22="SI",1,2))</f>
        <v>49.353300000000004</v>
      </c>
      <c r="W22" s="13"/>
    </row>
    <row r="23" spans="2:23" s="12" customFormat="1" ht="16.5" customHeight="1">
      <c r="B23" s="46"/>
      <c r="C23" s="569">
        <v>18</v>
      </c>
      <c r="D23" s="569">
        <v>221260</v>
      </c>
      <c r="E23" s="569">
        <v>2629</v>
      </c>
      <c r="F23" s="729" t="s">
        <v>165</v>
      </c>
      <c r="G23" s="728" t="s">
        <v>188</v>
      </c>
      <c r="H23" s="729">
        <v>50</v>
      </c>
      <c r="I23" s="442">
        <f t="shared" si="0"/>
        <v>12.15</v>
      </c>
      <c r="J23" s="733">
        <v>40288.364583333336</v>
      </c>
      <c r="K23" s="734">
        <v>40288.669444444444</v>
      </c>
      <c r="L23" s="99">
        <f t="shared" si="1"/>
        <v>7.316666666592937</v>
      </c>
      <c r="M23" s="66">
        <f t="shared" si="2"/>
        <v>439</v>
      </c>
      <c r="N23" s="736" t="s">
        <v>155</v>
      </c>
      <c r="O23" s="793" t="str">
        <f t="shared" si="3"/>
        <v>--</v>
      </c>
      <c r="P23" s="794">
        <f t="shared" si="4"/>
        <v>0.6000000000000001</v>
      </c>
      <c r="Q23" s="795">
        <f t="shared" si="5"/>
        <v>53.36280000000001</v>
      </c>
      <c r="R23" s="783" t="str">
        <f t="shared" si="6"/>
        <v>--</v>
      </c>
      <c r="S23" s="796" t="str">
        <f t="shared" si="7"/>
        <v>--</v>
      </c>
      <c r="T23" s="797" t="str">
        <f t="shared" si="8"/>
        <v>--</v>
      </c>
      <c r="U23" s="793" t="s">
        <v>156</v>
      </c>
      <c r="V23" s="100">
        <f t="shared" si="9"/>
        <v>53.36280000000001</v>
      </c>
      <c r="W23" s="13"/>
    </row>
    <row r="24" spans="2:23" s="12" customFormat="1" ht="16.5" customHeight="1">
      <c r="B24" s="46"/>
      <c r="C24" s="569"/>
      <c r="D24" s="569"/>
      <c r="E24" s="569"/>
      <c r="F24" s="729"/>
      <c r="G24" s="728"/>
      <c r="H24" s="729"/>
      <c r="I24" s="442">
        <f t="shared" si="0"/>
        <v>0</v>
      </c>
      <c r="J24" s="733"/>
      <c r="K24" s="734"/>
      <c r="L24" s="99">
        <f t="shared" si="1"/>
      </c>
      <c r="M24" s="66">
        <f t="shared" si="2"/>
      </c>
      <c r="N24" s="736"/>
      <c r="O24" s="793">
        <f t="shared" si="3"/>
      </c>
      <c r="P24" s="794">
        <f t="shared" si="4"/>
        <v>6</v>
      </c>
      <c r="Q24" s="795" t="str">
        <f t="shared" si="5"/>
        <v>--</v>
      </c>
      <c r="R24" s="783" t="str">
        <f t="shared" si="6"/>
        <v>--</v>
      </c>
      <c r="S24" s="796" t="str">
        <f t="shared" si="7"/>
        <v>--</v>
      </c>
      <c r="T24" s="797" t="str">
        <f t="shared" si="8"/>
        <v>--</v>
      </c>
      <c r="U24" s="793">
        <f aca="true" t="shared" si="10" ref="U24:U41">IF(F24="","","SI")</f>
      </c>
      <c r="V24" s="100">
        <f t="shared" si="9"/>
      </c>
      <c r="W24" s="13"/>
    </row>
    <row r="25" spans="2:23" s="12" customFormat="1" ht="16.5" customHeight="1">
      <c r="B25" s="46"/>
      <c r="C25" s="569"/>
      <c r="D25" s="569"/>
      <c r="E25" s="569"/>
      <c r="F25" s="729"/>
      <c r="G25" s="728"/>
      <c r="H25" s="729"/>
      <c r="I25" s="442">
        <f t="shared" si="0"/>
        <v>0</v>
      </c>
      <c r="J25" s="733"/>
      <c r="K25" s="734"/>
      <c r="L25" s="99">
        <f t="shared" si="1"/>
      </c>
      <c r="M25" s="66">
        <f t="shared" si="2"/>
      </c>
      <c r="N25" s="736"/>
      <c r="O25" s="793">
        <f t="shared" si="3"/>
      </c>
      <c r="P25" s="794">
        <f t="shared" si="4"/>
        <v>6</v>
      </c>
      <c r="Q25" s="795" t="str">
        <f t="shared" si="5"/>
        <v>--</v>
      </c>
      <c r="R25" s="783" t="str">
        <f t="shared" si="6"/>
        <v>--</v>
      </c>
      <c r="S25" s="796" t="str">
        <f t="shared" si="7"/>
        <v>--</v>
      </c>
      <c r="T25" s="797" t="str">
        <f t="shared" si="8"/>
        <v>--</v>
      </c>
      <c r="U25" s="793">
        <f t="shared" si="10"/>
      </c>
      <c r="V25" s="100">
        <f t="shared" si="9"/>
      </c>
      <c r="W25" s="252"/>
    </row>
    <row r="26" spans="2:23" s="12" customFormat="1" ht="16.5" customHeight="1">
      <c r="B26" s="46"/>
      <c r="C26" s="569"/>
      <c r="D26" s="569"/>
      <c r="E26" s="569"/>
      <c r="F26" s="729"/>
      <c r="G26" s="728"/>
      <c r="H26" s="729"/>
      <c r="I26" s="442">
        <f t="shared" si="0"/>
        <v>0</v>
      </c>
      <c r="J26" s="733"/>
      <c r="K26" s="734"/>
      <c r="L26" s="99">
        <f t="shared" si="1"/>
      </c>
      <c r="M26" s="66">
        <f t="shared" si="2"/>
      </c>
      <c r="N26" s="736"/>
      <c r="O26" s="793">
        <f t="shared" si="3"/>
      </c>
      <c r="P26" s="794">
        <f t="shared" si="4"/>
        <v>6</v>
      </c>
      <c r="Q26" s="795" t="str">
        <f t="shared" si="5"/>
        <v>--</v>
      </c>
      <c r="R26" s="783" t="str">
        <f t="shared" si="6"/>
        <v>--</v>
      </c>
      <c r="S26" s="796" t="str">
        <f t="shared" si="7"/>
        <v>--</v>
      </c>
      <c r="T26" s="797" t="str">
        <f t="shared" si="8"/>
        <v>--</v>
      </c>
      <c r="U26" s="793">
        <f t="shared" si="10"/>
      </c>
      <c r="V26" s="100">
        <f t="shared" si="9"/>
      </c>
      <c r="W26" s="252"/>
    </row>
    <row r="27" spans="2:23" s="12" customFormat="1" ht="16.5" customHeight="1">
      <c r="B27" s="46"/>
      <c r="C27" s="569"/>
      <c r="D27" s="569"/>
      <c r="E27" s="569"/>
      <c r="F27" s="729"/>
      <c r="G27" s="728"/>
      <c r="H27" s="729"/>
      <c r="I27" s="442">
        <f t="shared" si="0"/>
        <v>0</v>
      </c>
      <c r="J27" s="733"/>
      <c r="K27" s="734"/>
      <c r="L27" s="99">
        <f t="shared" si="1"/>
      </c>
      <c r="M27" s="66">
        <f t="shared" si="2"/>
      </c>
      <c r="N27" s="736"/>
      <c r="O27" s="793">
        <f t="shared" si="3"/>
      </c>
      <c r="P27" s="794">
        <f t="shared" si="4"/>
        <v>6</v>
      </c>
      <c r="Q27" s="795" t="str">
        <f t="shared" si="5"/>
        <v>--</v>
      </c>
      <c r="R27" s="783" t="str">
        <f t="shared" si="6"/>
        <v>--</v>
      </c>
      <c r="S27" s="796" t="str">
        <f t="shared" si="7"/>
        <v>--</v>
      </c>
      <c r="T27" s="797" t="str">
        <f t="shared" si="8"/>
        <v>--</v>
      </c>
      <c r="U27" s="793">
        <f t="shared" si="10"/>
      </c>
      <c r="V27" s="100">
        <f t="shared" si="9"/>
      </c>
      <c r="W27" s="252"/>
    </row>
    <row r="28" spans="2:23" s="12" customFormat="1" ht="16.5" customHeight="1">
      <c r="B28" s="46"/>
      <c r="C28" s="569"/>
      <c r="D28" s="569"/>
      <c r="E28" s="569"/>
      <c r="F28" s="729"/>
      <c r="G28" s="728"/>
      <c r="H28" s="729"/>
      <c r="I28" s="442">
        <f t="shared" si="0"/>
        <v>0</v>
      </c>
      <c r="J28" s="733"/>
      <c r="K28" s="734"/>
      <c r="L28" s="99">
        <f t="shared" si="1"/>
      </c>
      <c r="M28" s="66">
        <f t="shared" si="2"/>
      </c>
      <c r="N28" s="736"/>
      <c r="O28" s="793">
        <f t="shared" si="3"/>
      </c>
      <c r="P28" s="794">
        <f t="shared" si="4"/>
        <v>6</v>
      </c>
      <c r="Q28" s="795" t="str">
        <f t="shared" si="5"/>
        <v>--</v>
      </c>
      <c r="R28" s="783" t="str">
        <f t="shared" si="6"/>
        <v>--</v>
      </c>
      <c r="S28" s="796" t="str">
        <f t="shared" si="7"/>
        <v>--</v>
      </c>
      <c r="T28" s="797" t="str">
        <f t="shared" si="8"/>
        <v>--</v>
      </c>
      <c r="U28" s="793">
        <f t="shared" si="10"/>
      </c>
      <c r="V28" s="100">
        <f t="shared" si="9"/>
      </c>
      <c r="W28" s="252"/>
    </row>
    <row r="29" spans="2:23" s="12" customFormat="1" ht="16.5" customHeight="1">
      <c r="B29" s="46"/>
      <c r="C29" s="569"/>
      <c r="D29" s="569"/>
      <c r="E29" s="569"/>
      <c r="F29" s="729"/>
      <c r="G29" s="728"/>
      <c r="H29" s="729"/>
      <c r="I29" s="442">
        <f t="shared" si="0"/>
        <v>0</v>
      </c>
      <c r="J29" s="733"/>
      <c r="K29" s="734"/>
      <c r="L29" s="99">
        <f t="shared" si="1"/>
      </c>
      <c r="M29" s="66">
        <f t="shared" si="2"/>
      </c>
      <c r="N29" s="736"/>
      <c r="O29" s="793">
        <f t="shared" si="3"/>
      </c>
      <c r="P29" s="794">
        <f t="shared" si="4"/>
        <v>6</v>
      </c>
      <c r="Q29" s="795" t="str">
        <f t="shared" si="5"/>
        <v>--</v>
      </c>
      <c r="R29" s="783" t="str">
        <f t="shared" si="6"/>
        <v>--</v>
      </c>
      <c r="S29" s="796" t="str">
        <f t="shared" si="7"/>
        <v>--</v>
      </c>
      <c r="T29" s="797" t="str">
        <f t="shared" si="8"/>
        <v>--</v>
      </c>
      <c r="U29" s="793">
        <f t="shared" si="10"/>
      </c>
      <c r="V29" s="100">
        <f t="shared" si="9"/>
      </c>
      <c r="W29" s="252"/>
    </row>
    <row r="30" spans="2:23" s="12" customFormat="1" ht="16.5" customHeight="1">
      <c r="B30" s="46"/>
      <c r="C30" s="569"/>
      <c r="D30" s="569"/>
      <c r="E30" s="569"/>
      <c r="F30" s="729"/>
      <c r="G30" s="728"/>
      <c r="H30" s="729"/>
      <c r="I30" s="442">
        <f t="shared" si="0"/>
        <v>0</v>
      </c>
      <c r="J30" s="733"/>
      <c r="K30" s="734"/>
      <c r="L30" s="99">
        <f t="shared" si="1"/>
      </c>
      <c r="M30" s="66">
        <f t="shared" si="2"/>
      </c>
      <c r="N30" s="736"/>
      <c r="O30" s="793">
        <f t="shared" si="3"/>
      </c>
      <c r="P30" s="794">
        <f t="shared" si="4"/>
        <v>6</v>
      </c>
      <c r="Q30" s="795" t="str">
        <f t="shared" si="5"/>
        <v>--</v>
      </c>
      <c r="R30" s="783" t="str">
        <f t="shared" si="6"/>
        <v>--</v>
      </c>
      <c r="S30" s="796" t="str">
        <f t="shared" si="7"/>
        <v>--</v>
      </c>
      <c r="T30" s="797" t="str">
        <f t="shared" si="8"/>
        <v>--</v>
      </c>
      <c r="U30" s="793">
        <f t="shared" si="10"/>
      </c>
      <c r="V30" s="100">
        <f t="shared" si="9"/>
      </c>
      <c r="W30" s="252"/>
    </row>
    <row r="31" spans="2:23" s="12" customFormat="1" ht="16.5" customHeight="1">
      <c r="B31" s="46"/>
      <c r="C31" s="569"/>
      <c r="D31" s="569"/>
      <c r="E31" s="569"/>
      <c r="F31" s="729"/>
      <c r="G31" s="728"/>
      <c r="H31" s="729"/>
      <c r="I31" s="442">
        <f t="shared" si="0"/>
        <v>0</v>
      </c>
      <c r="J31" s="733"/>
      <c r="K31" s="734"/>
      <c r="L31" s="99">
        <f t="shared" si="1"/>
      </c>
      <c r="M31" s="66">
        <f t="shared" si="2"/>
      </c>
      <c r="N31" s="736"/>
      <c r="O31" s="793">
        <f t="shared" si="3"/>
      </c>
      <c r="P31" s="794">
        <f t="shared" si="4"/>
        <v>6</v>
      </c>
      <c r="Q31" s="795" t="str">
        <f t="shared" si="5"/>
        <v>--</v>
      </c>
      <c r="R31" s="783" t="str">
        <f t="shared" si="6"/>
        <v>--</v>
      </c>
      <c r="S31" s="796" t="str">
        <f t="shared" si="7"/>
        <v>--</v>
      </c>
      <c r="T31" s="797" t="str">
        <f t="shared" si="8"/>
        <v>--</v>
      </c>
      <c r="U31" s="793">
        <f t="shared" si="10"/>
      </c>
      <c r="V31" s="100">
        <f t="shared" si="9"/>
      </c>
      <c r="W31" s="13"/>
    </row>
    <row r="32" spans="2:23" s="12" customFormat="1" ht="16.5" customHeight="1">
      <c r="B32" s="46"/>
      <c r="C32" s="569"/>
      <c r="D32" s="569"/>
      <c r="E32" s="569"/>
      <c r="F32" s="729"/>
      <c r="G32" s="728"/>
      <c r="H32" s="729"/>
      <c r="I32" s="442">
        <f t="shared" si="0"/>
        <v>0</v>
      </c>
      <c r="J32" s="733"/>
      <c r="K32" s="734"/>
      <c r="L32" s="99">
        <f t="shared" si="1"/>
      </c>
      <c r="M32" s="66">
        <f t="shared" si="2"/>
      </c>
      <c r="N32" s="736"/>
      <c r="O32" s="793">
        <f t="shared" si="3"/>
      </c>
      <c r="P32" s="794">
        <f t="shared" si="4"/>
        <v>6</v>
      </c>
      <c r="Q32" s="795" t="str">
        <f t="shared" si="5"/>
        <v>--</v>
      </c>
      <c r="R32" s="783" t="str">
        <f t="shared" si="6"/>
        <v>--</v>
      </c>
      <c r="S32" s="796" t="str">
        <f t="shared" si="7"/>
        <v>--</v>
      </c>
      <c r="T32" s="797" t="str">
        <f t="shared" si="8"/>
        <v>--</v>
      </c>
      <c r="U32" s="793">
        <f t="shared" si="10"/>
      </c>
      <c r="V32" s="100">
        <f t="shared" si="9"/>
      </c>
      <c r="W32" s="13"/>
    </row>
    <row r="33" spans="2:23" s="12" customFormat="1" ht="16.5" customHeight="1">
      <c r="B33" s="46"/>
      <c r="C33" s="569"/>
      <c r="D33" s="569"/>
      <c r="E33" s="569"/>
      <c r="F33" s="729"/>
      <c r="G33" s="728"/>
      <c r="H33" s="729"/>
      <c r="I33" s="442">
        <f t="shared" si="0"/>
        <v>0</v>
      </c>
      <c r="J33" s="733"/>
      <c r="K33" s="734"/>
      <c r="L33" s="99">
        <f t="shared" si="1"/>
      </c>
      <c r="M33" s="66">
        <f t="shared" si="2"/>
      </c>
      <c r="N33" s="736"/>
      <c r="O33" s="793">
        <f t="shared" si="3"/>
      </c>
      <c r="P33" s="794">
        <f t="shared" si="4"/>
        <v>6</v>
      </c>
      <c r="Q33" s="795" t="str">
        <f t="shared" si="5"/>
        <v>--</v>
      </c>
      <c r="R33" s="783" t="str">
        <f t="shared" si="6"/>
        <v>--</v>
      </c>
      <c r="S33" s="796" t="str">
        <f t="shared" si="7"/>
        <v>--</v>
      </c>
      <c r="T33" s="797" t="str">
        <f t="shared" si="8"/>
        <v>--</v>
      </c>
      <c r="U33" s="793">
        <f t="shared" si="10"/>
      </c>
      <c r="V33" s="100">
        <f t="shared" si="9"/>
      </c>
      <c r="W33" s="13"/>
    </row>
    <row r="34" spans="2:23" s="12" customFormat="1" ht="16.5" customHeight="1">
      <c r="B34" s="46"/>
      <c r="C34" s="569"/>
      <c r="D34" s="569"/>
      <c r="E34" s="569"/>
      <c r="F34" s="729"/>
      <c r="G34" s="728"/>
      <c r="H34" s="729"/>
      <c r="I34" s="442">
        <f t="shared" si="0"/>
        <v>0</v>
      </c>
      <c r="J34" s="733"/>
      <c r="K34" s="734"/>
      <c r="L34" s="99">
        <f t="shared" si="1"/>
      </c>
      <c r="M34" s="66">
        <f t="shared" si="2"/>
      </c>
      <c r="N34" s="736"/>
      <c r="O34" s="793">
        <f t="shared" si="3"/>
      </c>
      <c r="P34" s="794">
        <f t="shared" si="4"/>
        <v>6</v>
      </c>
      <c r="Q34" s="795" t="str">
        <f t="shared" si="5"/>
        <v>--</v>
      </c>
      <c r="R34" s="783" t="str">
        <f t="shared" si="6"/>
        <v>--</v>
      </c>
      <c r="S34" s="796" t="str">
        <f t="shared" si="7"/>
        <v>--</v>
      </c>
      <c r="T34" s="797" t="str">
        <f t="shared" si="8"/>
        <v>--</v>
      </c>
      <c r="U34" s="793">
        <f t="shared" si="10"/>
      </c>
      <c r="V34" s="100">
        <f t="shared" si="9"/>
      </c>
      <c r="W34" s="13"/>
    </row>
    <row r="35" spans="2:23" s="12" customFormat="1" ht="16.5" customHeight="1">
      <c r="B35" s="46"/>
      <c r="C35" s="569"/>
      <c r="D35" s="569"/>
      <c r="E35" s="569"/>
      <c r="F35" s="729"/>
      <c r="G35" s="728"/>
      <c r="H35" s="729"/>
      <c r="I35" s="442">
        <f t="shared" si="0"/>
        <v>0</v>
      </c>
      <c r="J35" s="733"/>
      <c r="K35" s="734"/>
      <c r="L35" s="99">
        <f t="shared" si="1"/>
      </c>
      <c r="M35" s="66">
        <f t="shared" si="2"/>
      </c>
      <c r="N35" s="736"/>
      <c r="O35" s="793">
        <f t="shared" si="3"/>
      </c>
      <c r="P35" s="794">
        <f t="shared" si="4"/>
        <v>6</v>
      </c>
      <c r="Q35" s="795" t="str">
        <f t="shared" si="5"/>
        <v>--</v>
      </c>
      <c r="R35" s="783" t="str">
        <f t="shared" si="6"/>
        <v>--</v>
      </c>
      <c r="S35" s="796" t="str">
        <f t="shared" si="7"/>
        <v>--</v>
      </c>
      <c r="T35" s="797" t="str">
        <f t="shared" si="8"/>
        <v>--</v>
      </c>
      <c r="U35" s="793">
        <f t="shared" si="10"/>
      </c>
      <c r="V35" s="100">
        <f t="shared" si="9"/>
      </c>
      <c r="W35" s="13"/>
    </row>
    <row r="36" spans="2:23" s="12" customFormat="1" ht="16.5" customHeight="1">
      <c r="B36" s="46"/>
      <c r="C36" s="569"/>
      <c r="D36" s="569"/>
      <c r="E36" s="569"/>
      <c r="F36" s="729"/>
      <c r="G36" s="728"/>
      <c r="H36" s="729"/>
      <c r="I36" s="442">
        <f t="shared" si="0"/>
        <v>0</v>
      </c>
      <c r="J36" s="733"/>
      <c r="K36" s="734"/>
      <c r="L36" s="99">
        <f t="shared" si="1"/>
      </c>
      <c r="M36" s="66">
        <f t="shared" si="2"/>
      </c>
      <c r="N36" s="736"/>
      <c r="O36" s="793">
        <f t="shared" si="3"/>
      </c>
      <c r="P36" s="794">
        <f t="shared" si="4"/>
        <v>6</v>
      </c>
      <c r="Q36" s="795" t="str">
        <f t="shared" si="5"/>
        <v>--</v>
      </c>
      <c r="R36" s="783" t="str">
        <f t="shared" si="6"/>
        <v>--</v>
      </c>
      <c r="S36" s="796" t="str">
        <f t="shared" si="7"/>
        <v>--</v>
      </c>
      <c r="T36" s="797" t="str">
        <f t="shared" si="8"/>
        <v>--</v>
      </c>
      <c r="U36" s="793">
        <f t="shared" si="10"/>
      </c>
      <c r="V36" s="100">
        <f t="shared" si="9"/>
      </c>
      <c r="W36" s="13"/>
    </row>
    <row r="37" spans="2:23" s="12" customFormat="1" ht="16.5" customHeight="1">
      <c r="B37" s="46"/>
      <c r="C37" s="569"/>
      <c r="D37" s="569"/>
      <c r="E37" s="569"/>
      <c r="F37" s="729"/>
      <c r="G37" s="728"/>
      <c r="H37" s="729"/>
      <c r="I37" s="442">
        <f t="shared" si="0"/>
        <v>0</v>
      </c>
      <c r="J37" s="733"/>
      <c r="K37" s="734"/>
      <c r="L37" s="99">
        <f t="shared" si="1"/>
      </c>
      <c r="M37" s="66">
        <f t="shared" si="2"/>
      </c>
      <c r="N37" s="736"/>
      <c r="O37" s="793">
        <f t="shared" si="3"/>
      </c>
      <c r="P37" s="794">
        <f t="shared" si="4"/>
        <v>6</v>
      </c>
      <c r="Q37" s="795" t="str">
        <f t="shared" si="5"/>
        <v>--</v>
      </c>
      <c r="R37" s="783" t="str">
        <f t="shared" si="6"/>
        <v>--</v>
      </c>
      <c r="S37" s="796" t="str">
        <f t="shared" si="7"/>
        <v>--</v>
      </c>
      <c r="T37" s="797" t="str">
        <f t="shared" si="8"/>
        <v>--</v>
      </c>
      <c r="U37" s="793">
        <f t="shared" si="10"/>
      </c>
      <c r="V37" s="100">
        <f t="shared" si="9"/>
      </c>
      <c r="W37" s="13"/>
    </row>
    <row r="38" spans="2:23" s="12" customFormat="1" ht="16.5" customHeight="1">
      <c r="B38" s="46"/>
      <c r="C38" s="569"/>
      <c r="D38" s="569"/>
      <c r="E38" s="569"/>
      <c r="F38" s="729"/>
      <c r="G38" s="728"/>
      <c r="H38" s="729"/>
      <c r="I38" s="442">
        <f t="shared" si="0"/>
        <v>0</v>
      </c>
      <c r="J38" s="733"/>
      <c r="K38" s="734"/>
      <c r="L38" s="99">
        <f t="shared" si="1"/>
      </c>
      <c r="M38" s="66">
        <f t="shared" si="2"/>
      </c>
      <c r="N38" s="736"/>
      <c r="O38" s="793">
        <f t="shared" si="3"/>
      </c>
      <c r="P38" s="794">
        <f t="shared" si="4"/>
        <v>6</v>
      </c>
      <c r="Q38" s="795" t="str">
        <f t="shared" si="5"/>
        <v>--</v>
      </c>
      <c r="R38" s="783" t="str">
        <f t="shared" si="6"/>
        <v>--</v>
      </c>
      <c r="S38" s="796" t="str">
        <f t="shared" si="7"/>
        <v>--</v>
      </c>
      <c r="T38" s="797" t="str">
        <f t="shared" si="8"/>
        <v>--</v>
      </c>
      <c r="U38" s="793">
        <f t="shared" si="10"/>
      </c>
      <c r="V38" s="100">
        <f t="shared" si="9"/>
      </c>
      <c r="W38" s="13"/>
    </row>
    <row r="39" spans="2:23" s="12" customFormat="1" ht="16.5" customHeight="1">
      <c r="B39" s="46"/>
      <c r="C39" s="569"/>
      <c r="D39" s="569"/>
      <c r="E39" s="569"/>
      <c r="F39" s="729"/>
      <c r="G39" s="728"/>
      <c r="H39" s="729"/>
      <c r="I39" s="442">
        <f t="shared" si="0"/>
        <v>0</v>
      </c>
      <c r="J39" s="733"/>
      <c r="K39" s="734"/>
      <c r="L39" s="99">
        <f t="shared" si="1"/>
      </c>
      <c r="M39" s="66">
        <f t="shared" si="2"/>
      </c>
      <c r="N39" s="736"/>
      <c r="O39" s="793">
        <f t="shared" si="3"/>
      </c>
      <c r="P39" s="794">
        <f t="shared" si="4"/>
        <v>6</v>
      </c>
      <c r="Q39" s="795" t="str">
        <f t="shared" si="5"/>
        <v>--</v>
      </c>
      <c r="R39" s="783" t="str">
        <f t="shared" si="6"/>
        <v>--</v>
      </c>
      <c r="S39" s="796" t="str">
        <f t="shared" si="7"/>
        <v>--</v>
      </c>
      <c r="T39" s="797" t="str">
        <f t="shared" si="8"/>
        <v>--</v>
      </c>
      <c r="U39" s="793">
        <f t="shared" si="10"/>
      </c>
      <c r="V39" s="100">
        <f t="shared" si="9"/>
      </c>
      <c r="W39" s="13"/>
    </row>
    <row r="40" spans="2:23" s="12" customFormat="1" ht="16.5" customHeight="1">
      <c r="B40" s="46"/>
      <c r="C40" s="569"/>
      <c r="D40" s="569"/>
      <c r="E40" s="569"/>
      <c r="F40" s="729"/>
      <c r="G40" s="728"/>
      <c r="H40" s="729"/>
      <c r="I40" s="442">
        <f t="shared" si="0"/>
        <v>0</v>
      </c>
      <c r="J40" s="733"/>
      <c r="K40" s="734"/>
      <c r="L40" s="99">
        <f t="shared" si="1"/>
      </c>
      <c r="M40" s="66">
        <f t="shared" si="2"/>
      </c>
      <c r="N40" s="736"/>
      <c r="O40" s="793">
        <f t="shared" si="3"/>
      </c>
      <c r="P40" s="794">
        <f t="shared" si="4"/>
        <v>6</v>
      </c>
      <c r="Q40" s="795" t="str">
        <f t="shared" si="5"/>
        <v>--</v>
      </c>
      <c r="R40" s="783" t="str">
        <f t="shared" si="6"/>
        <v>--</v>
      </c>
      <c r="S40" s="796" t="str">
        <f t="shared" si="7"/>
        <v>--</v>
      </c>
      <c r="T40" s="797" t="str">
        <f t="shared" si="8"/>
        <v>--</v>
      </c>
      <c r="U40" s="793">
        <f t="shared" si="10"/>
      </c>
      <c r="V40" s="100">
        <f t="shared" si="9"/>
      </c>
      <c r="W40" s="13"/>
    </row>
    <row r="41" spans="2:23" s="12" customFormat="1" ht="16.5" customHeight="1">
      <c r="B41" s="46"/>
      <c r="C41" s="569"/>
      <c r="D41" s="569"/>
      <c r="E41" s="569"/>
      <c r="F41" s="729"/>
      <c r="G41" s="728"/>
      <c r="H41" s="729"/>
      <c r="I41" s="442">
        <f t="shared" si="0"/>
        <v>0</v>
      </c>
      <c r="J41" s="733"/>
      <c r="K41" s="734"/>
      <c r="L41" s="99">
        <f t="shared" si="1"/>
      </c>
      <c r="M41" s="66">
        <f t="shared" si="2"/>
      </c>
      <c r="N41" s="736"/>
      <c r="O41" s="793">
        <f t="shared" si="3"/>
      </c>
      <c r="P41" s="794">
        <f t="shared" si="4"/>
        <v>6</v>
      </c>
      <c r="Q41" s="795" t="str">
        <f t="shared" si="5"/>
        <v>--</v>
      </c>
      <c r="R41" s="783" t="str">
        <f t="shared" si="6"/>
        <v>--</v>
      </c>
      <c r="S41" s="796" t="str">
        <f t="shared" si="7"/>
        <v>--</v>
      </c>
      <c r="T41" s="797" t="str">
        <f t="shared" si="8"/>
        <v>--</v>
      </c>
      <c r="U41" s="793">
        <f t="shared" si="10"/>
      </c>
      <c r="V41" s="100">
        <f t="shared" si="9"/>
      </c>
      <c r="W41" s="13"/>
    </row>
    <row r="42" spans="2:23" s="12" customFormat="1" ht="16.5" customHeight="1" thickBot="1">
      <c r="B42" s="46"/>
      <c r="C42" s="730"/>
      <c r="D42" s="730"/>
      <c r="E42" s="730"/>
      <c r="F42" s="732"/>
      <c r="G42" s="731"/>
      <c r="H42" s="732"/>
      <c r="I42" s="443"/>
      <c r="J42" s="735"/>
      <c r="K42" s="735"/>
      <c r="L42" s="101"/>
      <c r="M42" s="101"/>
      <c r="N42" s="735"/>
      <c r="O42" s="576"/>
      <c r="P42" s="737"/>
      <c r="Q42" s="738"/>
      <c r="R42" s="585"/>
      <c r="S42" s="739"/>
      <c r="T42" s="740"/>
      <c r="U42" s="576"/>
      <c r="V42" s="266"/>
      <c r="W42" s="13"/>
    </row>
    <row r="43" spans="2:23" s="12" customFormat="1" ht="16.5" customHeight="1" thickBot="1" thickTop="1">
      <c r="B43" s="46"/>
      <c r="C43" s="276" t="s">
        <v>70</v>
      </c>
      <c r="D43" s="888" t="s">
        <v>183</v>
      </c>
      <c r="E43" s="772"/>
      <c r="F43" s="277"/>
      <c r="G43"/>
      <c r="I43" s="10"/>
      <c r="J43" s="10"/>
      <c r="K43" s="10"/>
      <c r="L43" s="10"/>
      <c r="M43" s="10"/>
      <c r="N43" s="10"/>
      <c r="O43" s="10"/>
      <c r="P43" s="10"/>
      <c r="Q43" s="446">
        <f>SUM(Q20:Q42)</f>
        <v>102.71610000000001</v>
      </c>
      <c r="R43" s="452">
        <f>SUM(R20:R42)</f>
        <v>0</v>
      </c>
      <c r="S43" s="453">
        <f>SUM(S20:S42)</f>
        <v>0</v>
      </c>
      <c r="T43" s="465">
        <f>SUM(T20:T42)</f>
        <v>0</v>
      </c>
      <c r="V43" s="292">
        <f>ROUND(SUM(V20:V42),2)</f>
        <v>102.72</v>
      </c>
      <c r="W43" s="253"/>
    </row>
    <row r="44" spans="2:23" s="295" customFormat="1" ht="9.75" thickTop="1">
      <c r="B44" s="294"/>
      <c r="C44" s="293"/>
      <c r="D44" s="293"/>
      <c r="E44" s="293"/>
      <c r="F44" s="279"/>
      <c r="G44" s="291"/>
      <c r="I44" s="293"/>
      <c r="J44" s="293"/>
      <c r="K44" s="293"/>
      <c r="L44" s="293"/>
      <c r="M44" s="293"/>
      <c r="N44" s="293"/>
      <c r="O44" s="293"/>
      <c r="P44" s="293"/>
      <c r="Q44" s="313"/>
      <c r="R44" s="313"/>
      <c r="S44" s="313"/>
      <c r="T44" s="313"/>
      <c r="V44" s="300"/>
      <c r="W44" s="302"/>
    </row>
    <row r="45" spans="2:23" s="12" customFormat="1" ht="16.5" customHeight="1" thickBot="1"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2"/>
    </row>
    <row r="46" spans="6:25" ht="16.5" customHeight="1" thickTop="1">
      <c r="F46" s="4"/>
      <c r="G46" s="4"/>
      <c r="H46" s="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6:25" ht="16.5" customHeight="1">
      <c r="F47" s="4"/>
      <c r="G47" s="4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6:25" ht="16.5" customHeight="1">
      <c r="F48" s="4"/>
      <c r="G48" s="4"/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6:25" ht="16.5" customHeight="1">
      <c r="F49" s="4"/>
      <c r="G49" s="4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6:25" ht="16.5" customHeight="1">
      <c r="F50" s="4"/>
      <c r="G50" s="4"/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6:25" ht="16.5" customHeight="1">
      <c r="F51" s="4"/>
      <c r="G51" s="4"/>
      <c r="H51" s="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6:25" ht="16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6:25" ht="16.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6:25" ht="16.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6:25" ht="16.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6:25" ht="16.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6:25" ht="16.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6:25" ht="16.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6:25" ht="16.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6:25" ht="16.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6:25" ht="16.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6:25" ht="16.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6:25" ht="16.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6:25" ht="16.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6:25" ht="16.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6:25" ht="16.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6:25" ht="16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6:25" ht="16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6:25" ht="16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6:25" ht="16.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6:25" ht="16.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6:25" ht="16.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6:25" ht="16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6:25" ht="16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6:25" ht="16.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6:25" ht="16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6:25" ht="16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6:25" ht="16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6:25" ht="16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6:25" ht="16.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6:25" ht="16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6:25" ht="16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6:25" ht="16.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6:25" ht="16.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6:25" ht="16.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6:25" ht="16.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6:25" ht="16.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6:25" ht="16.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6:25" ht="16.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6:25" ht="16.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6:25" ht="16.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6:25" ht="16.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6:25" ht="16.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6:25" ht="16.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6:25" ht="16.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6:25" ht="16.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6:25" ht="16.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6:25" ht="16.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6:25" ht="16.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6:25" ht="16.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6:25" ht="16.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6:25" ht="16.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6:25" ht="16.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6:25" ht="16.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6:25" ht="16.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6:25" ht="16.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6:25" ht="16.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6:25" ht="16.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6:25" ht="16.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6:25" ht="16.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6:25" ht="16.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6:25" ht="16.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6:25" ht="16.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6:25" ht="16.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6:25" ht="16.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6:25" ht="16.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6:25" ht="16.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6:25" ht="16.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6:25" ht="16.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6:25" ht="16.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6:25" ht="16.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6:25" ht="16.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6:25" ht="16.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6:25" ht="16.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6:25" ht="16.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6:25" ht="16.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6:25" ht="16.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6:25" ht="16.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6:25" ht="16.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6:25" ht="16.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6:25" ht="16.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6:25" ht="16.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6:25" ht="16.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6:25" ht="16.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6:25" ht="16.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6:25" ht="16.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6:25" ht="16.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6:25" ht="16.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6:25" ht="16.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6:25" ht="16.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6:25" ht="16.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6:25" ht="16.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6:25" ht="16.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6:25" ht="16.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6:25" ht="16.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6:25" ht="16.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6:25" ht="16.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6:25" ht="16.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6:25" ht="16.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6:25" ht="16.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6:25" ht="16.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6:25" ht="16.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6:25" ht="16.5" customHeight="1">
      <c r="F153" s="5"/>
      <c r="G153" s="5"/>
      <c r="H153" s="5"/>
      <c r="X153" s="5"/>
      <c r="Y153" s="5"/>
    </row>
    <row r="154" spans="6:8" ht="16.5" customHeight="1">
      <c r="F154" s="5"/>
      <c r="G154" s="5"/>
      <c r="H154" s="5"/>
    </row>
    <row r="155" spans="6:8" ht="16.5" customHeight="1">
      <c r="F155" s="5"/>
      <c r="G155" s="5"/>
      <c r="H155" s="5"/>
    </row>
    <row r="156" spans="6:8" ht="16.5" customHeight="1">
      <c r="F156" s="5"/>
      <c r="G156" s="5"/>
      <c r="H156" s="5"/>
    </row>
    <row r="157" spans="6:8" ht="16.5" customHeight="1">
      <c r="F157" s="5"/>
      <c r="G157" s="5"/>
      <c r="H157" s="5"/>
    </row>
    <row r="158" spans="6:8" ht="16.5" customHeight="1">
      <c r="F158" s="5"/>
      <c r="G158" s="5"/>
      <c r="H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S110"/>
  <sheetViews>
    <sheetView zoomScale="55" zoomScaleNormal="55" workbookViewId="0" topLeftCell="A1">
      <selection activeCell="B3" sqref="B3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8.57421875" style="0" customWidth="1"/>
    <col min="10" max="10" width="14.8515625" style="0" customWidth="1"/>
    <col min="11" max="11" width="8.42187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25" customFormat="1" ht="39.75" customHeight="1">
      <c r="P1" s="471"/>
    </row>
    <row r="2" spans="1:16" s="125" customFormat="1" ht="26.25">
      <c r="A2" s="188"/>
      <c r="B2" s="769" t="str">
        <f>'TOT-0410'!B2</f>
        <v>ANEXO IV al Memorandum  D.T.E.E.  N°   456 /2011 </v>
      </c>
      <c r="C2" s="769"/>
      <c r="D2" s="769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4" s="128" customFormat="1" ht="12.75">
      <c r="A3" s="775" t="s">
        <v>152</v>
      </c>
      <c r="B3" s="12"/>
      <c r="C3" s="12"/>
      <c r="D3" s="12"/>
    </row>
    <row r="4" spans="1:4" s="128" customFormat="1" ht="11.25">
      <c r="A4" s="775" t="s">
        <v>151</v>
      </c>
      <c r="B4" s="251"/>
      <c r="C4" s="251"/>
      <c r="D4" s="251"/>
    </row>
    <row r="5" spans="1:4" s="12" customFormat="1" ht="13.5" thickBot="1">
      <c r="A5" s="775"/>
      <c r="B5" s="251"/>
      <c r="C5" s="251"/>
      <c r="D5" s="251"/>
    </row>
    <row r="6" spans="1:16" s="12" customFormat="1" ht="13.5" thickTop="1">
      <c r="A6" s="10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5"/>
    </row>
    <row r="7" spans="1:16" s="130" customFormat="1" ht="20.25">
      <c r="A7" s="47"/>
      <c r="B7" s="129"/>
      <c r="C7" s="47"/>
      <c r="D7" s="23" t="s">
        <v>46</v>
      </c>
      <c r="G7" s="47"/>
      <c r="H7" s="47"/>
      <c r="I7" s="47"/>
      <c r="J7" s="47"/>
      <c r="K7" s="47"/>
      <c r="L7" s="47"/>
      <c r="M7" s="47"/>
      <c r="N7" s="47"/>
      <c r="O7" s="47"/>
      <c r="P7" s="131"/>
    </row>
    <row r="8" spans="1:16" ht="15">
      <c r="A8" s="1"/>
      <c r="B8" s="314"/>
      <c r="C8" s="76"/>
      <c r="D8" s="472"/>
      <c r="E8" s="76"/>
      <c r="F8" s="74"/>
      <c r="G8" s="76"/>
      <c r="H8" s="76"/>
      <c r="I8" s="76"/>
      <c r="J8" s="76"/>
      <c r="K8" s="76"/>
      <c r="L8" s="76"/>
      <c r="M8" s="76"/>
      <c r="N8" s="76"/>
      <c r="O8" s="76"/>
      <c r="P8" s="318"/>
    </row>
    <row r="9" spans="1:19" s="130" customFormat="1" ht="20.25">
      <c r="A9" s="47"/>
      <c r="B9" s="473"/>
      <c r="C9"/>
      <c r="D9" s="24" t="s">
        <v>143</v>
      </c>
      <c r="E9" s="474"/>
      <c r="F9" s="474"/>
      <c r="G9" s="474"/>
      <c r="H9" s="475"/>
      <c r="I9" s="474"/>
      <c r="J9" s="474"/>
      <c r="K9" s="474"/>
      <c r="L9" s="474"/>
      <c r="M9" s="474"/>
      <c r="N9" s="474"/>
      <c r="O9" s="474"/>
      <c r="P9" s="476"/>
      <c r="Q9" s="267"/>
      <c r="R9" s="195"/>
      <c r="S9" s="195"/>
    </row>
    <row r="10" spans="1:19" s="12" customFormat="1" ht="12.75">
      <c r="A10" s="10"/>
      <c r="B10" s="46"/>
      <c r="C10" s="10"/>
      <c r="D10" s="70"/>
      <c r="E10" s="32"/>
      <c r="F10" s="32"/>
      <c r="G10" s="32"/>
      <c r="H10" s="187"/>
      <c r="I10" s="32"/>
      <c r="J10" s="32"/>
      <c r="K10" s="32"/>
      <c r="L10" s="32"/>
      <c r="M10" s="32"/>
      <c r="N10" s="32"/>
      <c r="O10" s="32"/>
      <c r="P10" s="40"/>
      <c r="Q10" s="32"/>
      <c r="R10" s="32"/>
      <c r="S10" s="194"/>
    </row>
    <row r="11" spans="1:19" s="137" customFormat="1" ht="19.5">
      <c r="A11" s="49"/>
      <c r="B11" s="270" t="str">
        <f>+'TOT-0410'!B14</f>
        <v>Desde el 01 al 30 de abril de 2010</v>
      </c>
      <c r="C11" s="159"/>
      <c r="D11" s="214"/>
      <c r="E11" s="214"/>
      <c r="F11" s="214"/>
      <c r="G11" s="214"/>
      <c r="H11" s="214"/>
      <c r="I11" s="159"/>
      <c r="J11" s="214"/>
      <c r="K11" s="214"/>
      <c r="L11" s="214"/>
      <c r="M11" s="214"/>
      <c r="N11" s="214"/>
      <c r="O11" s="214"/>
      <c r="P11" s="477"/>
      <c r="Q11" s="478"/>
      <c r="R11" s="478"/>
      <c r="S11" s="478"/>
    </row>
    <row r="12" spans="1:19" ht="15">
      <c r="A12" s="1"/>
      <c r="B12" s="314"/>
      <c r="C12" s="76"/>
      <c r="D12" s="72"/>
      <c r="E12" s="72"/>
      <c r="F12" s="72"/>
      <c r="G12" s="72"/>
      <c r="H12" s="479"/>
      <c r="I12" s="76"/>
      <c r="J12" s="72"/>
      <c r="K12" s="72"/>
      <c r="L12" s="72"/>
      <c r="M12" s="72"/>
      <c r="N12" s="72"/>
      <c r="O12" s="72"/>
      <c r="P12" s="73"/>
      <c r="Q12" s="6"/>
      <c r="R12" s="6"/>
      <c r="S12" s="480"/>
    </row>
    <row r="13" spans="1:19" ht="18" customHeight="1">
      <c r="A13" s="1"/>
      <c r="B13" s="314"/>
      <c r="C13" s="76"/>
      <c r="D13" s="72"/>
      <c r="E13" s="72"/>
      <c r="F13" s="72"/>
      <c r="G13" s="72"/>
      <c r="H13" s="84"/>
      <c r="I13" s="84"/>
      <c r="J13" s="72"/>
      <c r="K13" s="72"/>
      <c r="P13" s="73"/>
      <c r="Q13" s="6"/>
      <c r="R13" s="6"/>
      <c r="S13" s="480"/>
    </row>
    <row r="14" spans="1:19" ht="18" customHeight="1">
      <c r="A14" s="1"/>
      <c r="B14" s="314"/>
      <c r="C14" s="76"/>
      <c r="D14" s="71"/>
      <c r="E14" s="481"/>
      <c r="F14" s="72"/>
      <c r="G14" s="72"/>
      <c r="H14" s="84"/>
      <c r="I14" s="84"/>
      <c r="J14" s="72"/>
      <c r="K14" s="72"/>
      <c r="P14" s="73"/>
      <c r="Q14" s="6"/>
      <c r="R14" s="6"/>
      <c r="S14" s="480"/>
    </row>
    <row r="15" spans="1:16" ht="16.5" thickBot="1">
      <c r="A15" s="1"/>
      <c r="B15" s="314"/>
      <c r="C15" s="482" t="s">
        <v>99</v>
      </c>
      <c r="D15" s="74"/>
      <c r="E15" s="315"/>
      <c r="F15" s="316"/>
      <c r="G15" s="76"/>
      <c r="H15" s="76"/>
      <c r="I15" s="76"/>
      <c r="J15" s="75"/>
      <c r="K15" s="75"/>
      <c r="L15" s="317"/>
      <c r="M15" s="76"/>
      <c r="N15" s="76"/>
      <c r="O15" s="76"/>
      <c r="P15" s="318"/>
    </row>
    <row r="16" spans="1:16" ht="16.5" thickBot="1">
      <c r="A16" s="1"/>
      <c r="B16" s="314"/>
      <c r="C16" s="319"/>
      <c r="D16" s="74"/>
      <c r="E16" s="315"/>
      <c r="F16" s="316"/>
      <c r="G16" s="76"/>
      <c r="H16" s="76"/>
      <c r="L16" s="483" t="s">
        <v>89</v>
      </c>
      <c r="M16" s="484">
        <v>3.243</v>
      </c>
      <c r="N16" s="485"/>
      <c r="O16" s="76"/>
      <c r="P16" s="318"/>
    </row>
    <row r="17" spans="1:16" ht="15.75">
      <c r="A17" s="1"/>
      <c r="B17" s="314"/>
      <c r="C17" s="319"/>
      <c r="D17" s="75" t="s">
        <v>100</v>
      </c>
      <c r="E17" s="320">
        <v>720</v>
      </c>
      <c r="F17" s="76" t="s">
        <v>101</v>
      </c>
      <c r="G17" s="72"/>
      <c r="H17" s="486"/>
      <c r="I17" s="487" t="s">
        <v>102</v>
      </c>
      <c r="J17" s="488">
        <v>69.722</v>
      </c>
      <c r="K17" s="467"/>
      <c r="L17" s="489" t="s">
        <v>90</v>
      </c>
      <c r="M17" s="490">
        <v>2.433</v>
      </c>
      <c r="N17" s="491"/>
      <c r="O17" s="76"/>
      <c r="P17" s="318"/>
    </row>
    <row r="18" spans="1:16" ht="16.5" thickBot="1">
      <c r="A18" s="1"/>
      <c r="B18" s="314"/>
      <c r="C18" s="319"/>
      <c r="D18" s="75" t="s">
        <v>103</v>
      </c>
      <c r="E18" s="322">
        <v>0.025</v>
      </c>
      <c r="F18" s="72"/>
      <c r="G18" s="72"/>
      <c r="H18" s="492"/>
      <c r="I18" s="493" t="s">
        <v>104</v>
      </c>
      <c r="J18" s="494">
        <v>0.243</v>
      </c>
      <c r="K18" s="495"/>
      <c r="L18" s="496" t="s">
        <v>91</v>
      </c>
      <c r="M18" s="497">
        <v>2.433</v>
      </c>
      <c r="N18" s="498"/>
      <c r="O18" s="76"/>
      <c r="P18" s="318"/>
    </row>
    <row r="19" spans="1:16" ht="15.75">
      <c r="A19" s="1"/>
      <c r="B19" s="314"/>
      <c r="C19" s="319"/>
      <c r="D19" s="75"/>
      <c r="E19" s="322"/>
      <c r="F19" s="72"/>
      <c r="G19" s="72"/>
      <c r="H19" s="72"/>
      <c r="I19" s="72"/>
      <c r="L19" s="317"/>
      <c r="M19" s="76"/>
      <c r="N19" s="76"/>
      <c r="O19" s="76"/>
      <c r="P19" s="318"/>
    </row>
    <row r="20" spans="1:16" ht="15">
      <c r="A20" s="1"/>
      <c r="B20" s="314"/>
      <c r="C20" s="71" t="s">
        <v>105</v>
      </c>
      <c r="D20" s="79"/>
      <c r="E20" s="315"/>
      <c r="F20" s="316"/>
      <c r="G20" s="76"/>
      <c r="H20" s="76"/>
      <c r="I20" s="76"/>
      <c r="J20" s="75"/>
      <c r="K20" s="75"/>
      <c r="L20" s="317"/>
      <c r="M20" s="76"/>
      <c r="N20" s="76"/>
      <c r="O20" s="76"/>
      <c r="P20" s="318"/>
    </row>
    <row r="21" spans="1:16" ht="15">
      <c r="A21" s="1"/>
      <c r="B21" s="314"/>
      <c r="C21" s="76"/>
      <c r="D21" s="76"/>
      <c r="E21" s="76"/>
      <c r="F21" s="76"/>
      <c r="G21" s="76"/>
      <c r="H21" s="323"/>
      <c r="I21" s="76"/>
      <c r="J21" s="76"/>
      <c r="K21" s="76"/>
      <c r="L21" s="76"/>
      <c r="M21" s="76"/>
      <c r="N21" s="76"/>
      <c r="O21" s="76"/>
      <c r="P21" s="318"/>
    </row>
    <row r="22" spans="1:16" ht="15">
      <c r="A22" s="1"/>
      <c r="B22" s="314"/>
      <c r="C22" s="76"/>
      <c r="D22" s="75" t="s">
        <v>106</v>
      </c>
      <c r="E22" s="76"/>
      <c r="F22" s="323" t="s">
        <v>24</v>
      </c>
      <c r="G22" s="76"/>
      <c r="H22" s="74"/>
      <c r="I22" s="499">
        <f>'TOT-0410'!I20</f>
        <v>1271.83</v>
      </c>
      <c r="J22" s="76"/>
      <c r="K22" s="76"/>
      <c r="L22" s="500" t="s">
        <v>107</v>
      </c>
      <c r="M22" s="76"/>
      <c r="N22" s="76"/>
      <c r="O22" s="76"/>
      <c r="P22" s="318"/>
    </row>
    <row r="23" spans="1:16" ht="15">
      <c r="A23" s="1"/>
      <c r="B23" s="314"/>
      <c r="C23" s="76"/>
      <c r="D23" s="76"/>
      <c r="E23" s="76"/>
      <c r="F23" s="323" t="s">
        <v>108</v>
      </c>
      <c r="G23" s="76"/>
      <c r="H23" s="74"/>
      <c r="I23" s="499">
        <f>'TOT-0410'!I28</f>
        <v>125.13</v>
      </c>
      <c r="J23" s="76"/>
      <c r="K23" s="76"/>
      <c r="L23" s="500" t="s">
        <v>109</v>
      </c>
      <c r="M23" s="76"/>
      <c r="N23" s="76"/>
      <c r="O23" s="76"/>
      <c r="P23" s="318"/>
    </row>
    <row r="24" spans="1:16" ht="15">
      <c r="A24" s="1"/>
      <c r="B24" s="314"/>
      <c r="C24" s="76"/>
      <c r="D24" s="76"/>
      <c r="E24" s="76"/>
      <c r="F24" s="323" t="s">
        <v>3</v>
      </c>
      <c r="G24" s="76"/>
      <c r="H24" s="74"/>
      <c r="I24" s="501">
        <f>'TOT-0410'!I33</f>
        <v>26.799494999999997</v>
      </c>
      <c r="J24" s="76"/>
      <c r="K24" s="76"/>
      <c r="L24" s="500" t="s">
        <v>110</v>
      </c>
      <c r="M24" s="76"/>
      <c r="N24" s="76"/>
      <c r="O24" s="76"/>
      <c r="P24" s="318"/>
    </row>
    <row r="25" spans="1:16" ht="15.75" thickBot="1">
      <c r="A25" s="1"/>
      <c r="B25" s="314"/>
      <c r="C25" s="76"/>
      <c r="D25" s="76"/>
      <c r="E25" s="76"/>
      <c r="F25" s="76"/>
      <c r="G25" s="76"/>
      <c r="H25" s="323"/>
      <c r="I25" s="76"/>
      <c r="J25" s="76"/>
      <c r="K25" s="76"/>
      <c r="L25" s="76"/>
      <c r="M25" s="76"/>
      <c r="N25" s="76"/>
      <c r="O25" s="76"/>
      <c r="P25" s="318"/>
    </row>
    <row r="26" spans="2:16" ht="20.25" thickBot="1" thickTop="1">
      <c r="B26" s="314"/>
      <c r="C26" s="83"/>
      <c r="H26" s="502" t="s">
        <v>111</v>
      </c>
      <c r="I26" s="172">
        <f>SUM(I22:I25)</f>
        <v>1423.759495</v>
      </c>
      <c r="L26" s="80"/>
      <c r="M26" s="80"/>
      <c r="N26" s="81"/>
      <c r="O26" s="82"/>
      <c r="P26" s="324"/>
    </row>
    <row r="27" spans="2:16" ht="15.75" thickTop="1">
      <c r="B27" s="314"/>
      <c r="C27" s="83"/>
      <c r="D27" s="79"/>
      <c r="E27" s="79"/>
      <c r="F27" s="85"/>
      <c r="G27" s="80"/>
      <c r="H27" s="80"/>
      <c r="I27" s="80"/>
      <c r="J27" s="80"/>
      <c r="K27" s="80"/>
      <c r="L27" s="80"/>
      <c r="M27" s="80"/>
      <c r="N27" s="81"/>
      <c r="O27" s="82"/>
      <c r="P27" s="324"/>
    </row>
    <row r="28" spans="2:16" ht="15">
      <c r="B28" s="314"/>
      <c r="C28" s="71" t="s">
        <v>112</v>
      </c>
      <c r="D28" s="79"/>
      <c r="E28" s="79"/>
      <c r="F28" s="85"/>
      <c r="G28" s="80"/>
      <c r="H28" s="80"/>
      <c r="I28" s="80"/>
      <c r="J28" s="80"/>
      <c r="K28" s="80"/>
      <c r="L28" s="80"/>
      <c r="M28" s="80"/>
      <c r="N28" s="81"/>
      <c r="O28" s="82"/>
      <c r="P28" s="324"/>
    </row>
    <row r="29" spans="2:16" ht="15">
      <c r="B29" s="314"/>
      <c r="C29" s="83"/>
      <c r="D29" s="79"/>
      <c r="E29" s="79"/>
      <c r="F29" s="85"/>
      <c r="G29" s="80"/>
      <c r="H29" s="80"/>
      <c r="I29" s="80"/>
      <c r="J29" s="80"/>
      <c r="K29" s="80"/>
      <c r="L29" s="80"/>
      <c r="M29" s="80"/>
      <c r="N29" s="81"/>
      <c r="O29" s="82"/>
      <c r="P29" s="324"/>
    </row>
    <row r="30" spans="2:16" ht="15.75">
      <c r="B30" s="314"/>
      <c r="C30" s="83"/>
      <c r="D30" s="503" t="s">
        <v>113</v>
      </c>
      <c r="E30" s="504" t="s">
        <v>20</v>
      </c>
      <c r="F30" s="505" t="s">
        <v>114</v>
      </c>
      <c r="G30" s="506"/>
      <c r="H30" s="748" t="s">
        <v>141</v>
      </c>
      <c r="I30" s="747" t="s">
        <v>140</v>
      </c>
      <c r="J30" s="743"/>
      <c r="K30" s="531"/>
      <c r="L30" s="509" t="s">
        <v>2</v>
      </c>
      <c r="N30" s="81"/>
      <c r="O30" s="82"/>
      <c r="P30" s="324"/>
    </row>
    <row r="31" spans="2:16" ht="15.75">
      <c r="B31" s="314"/>
      <c r="C31" s="83"/>
      <c r="D31" s="510" t="s">
        <v>5</v>
      </c>
      <c r="E31" s="511">
        <v>132</v>
      </c>
      <c r="F31" s="512">
        <v>31</v>
      </c>
      <c r="G31" s="513"/>
      <c r="H31" s="514">
        <f>F31*$J$17*$E$17/100</f>
        <v>15561.950399999998</v>
      </c>
      <c r="I31" s="515">
        <v>0</v>
      </c>
      <c r="J31" s="745" t="s">
        <v>153</v>
      </c>
      <c r="K31" s="517"/>
      <c r="L31" s="518">
        <f>SUM(H31:K31)</f>
        <v>15561.950399999998</v>
      </c>
      <c r="M31" s="80"/>
      <c r="N31" s="81"/>
      <c r="O31" s="82"/>
      <c r="P31" s="324"/>
    </row>
    <row r="32" spans="2:16" ht="15.75">
      <c r="B32" s="314"/>
      <c r="C32" s="83"/>
      <c r="D32" s="538" t="s">
        <v>6</v>
      </c>
      <c r="E32" s="79">
        <v>132</v>
      </c>
      <c r="F32" s="85">
        <v>110.3</v>
      </c>
      <c r="G32" s="80"/>
      <c r="H32" s="329">
        <f>F32*$J$17*$E$17/100</f>
        <v>55370.42351999999</v>
      </c>
      <c r="I32" s="555">
        <v>0</v>
      </c>
      <c r="J32" s="744" t="s">
        <v>153</v>
      </c>
      <c r="K32" s="321"/>
      <c r="L32" s="539">
        <f>SUM(H32:K32)</f>
        <v>55370.42351999999</v>
      </c>
      <c r="M32" s="80"/>
      <c r="N32" s="81"/>
      <c r="O32" s="82"/>
      <c r="P32" s="324"/>
    </row>
    <row r="33" spans="2:16" ht="15.75">
      <c r="B33" s="314"/>
      <c r="C33" s="83"/>
      <c r="D33" s="538" t="s">
        <v>7</v>
      </c>
      <c r="E33" s="79">
        <v>132</v>
      </c>
      <c r="F33" s="85">
        <v>185.6</v>
      </c>
      <c r="G33" s="80"/>
      <c r="H33" s="329">
        <f>F33*$J$17*$E$17/100</f>
        <v>93170.90303999999</v>
      </c>
      <c r="I33" s="555">
        <v>0</v>
      </c>
      <c r="J33" s="744" t="s">
        <v>153</v>
      </c>
      <c r="K33" s="321"/>
      <c r="L33" s="539">
        <f>SUM(H33:K33)</f>
        <v>93170.90303999999</v>
      </c>
      <c r="M33" s="80"/>
      <c r="N33" s="81"/>
      <c r="O33" s="82"/>
      <c r="P33" s="324"/>
    </row>
    <row r="34" spans="2:16" ht="15.75">
      <c r="B34" s="314"/>
      <c r="C34" s="83"/>
      <c r="D34" s="519" t="s">
        <v>8</v>
      </c>
      <c r="E34" s="520">
        <v>132</v>
      </c>
      <c r="F34" s="521">
        <v>7</v>
      </c>
      <c r="G34" s="522"/>
      <c r="H34" s="523">
        <f>F34*$J$17*$E$17/100</f>
        <v>3513.9888</v>
      </c>
      <c r="I34" s="524">
        <v>0</v>
      </c>
      <c r="J34" s="746" t="s">
        <v>153</v>
      </c>
      <c r="K34" s="526"/>
      <c r="L34" s="527">
        <f>SUM(H34:K34)</f>
        <v>3513.9888</v>
      </c>
      <c r="M34" s="80"/>
      <c r="N34" s="81"/>
      <c r="O34" s="82"/>
      <c r="P34" s="324"/>
    </row>
    <row r="35" spans="2:16" ht="15">
      <c r="B35" s="314"/>
      <c r="C35" s="83"/>
      <c r="D35" s="79"/>
      <c r="E35" s="79"/>
      <c r="F35" s="325"/>
      <c r="G35" s="80"/>
      <c r="I35" s="86"/>
      <c r="J35" s="321"/>
      <c r="K35" s="321"/>
      <c r="L35" s="528">
        <f>SUM(L31:L34)</f>
        <v>167617.26575999998</v>
      </c>
      <c r="M35" s="80"/>
      <c r="N35" s="81"/>
      <c r="O35" s="82"/>
      <c r="P35" s="324"/>
    </row>
    <row r="36" spans="2:16" ht="15">
      <c r="B36" s="314"/>
      <c r="C36" s="83"/>
      <c r="D36" s="79"/>
      <c r="E36" s="79"/>
      <c r="F36" s="325"/>
      <c r="G36" s="80"/>
      <c r="I36" s="86"/>
      <c r="J36" s="321"/>
      <c r="K36" s="321"/>
      <c r="L36" s="326"/>
      <c r="M36" s="80"/>
      <c r="N36" s="81"/>
      <c r="O36" s="82"/>
      <c r="P36" s="324"/>
    </row>
    <row r="37" spans="2:16" ht="15.75">
      <c r="B37" s="314"/>
      <c r="C37" s="83"/>
      <c r="D37" s="503" t="s">
        <v>115</v>
      </c>
      <c r="E37" s="504" t="s">
        <v>116</v>
      </c>
      <c r="F37" s="556" t="s">
        <v>128</v>
      </c>
      <c r="G37" s="557"/>
      <c r="H37" s="749" t="s">
        <v>142</v>
      </c>
      <c r="J37" s="529" t="s">
        <v>118</v>
      </c>
      <c r="K37" s="530"/>
      <c r="L37" s="531" t="s">
        <v>56</v>
      </c>
      <c r="M37" s="504" t="s">
        <v>20</v>
      </c>
      <c r="N37" s="532" t="s">
        <v>119</v>
      </c>
      <c r="O37" s="533"/>
      <c r="P37" s="324"/>
    </row>
    <row r="38" spans="2:16" ht="15">
      <c r="B38" s="314"/>
      <c r="C38" s="83"/>
      <c r="D38" s="510" t="s">
        <v>12</v>
      </c>
      <c r="E38" s="511" t="s">
        <v>129</v>
      </c>
      <c r="F38" s="558">
        <v>30</v>
      </c>
      <c r="G38" s="559"/>
      <c r="H38" s="518">
        <f>+F38*$J$18*$E$17</f>
        <v>5248.8</v>
      </c>
      <c r="J38" s="534" t="s">
        <v>130</v>
      </c>
      <c r="K38" s="516"/>
      <c r="L38" s="513" t="s">
        <v>131</v>
      </c>
      <c r="M38" s="535">
        <v>132</v>
      </c>
      <c r="N38" s="536">
        <f>M16*E17</f>
        <v>2334.96</v>
      </c>
      <c r="O38" s="537"/>
      <c r="P38" s="324"/>
    </row>
    <row r="39" spans="2:16" ht="15">
      <c r="B39" s="314"/>
      <c r="C39" s="83"/>
      <c r="D39" s="538" t="s">
        <v>15</v>
      </c>
      <c r="E39" s="79" t="s">
        <v>132</v>
      </c>
      <c r="F39" s="560">
        <v>88</v>
      </c>
      <c r="G39" s="561"/>
      <c r="H39" s="539">
        <f>+F39*$J$18*$E$17</f>
        <v>15396.48</v>
      </c>
      <c r="J39" s="540" t="s">
        <v>13</v>
      </c>
      <c r="K39" s="541"/>
      <c r="L39" s="80" t="s">
        <v>133</v>
      </c>
      <c r="M39" s="81">
        <v>33</v>
      </c>
      <c r="N39" s="542">
        <f>+M17*E17*2</f>
        <v>3503.5199999999995</v>
      </c>
      <c r="O39" s="543"/>
      <c r="P39" s="324"/>
    </row>
    <row r="40" spans="2:16" ht="15">
      <c r="B40" s="314"/>
      <c r="C40" s="83"/>
      <c r="D40" s="538" t="s">
        <v>13</v>
      </c>
      <c r="E40" s="79" t="s">
        <v>10</v>
      </c>
      <c r="F40" s="560">
        <v>7.5</v>
      </c>
      <c r="G40" s="561"/>
      <c r="H40" s="539">
        <f>+F40*$J$18*$E$17</f>
        <v>1312.2</v>
      </c>
      <c r="J40" s="540" t="s">
        <v>14</v>
      </c>
      <c r="K40" s="541"/>
      <c r="L40" s="80" t="s">
        <v>134</v>
      </c>
      <c r="M40" s="81">
        <v>33</v>
      </c>
      <c r="N40" s="542">
        <f>3*M17*E17</f>
        <v>5255.28</v>
      </c>
      <c r="O40" s="543"/>
      <c r="P40" s="324"/>
    </row>
    <row r="41" spans="2:16" ht="15">
      <c r="B41" s="314"/>
      <c r="C41" s="83"/>
      <c r="D41" s="538" t="s">
        <v>14</v>
      </c>
      <c r="E41" s="79" t="s">
        <v>10</v>
      </c>
      <c r="F41" s="560">
        <v>15</v>
      </c>
      <c r="G41" s="561"/>
      <c r="H41" s="539">
        <f>+F41*$J$18*$E$17</f>
        <v>2624.4</v>
      </c>
      <c r="J41" s="540" t="s">
        <v>16</v>
      </c>
      <c r="K41" s="541"/>
      <c r="L41" s="80" t="s">
        <v>135</v>
      </c>
      <c r="M41" s="81">
        <v>13.2</v>
      </c>
      <c r="N41" s="542">
        <f>+M18*E17*6</f>
        <v>10510.559999999998</v>
      </c>
      <c r="O41" s="543"/>
      <c r="P41" s="324"/>
    </row>
    <row r="42" spans="2:16" ht="15">
      <c r="B42" s="314"/>
      <c r="C42" s="83"/>
      <c r="D42" s="519" t="s">
        <v>16</v>
      </c>
      <c r="E42" s="520" t="s">
        <v>136</v>
      </c>
      <c r="F42" s="562">
        <v>30</v>
      </c>
      <c r="G42" s="563"/>
      <c r="H42" s="539">
        <f>+F42*$J$18*$E$17</f>
        <v>5248.8</v>
      </c>
      <c r="J42" s="540" t="s">
        <v>12</v>
      </c>
      <c r="K42" s="541"/>
      <c r="L42" s="80" t="s">
        <v>137</v>
      </c>
      <c r="M42" s="81"/>
      <c r="N42" s="542">
        <f>+M17*E17+M18*E17*2</f>
        <v>5255.279999999999</v>
      </c>
      <c r="O42" s="543"/>
      <c r="P42" s="324"/>
    </row>
    <row r="43" spans="2:16" ht="15">
      <c r="B43" s="314"/>
      <c r="C43" s="83"/>
      <c r="D43" s="79"/>
      <c r="E43" s="79"/>
      <c r="F43" s="325"/>
      <c r="G43" s="80"/>
      <c r="H43" s="528">
        <f>SUM(H38:H42)</f>
        <v>29830.68</v>
      </c>
      <c r="J43" s="544" t="s">
        <v>15</v>
      </c>
      <c r="K43" s="525"/>
      <c r="L43" s="522" t="s">
        <v>138</v>
      </c>
      <c r="M43" s="545"/>
      <c r="N43" s="546">
        <f>(M16+M17+M18*5)*E17</f>
        <v>12845.52</v>
      </c>
      <c r="O43" s="547"/>
      <c r="P43" s="324"/>
    </row>
    <row r="44" spans="2:16" ht="15">
      <c r="B44" s="314"/>
      <c r="C44" s="83"/>
      <c r="D44" s="79"/>
      <c r="E44" s="79"/>
      <c r="F44" s="325"/>
      <c r="G44" s="80"/>
      <c r="I44" s="86"/>
      <c r="J44" s="321"/>
      <c r="K44" s="321"/>
      <c r="L44" s="326"/>
      <c r="M44" s="80"/>
      <c r="N44" s="548">
        <f>SUM(N38:N43)</f>
        <v>39705.119999999995</v>
      </c>
      <c r="O44" s="533"/>
      <c r="P44" s="324"/>
    </row>
    <row r="45" spans="2:16" ht="12.75" customHeight="1" thickBot="1">
      <c r="B45" s="314"/>
      <c r="C45" s="83"/>
      <c r="D45" s="79"/>
      <c r="E45" s="79"/>
      <c r="F45" s="85"/>
      <c r="G45" s="80"/>
      <c r="H45" s="86"/>
      <c r="I45" s="79"/>
      <c r="J45" s="79"/>
      <c r="K45" s="79"/>
      <c r="L45" s="80"/>
      <c r="M45" s="80"/>
      <c r="N45" s="81"/>
      <c r="O45" s="82"/>
      <c r="P45" s="324"/>
    </row>
    <row r="46" spans="2:16" ht="20.25" thickBot="1" thickTop="1">
      <c r="B46" s="314"/>
      <c r="C46" s="83"/>
      <c r="D46" s="79"/>
      <c r="E46" s="79"/>
      <c r="F46" s="85"/>
      <c r="G46" s="80"/>
      <c r="H46" s="549" t="s">
        <v>120</v>
      </c>
      <c r="I46" s="550">
        <f>+H43+N44+L35</f>
        <v>237153.06575999997</v>
      </c>
      <c r="J46" s="79"/>
      <c r="K46" s="79"/>
      <c r="L46" s="80"/>
      <c r="M46" s="80"/>
      <c r="N46" s="81"/>
      <c r="O46" s="82"/>
      <c r="P46" s="324"/>
    </row>
    <row r="47" spans="2:16" ht="15.75" thickTop="1">
      <c r="B47" s="314"/>
      <c r="C47" s="83"/>
      <c r="D47" s="79"/>
      <c r="E47" s="79"/>
      <c r="F47" s="85"/>
      <c r="G47" s="80"/>
      <c r="H47" s="86"/>
      <c r="I47" s="79"/>
      <c r="J47" s="79"/>
      <c r="K47" s="79"/>
      <c r="L47" s="80"/>
      <c r="M47" s="80"/>
      <c r="N47" s="81"/>
      <c r="O47" s="82"/>
      <c r="P47" s="324"/>
    </row>
    <row r="48" spans="2:16" ht="15.75">
      <c r="B48" s="314"/>
      <c r="C48" s="551" t="s">
        <v>121</v>
      </c>
      <c r="D48" s="79"/>
      <c r="E48" s="79"/>
      <c r="F48" s="85"/>
      <c r="G48" s="80"/>
      <c r="H48" s="86"/>
      <c r="I48" s="79"/>
      <c r="J48" s="79"/>
      <c r="K48" s="79"/>
      <c r="L48" s="80"/>
      <c r="M48" s="80"/>
      <c r="N48" s="81"/>
      <c r="O48" s="82"/>
      <c r="P48" s="324"/>
    </row>
    <row r="49" spans="2:16" ht="15.75" thickBot="1">
      <c r="B49" s="314"/>
      <c r="C49" s="83"/>
      <c r="D49" s="79"/>
      <c r="E49" s="79"/>
      <c r="F49" s="85"/>
      <c r="G49" s="80"/>
      <c r="H49" s="86"/>
      <c r="I49" s="79"/>
      <c r="J49" s="79"/>
      <c r="K49" s="79"/>
      <c r="L49" s="80"/>
      <c r="M49" s="80"/>
      <c r="N49" s="81"/>
      <c r="O49" s="82"/>
      <c r="P49" s="324"/>
    </row>
    <row r="50" spans="2:16" ht="20.25" thickBot="1" thickTop="1">
      <c r="B50" s="314"/>
      <c r="C50" s="83"/>
      <c r="D50" s="268" t="s">
        <v>122</v>
      </c>
      <c r="F50" s="327"/>
      <c r="G50" s="76"/>
      <c r="H50" s="171" t="s">
        <v>123</v>
      </c>
      <c r="I50" s="552">
        <f>E18*I46</f>
        <v>5928.826644</v>
      </c>
      <c r="J50" s="72"/>
      <c r="K50" s="72"/>
      <c r="O50" s="72"/>
      <c r="P50" s="324"/>
    </row>
    <row r="51" spans="2:16" ht="21.75" thickTop="1">
      <c r="B51" s="314"/>
      <c r="C51" s="83"/>
      <c r="F51" s="328"/>
      <c r="G51" s="47"/>
      <c r="I51" s="72"/>
      <c r="J51" s="72"/>
      <c r="K51" s="72"/>
      <c r="O51" s="72"/>
      <c r="P51" s="324"/>
    </row>
    <row r="52" spans="2:16" ht="15">
      <c r="B52" s="314"/>
      <c r="C52" s="71" t="s">
        <v>124</v>
      </c>
      <c r="E52" s="72"/>
      <c r="F52" s="72"/>
      <c r="G52" s="72"/>
      <c r="H52" s="72"/>
      <c r="I52" s="80"/>
      <c r="J52" s="80"/>
      <c r="K52" s="80"/>
      <c r="L52" s="80"/>
      <c r="M52" s="80"/>
      <c r="N52" s="81"/>
      <c r="O52" s="82"/>
      <c r="P52" s="324"/>
    </row>
    <row r="53" spans="2:16" ht="15">
      <c r="B53" s="314"/>
      <c r="C53" s="83"/>
      <c r="D53" s="78" t="s">
        <v>125</v>
      </c>
      <c r="E53" s="329">
        <f>10*I26*I50/I46</f>
        <v>355.93987375</v>
      </c>
      <c r="F53" s="553"/>
      <c r="H53" s="72"/>
      <c r="I53" s="80"/>
      <c r="J53" s="80"/>
      <c r="K53" s="80"/>
      <c r="L53" s="80"/>
      <c r="M53" s="80"/>
      <c r="N53" s="81"/>
      <c r="O53" s="82"/>
      <c r="P53" s="324"/>
    </row>
    <row r="54" spans="2:16" ht="15">
      <c r="B54" s="314"/>
      <c r="C54" s="83"/>
      <c r="D54" s="72"/>
      <c r="E54" s="72"/>
      <c r="J54" s="80"/>
      <c r="K54" s="80"/>
      <c r="L54" s="80"/>
      <c r="M54" s="80"/>
      <c r="N54" s="81"/>
      <c r="O54" s="82"/>
      <c r="P54" s="324"/>
    </row>
    <row r="55" spans="2:16" ht="15">
      <c r="B55" s="314"/>
      <c r="C55" s="83"/>
      <c r="D55" s="72" t="s">
        <v>139</v>
      </c>
      <c r="E55" s="72"/>
      <c r="F55" s="72"/>
      <c r="G55" s="72"/>
      <c r="H55" s="72"/>
      <c r="M55" s="80"/>
      <c r="N55" s="81"/>
      <c r="O55" s="82"/>
      <c r="P55" s="324"/>
    </row>
    <row r="56" spans="2:16" ht="15.75" thickBot="1">
      <c r="B56" s="314"/>
      <c r="C56" s="83"/>
      <c r="D56" s="72"/>
      <c r="E56" s="72"/>
      <c r="F56" s="72"/>
      <c r="G56" s="72"/>
      <c r="H56" s="72"/>
      <c r="M56" s="80"/>
      <c r="N56" s="81"/>
      <c r="O56" s="82"/>
      <c r="P56" s="324"/>
    </row>
    <row r="57" spans="2:16" ht="20.25" thickBot="1" thickTop="1">
      <c r="B57" s="314"/>
      <c r="C57" s="83"/>
      <c r="D57" s="79"/>
      <c r="E57" s="79"/>
      <c r="F57" s="85"/>
      <c r="G57" s="80"/>
      <c r="H57" s="269" t="s">
        <v>127</v>
      </c>
      <c r="I57" s="554">
        <f>IF($E$53&gt;3*I50,3*I50,$E$53)</f>
        <v>355.93987375</v>
      </c>
      <c r="J57" s="80"/>
      <c r="K57" s="80"/>
      <c r="L57" s="80"/>
      <c r="M57" s="80"/>
      <c r="N57" s="81"/>
      <c r="O57" s="82"/>
      <c r="P57" s="324"/>
    </row>
    <row r="58" spans="2:16" ht="16.5" thickBot="1" thickTop="1">
      <c r="B58" s="330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2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1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2011-05-10T18:21:53Z</cp:lastPrinted>
  <dcterms:created xsi:type="dcterms:W3CDTF">2000-10-04T20:14:32Z</dcterms:created>
  <dcterms:modified xsi:type="dcterms:W3CDTF">2011-10-05T17:42:48Z</dcterms:modified>
  <cp:category/>
  <cp:version/>
  <cp:contentType/>
  <cp:contentStatus/>
</cp:coreProperties>
</file>